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YearEnd\YearEnd_2021\"/>
    </mc:Choice>
  </mc:AlternateContent>
  <xr:revisionPtr revIDLastSave="0" documentId="8_{64B30409-E1D3-4427-9584-5E850D73B435}" xr6:coauthVersionLast="45" xr6:coauthVersionMax="45" xr10:uidLastSave="{00000000-0000-0000-0000-000000000000}"/>
  <bookViews>
    <workbookView xWindow="-103" yWindow="-103" windowWidth="16663" windowHeight="8863" tabRatio="847" xr2:uid="{00000000-000D-0000-FFFF-FFFF00000000}"/>
  </bookViews>
  <sheets>
    <sheet name="data" sheetId="1" r:id="rId1"/>
    <sheet name="Transmittal" sheetId="2" r:id="rId2"/>
    <sheet name="INFO_PG1" sheetId="3" r:id="rId3"/>
    <sheet name="INFO_PG2" sheetId="4" r:id="rId4"/>
    <sheet name="SS2_3_5_6" sheetId="5" r:id="rId5"/>
    <sheet name="SS4" sheetId="6" r:id="rId6"/>
    <sheet name="SS8" sheetId="7" r:id="rId7"/>
    <sheet name="CC's" sheetId="9" r:id="rId8"/>
    <sheet name="FS" sheetId="8" r:id="rId9"/>
    <sheet name="Prior Year" sheetId="10" r:id="rId10"/>
  </sheets>
  <definedNames>
    <definedName name="_Fill" localSheetId="9" hidden="1">'Prior Year'!$DR$819:$DR$864</definedName>
    <definedName name="_Fill" hidden="1">data!$DR$921:$DR$966</definedName>
    <definedName name="Costcenter" localSheetId="9">'Prior Year'!#REF!</definedName>
    <definedName name="Costcenter">data!$A$732:$W$813</definedName>
    <definedName name="Edit" localSheetId="9">'Prior Year'!$A$410:$E$477</definedName>
    <definedName name="Edit">data!$A$411:$E$478</definedName>
    <definedName name="Funds" localSheetId="9">'Prior Year'!#REF!</definedName>
    <definedName name="Funds">data!$A$728:$CF$730</definedName>
    <definedName name="Hospital" localSheetId="9">'Prior Year'!#REF!</definedName>
    <definedName name="Hospital">data!$A$724:$BR$726</definedName>
    <definedName name="_xlnm.Print_Area" localSheetId="7">'CC''s'!$A$1:$I$384</definedName>
    <definedName name="_xlnm.Print_Area" localSheetId="0">data!$A$44:$CF$80</definedName>
    <definedName name="_xlnm.Print_Area" localSheetId="8">FS!$A$1:$D$153</definedName>
    <definedName name="_xlnm.Print_Area" localSheetId="2">INFO_PG1!$A$1:$G$40</definedName>
    <definedName name="_xlnm.Print_Area" localSheetId="3">INFO_PG2!$A$1:$G$33</definedName>
    <definedName name="_xlnm.Print_Area" localSheetId="9">'Prior Year'!$A$410:$E$477</definedName>
    <definedName name="_xlnm.Print_Area" localSheetId="4">SS2_3_5_6!$A$1:$C$40</definedName>
    <definedName name="_xlnm.Print_Area" localSheetId="5">'SS4'!$A$1:$F$32</definedName>
    <definedName name="_xlnm.Print_Area" localSheetId="6">'SS8'!$A$1:$D$34</definedName>
    <definedName name="_xlnm.Print_Titles" localSheetId="0">data!$A:$A</definedName>
    <definedName name="Support" localSheetId="9">'Prior Year'!#REF!</definedName>
    <definedName name="Support">data!$A$720:$CD$722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R80" i="1" l="1"/>
  <c r="AV80" i="1"/>
  <c r="M80" i="1"/>
  <c r="AV74" i="1"/>
  <c r="M73" i="1"/>
  <c r="AV73" i="1"/>
  <c r="CD69" i="1"/>
  <c r="CC69" i="1"/>
  <c r="BR69" i="1"/>
  <c r="AR69" i="1"/>
  <c r="M69" i="1"/>
  <c r="AR68" i="1"/>
  <c r="M68" i="1"/>
  <c r="CC66" i="1"/>
  <c r="BR66" i="1"/>
  <c r="AR66" i="1"/>
  <c r="M66" i="1"/>
  <c r="AR65" i="1"/>
  <c r="M65" i="1"/>
  <c r="CC64" i="1"/>
  <c r="BR64" i="1"/>
  <c r="AR64" i="1"/>
  <c r="M64" i="1"/>
  <c r="CC63" i="1" l="1"/>
  <c r="BR63" i="1"/>
  <c r="AR61" i="1" l="1"/>
  <c r="CC61" i="1"/>
  <c r="BR61" i="1"/>
  <c r="M61" i="1"/>
  <c r="AR60" i="1"/>
  <c r="M60" i="1"/>
  <c r="BE51" i="1"/>
  <c r="M51" i="1"/>
  <c r="BR47" i="1"/>
  <c r="CC47" i="1"/>
  <c r="M47" i="1"/>
  <c r="AR47" i="1"/>
  <c r="D141" i="1" l="1"/>
  <c r="D139" i="1"/>
  <c r="D138" i="1"/>
  <c r="B575" i="10" l="1"/>
  <c r="B574" i="10"/>
  <c r="B573" i="10"/>
  <c r="B572" i="10"/>
  <c r="B571" i="10"/>
  <c r="B570" i="10"/>
  <c r="B569" i="10"/>
  <c r="B568" i="10"/>
  <c r="B567" i="10"/>
  <c r="B566" i="10"/>
  <c r="B565" i="10"/>
  <c r="B564" i="10"/>
  <c r="B563" i="10"/>
  <c r="B562" i="10"/>
  <c r="B561" i="10"/>
  <c r="B560" i="10"/>
  <c r="B559" i="10"/>
  <c r="B558" i="10"/>
  <c r="B557" i="10"/>
  <c r="B556" i="10"/>
  <c r="B555" i="10"/>
  <c r="B554" i="10"/>
  <c r="B553" i="10"/>
  <c r="B552" i="10"/>
  <c r="B551" i="10"/>
  <c r="E550" i="10"/>
  <c r="D550" i="10"/>
  <c r="B550" i="10"/>
  <c r="F550" i="10" s="1"/>
  <c r="B549" i="10"/>
  <c r="B548" i="10"/>
  <c r="B547" i="10"/>
  <c r="E546" i="10"/>
  <c r="D546" i="10"/>
  <c r="B546" i="10"/>
  <c r="H546" i="10" s="1"/>
  <c r="E545" i="10"/>
  <c r="D545" i="10"/>
  <c r="B545" i="10"/>
  <c r="F545" i="10" s="1"/>
  <c r="E544" i="10"/>
  <c r="D544" i="10"/>
  <c r="B544" i="10"/>
  <c r="H544" i="10" s="1"/>
  <c r="B543" i="10"/>
  <c r="B542" i="10"/>
  <c r="B541" i="10"/>
  <c r="E540" i="10"/>
  <c r="D540" i="10"/>
  <c r="B540" i="10"/>
  <c r="F540" i="10" s="1"/>
  <c r="E539" i="10"/>
  <c r="D539" i="10"/>
  <c r="B539" i="10"/>
  <c r="F539" i="10" s="1"/>
  <c r="E538" i="10"/>
  <c r="D538" i="10"/>
  <c r="B538" i="10"/>
  <c r="H538" i="10" s="1"/>
  <c r="E537" i="10"/>
  <c r="D537" i="10"/>
  <c r="B537" i="10"/>
  <c r="F537" i="10" s="1"/>
  <c r="E536" i="10"/>
  <c r="D536" i="10"/>
  <c r="B536" i="10"/>
  <c r="F536" i="10" s="1"/>
  <c r="E535" i="10"/>
  <c r="D535" i="10"/>
  <c r="B535" i="10"/>
  <c r="F535" i="10" s="1"/>
  <c r="E534" i="10"/>
  <c r="D534" i="10"/>
  <c r="B534" i="10"/>
  <c r="H534" i="10" s="1"/>
  <c r="E533" i="10"/>
  <c r="D533" i="10"/>
  <c r="B533" i="10"/>
  <c r="F533" i="10" s="1"/>
  <c r="E532" i="10"/>
  <c r="D532" i="10"/>
  <c r="B532" i="10"/>
  <c r="F532" i="10" s="1"/>
  <c r="E531" i="10"/>
  <c r="D531" i="10"/>
  <c r="B531" i="10"/>
  <c r="F531" i="10" s="1"/>
  <c r="E530" i="10"/>
  <c r="D530" i="10"/>
  <c r="B530" i="10"/>
  <c r="H530" i="10" s="1"/>
  <c r="E529" i="10"/>
  <c r="D529" i="10"/>
  <c r="B529" i="10"/>
  <c r="F529" i="10" s="1"/>
  <c r="E528" i="10"/>
  <c r="D528" i="10"/>
  <c r="B528" i="10"/>
  <c r="F528" i="10" s="1"/>
  <c r="E527" i="10"/>
  <c r="D527" i="10"/>
  <c r="B527" i="10"/>
  <c r="F527" i="10" s="1"/>
  <c r="E526" i="10"/>
  <c r="D526" i="10"/>
  <c r="B526" i="10"/>
  <c r="H526" i="10" s="1"/>
  <c r="E525" i="10"/>
  <c r="D525" i="10"/>
  <c r="B525" i="10"/>
  <c r="F525" i="10" s="1"/>
  <c r="E524" i="10"/>
  <c r="D524" i="10"/>
  <c r="B524" i="10"/>
  <c r="F524" i="10" s="1"/>
  <c r="E523" i="10"/>
  <c r="D523" i="10"/>
  <c r="B523" i="10"/>
  <c r="F523" i="10" s="1"/>
  <c r="E522" i="10"/>
  <c r="D522" i="10"/>
  <c r="B522" i="10"/>
  <c r="H522" i="10" s="1"/>
  <c r="B521" i="10"/>
  <c r="H521" i="10" s="1"/>
  <c r="E520" i="10"/>
  <c r="D520" i="10"/>
  <c r="B520" i="10"/>
  <c r="H520" i="10" s="1"/>
  <c r="E519" i="10"/>
  <c r="D519" i="10"/>
  <c r="B519" i="10"/>
  <c r="H519" i="10" s="1"/>
  <c r="E518" i="10"/>
  <c r="D518" i="10"/>
  <c r="B518" i="10"/>
  <c r="F518" i="10" s="1"/>
  <c r="E517" i="10"/>
  <c r="D517" i="10"/>
  <c r="B517" i="10"/>
  <c r="F517" i="10" s="1"/>
  <c r="E516" i="10"/>
  <c r="D516" i="10"/>
  <c r="B516" i="10"/>
  <c r="H516" i="10" s="1"/>
  <c r="E515" i="10"/>
  <c r="D515" i="10"/>
  <c r="B515" i="10"/>
  <c r="H515" i="10" s="1"/>
  <c r="E514" i="10"/>
  <c r="D514" i="10"/>
  <c r="B514" i="10"/>
  <c r="F514" i="10" s="1"/>
  <c r="B513" i="10"/>
  <c r="B512" i="10"/>
  <c r="E511" i="10"/>
  <c r="D511" i="10"/>
  <c r="B511" i="10"/>
  <c r="H511" i="10" s="1"/>
  <c r="E510" i="10"/>
  <c r="D510" i="10"/>
  <c r="B510" i="10"/>
  <c r="F510" i="10" s="1"/>
  <c r="E509" i="10"/>
  <c r="D509" i="10"/>
  <c r="B509" i="10"/>
  <c r="F509" i="10" s="1"/>
  <c r="E508" i="10"/>
  <c r="D508" i="10"/>
  <c r="B508" i="10"/>
  <c r="H508" i="10" s="1"/>
  <c r="E507" i="10"/>
  <c r="D507" i="10"/>
  <c r="B507" i="10"/>
  <c r="H507" i="10" s="1"/>
  <c r="E506" i="10"/>
  <c r="D506" i="10"/>
  <c r="B506" i="10"/>
  <c r="F506" i="10" s="1"/>
  <c r="E505" i="10"/>
  <c r="D505" i="10"/>
  <c r="B505" i="10"/>
  <c r="F505" i="10" s="1"/>
  <c r="E504" i="10"/>
  <c r="D504" i="10"/>
  <c r="B504" i="10"/>
  <c r="H504" i="10" s="1"/>
  <c r="E503" i="10"/>
  <c r="D503" i="10"/>
  <c r="B503" i="10"/>
  <c r="H503" i="10" s="1"/>
  <c r="E502" i="10"/>
  <c r="D502" i="10"/>
  <c r="B502" i="10"/>
  <c r="F502" i="10" s="1"/>
  <c r="E501" i="10"/>
  <c r="D501" i="10"/>
  <c r="B501" i="10"/>
  <c r="F501" i="10" s="1"/>
  <c r="E500" i="10"/>
  <c r="D500" i="10"/>
  <c r="B500" i="10"/>
  <c r="H500" i="10" s="1"/>
  <c r="E499" i="10"/>
  <c r="D499" i="10"/>
  <c r="B499" i="10"/>
  <c r="H499" i="10" s="1"/>
  <c r="E498" i="10"/>
  <c r="D498" i="10"/>
  <c r="B498" i="10"/>
  <c r="F498" i="10" s="1"/>
  <c r="E497" i="10"/>
  <c r="D497" i="10"/>
  <c r="B497" i="10"/>
  <c r="F497" i="10" s="1"/>
  <c r="E496" i="10"/>
  <c r="D496" i="10"/>
  <c r="B496" i="10"/>
  <c r="H496" i="10" s="1"/>
  <c r="G493" i="10"/>
  <c r="F493" i="10"/>
  <c r="E493" i="10"/>
  <c r="D493" i="10"/>
  <c r="C493" i="10"/>
  <c r="B493" i="10"/>
  <c r="A493" i="10"/>
  <c r="B478" i="10"/>
  <c r="B475" i="10"/>
  <c r="B474" i="10"/>
  <c r="B473" i="10"/>
  <c r="B472" i="10"/>
  <c r="B471" i="10"/>
  <c r="B470" i="10"/>
  <c r="B469" i="10"/>
  <c r="B468" i="10"/>
  <c r="B464" i="10"/>
  <c r="B463" i="10"/>
  <c r="C459" i="10"/>
  <c r="B459" i="10"/>
  <c r="B458" i="10"/>
  <c r="B455" i="10"/>
  <c r="B454" i="10"/>
  <c r="B453" i="10"/>
  <c r="C447" i="10"/>
  <c r="C446" i="10"/>
  <c r="C445" i="10"/>
  <c r="C444" i="10"/>
  <c r="B439" i="10"/>
  <c r="B438" i="10"/>
  <c r="B437" i="10"/>
  <c r="B436" i="10"/>
  <c r="B435" i="10"/>
  <c r="B434" i="10"/>
  <c r="B433" i="10"/>
  <c r="B431" i="10"/>
  <c r="B430" i="10"/>
  <c r="B429" i="10"/>
  <c r="B428" i="10"/>
  <c r="B427" i="10"/>
  <c r="D424" i="10"/>
  <c r="B424" i="10"/>
  <c r="B423" i="10"/>
  <c r="D421" i="10"/>
  <c r="B421" i="10"/>
  <c r="B420" i="10"/>
  <c r="D418" i="10"/>
  <c r="B418" i="10"/>
  <c r="B417" i="10"/>
  <c r="D415" i="10"/>
  <c r="B415" i="10"/>
  <c r="B414" i="10"/>
  <c r="A412" i="10"/>
  <c r="C383" i="10"/>
  <c r="B432" i="10" s="1"/>
  <c r="D372" i="10"/>
  <c r="D367" i="10"/>
  <c r="C448" i="10" s="1"/>
  <c r="D361" i="10"/>
  <c r="B465" i="10" s="1"/>
  <c r="D329" i="10"/>
  <c r="C325" i="10"/>
  <c r="D328" i="10" s="1"/>
  <c r="D319" i="10"/>
  <c r="D314" i="10"/>
  <c r="C286" i="10"/>
  <c r="D290" i="10" s="1"/>
  <c r="D283" i="10"/>
  <c r="D275" i="10"/>
  <c r="D277" i="10" s="1"/>
  <c r="D265" i="10"/>
  <c r="D260" i="10"/>
  <c r="D240" i="10"/>
  <c r="B447" i="10" s="1"/>
  <c r="D236" i="10"/>
  <c r="B446" i="10" s="1"/>
  <c r="C228" i="10"/>
  <c r="D229" i="10" s="1"/>
  <c r="B445" i="10" s="1"/>
  <c r="D221" i="10"/>
  <c r="D217" i="10"/>
  <c r="C217" i="10"/>
  <c r="D433" i="10" s="1"/>
  <c r="B217" i="10"/>
  <c r="E216" i="10"/>
  <c r="E215" i="10"/>
  <c r="E214" i="10"/>
  <c r="E213" i="10"/>
  <c r="E212" i="10"/>
  <c r="E211" i="10"/>
  <c r="E210" i="10"/>
  <c r="E209" i="10"/>
  <c r="D204" i="10"/>
  <c r="C204" i="10"/>
  <c r="B204" i="10"/>
  <c r="E203" i="10"/>
  <c r="C475" i="10" s="1"/>
  <c r="E202" i="10"/>
  <c r="C474" i="10" s="1"/>
  <c r="E201" i="10"/>
  <c r="E200" i="10"/>
  <c r="E199" i="10"/>
  <c r="C472" i="10" s="1"/>
  <c r="E198" i="10"/>
  <c r="C471" i="10" s="1"/>
  <c r="E197" i="10"/>
  <c r="C470" i="10" s="1"/>
  <c r="E196" i="10"/>
  <c r="C469" i="10" s="1"/>
  <c r="E195" i="10"/>
  <c r="C468" i="10" s="1"/>
  <c r="D190" i="10"/>
  <c r="D437" i="10" s="1"/>
  <c r="C184" i="10"/>
  <c r="D186" i="10" s="1"/>
  <c r="D436" i="10" s="1"/>
  <c r="D181" i="10"/>
  <c r="D177" i="10"/>
  <c r="D434" i="10" s="1"/>
  <c r="D173" i="10"/>
  <c r="D428" i="10" s="1"/>
  <c r="E154" i="10"/>
  <c r="E153" i="10"/>
  <c r="E152" i="10"/>
  <c r="E151" i="10"/>
  <c r="C421" i="10" s="1"/>
  <c r="E150" i="10"/>
  <c r="C420" i="10" s="1"/>
  <c r="E148" i="10"/>
  <c r="E147" i="10"/>
  <c r="E146" i="10"/>
  <c r="E145" i="10"/>
  <c r="C418" i="10" s="1"/>
  <c r="E144" i="10"/>
  <c r="C417" i="10" s="1"/>
  <c r="E142" i="10"/>
  <c r="E141" i="10"/>
  <c r="E140" i="10"/>
  <c r="D139" i="10"/>
  <c r="E139" i="10" s="1"/>
  <c r="C415" i="10" s="1"/>
  <c r="D138" i="10"/>
  <c r="E138" i="10" s="1"/>
  <c r="C414" i="10" s="1"/>
  <c r="E127" i="10"/>
  <c r="AV80" i="10"/>
  <c r="AR80" i="10"/>
  <c r="M80" i="10"/>
  <c r="CF79" i="10"/>
  <c r="CE79" i="10"/>
  <c r="J612" i="10" s="1"/>
  <c r="CE78" i="10"/>
  <c r="I612" i="10" s="1"/>
  <c r="CE77" i="10"/>
  <c r="G612" i="10" s="1"/>
  <c r="CC76" i="10"/>
  <c r="CE76" i="10" s="1"/>
  <c r="AU75" i="10"/>
  <c r="AT75" i="10"/>
  <c r="AS75" i="10"/>
  <c r="AR75" i="10"/>
  <c r="AQ75" i="10"/>
  <c r="AP75" i="10"/>
  <c r="AO75" i="10"/>
  <c r="AN75" i="10"/>
  <c r="AM75" i="10"/>
  <c r="AL75" i="10"/>
  <c r="AK75" i="10"/>
  <c r="AJ75" i="10"/>
  <c r="AI75" i="10"/>
  <c r="AH75" i="10"/>
  <c r="AG75" i="10"/>
  <c r="AF75" i="10"/>
  <c r="AE75" i="10"/>
  <c r="AD75" i="10"/>
  <c r="AC75" i="10"/>
  <c r="AB75" i="10"/>
  <c r="AA75" i="10"/>
  <c r="Z75" i="10"/>
  <c r="Y75" i="10"/>
  <c r="X75" i="10"/>
  <c r="W75" i="10"/>
  <c r="V75" i="10"/>
  <c r="U75" i="10"/>
  <c r="T75" i="10"/>
  <c r="S75" i="10"/>
  <c r="R75" i="10"/>
  <c r="Q75" i="10"/>
  <c r="P75" i="10"/>
  <c r="O75" i="10"/>
  <c r="N75" i="10"/>
  <c r="L75" i="10"/>
  <c r="K75" i="10"/>
  <c r="J75" i="10"/>
  <c r="I75" i="10"/>
  <c r="H75" i="10"/>
  <c r="G75" i="10"/>
  <c r="F75" i="10"/>
  <c r="E75" i="10"/>
  <c r="D75" i="10"/>
  <c r="C75" i="10"/>
  <c r="AV74" i="10"/>
  <c r="CE74" i="10" s="1"/>
  <c r="C464" i="10" s="1"/>
  <c r="AV73" i="10"/>
  <c r="M73" i="10"/>
  <c r="AR70" i="10"/>
  <c r="CE70" i="10" s="1"/>
  <c r="C458" i="10" s="1"/>
  <c r="CD69" i="10"/>
  <c r="C615" i="10" s="1"/>
  <c r="AR69" i="10"/>
  <c r="M69" i="10"/>
  <c r="AR68" i="10"/>
  <c r="M68" i="10"/>
  <c r="CC66" i="10"/>
  <c r="AR66" i="10"/>
  <c r="M66" i="10"/>
  <c r="AR65" i="10"/>
  <c r="M65" i="10"/>
  <c r="CC64" i="10"/>
  <c r="AR64" i="10"/>
  <c r="M64" i="10"/>
  <c r="CC63" i="10"/>
  <c r="BR63" i="10"/>
  <c r="AR63" i="10"/>
  <c r="M63" i="10"/>
  <c r="CC61" i="10"/>
  <c r="BR61" i="10"/>
  <c r="AR61" i="10"/>
  <c r="M61" i="10"/>
  <c r="AR60" i="10"/>
  <c r="M60" i="10"/>
  <c r="B53" i="10"/>
  <c r="BE51" i="10"/>
  <c r="M51" i="10"/>
  <c r="B49" i="10"/>
  <c r="CC47" i="10"/>
  <c r="BR47" i="10"/>
  <c r="AR47" i="10"/>
  <c r="M47" i="10"/>
  <c r="H550" i="10" l="1"/>
  <c r="D368" i="10"/>
  <c r="D373" i="10" s="1"/>
  <c r="CE51" i="10"/>
  <c r="CE68" i="10"/>
  <c r="C434" i="10" s="1"/>
  <c r="CF77" i="10"/>
  <c r="D463" i="10"/>
  <c r="H517" i="10"/>
  <c r="H524" i="10"/>
  <c r="H540" i="10"/>
  <c r="CE66" i="10"/>
  <c r="C432" i="10" s="1"/>
  <c r="CE80" i="10"/>
  <c r="L612" i="10" s="1"/>
  <c r="D464" i="10"/>
  <c r="H518" i="10"/>
  <c r="CE60" i="10"/>
  <c r="H612" i="10" s="1"/>
  <c r="CE69" i="10"/>
  <c r="C440" i="10" s="1"/>
  <c r="C473" i="10"/>
  <c r="D390" i="10"/>
  <c r="B441" i="10" s="1"/>
  <c r="F504" i="10"/>
  <c r="H505" i="10"/>
  <c r="H506" i="10"/>
  <c r="H528" i="10"/>
  <c r="CE61" i="10"/>
  <c r="N48" i="10" s="1"/>
  <c r="N62" i="10" s="1"/>
  <c r="CE63" i="10"/>
  <c r="C429" i="10" s="1"/>
  <c r="CE65" i="10"/>
  <c r="C431" i="10" s="1"/>
  <c r="D330" i="10"/>
  <c r="D339" i="10" s="1"/>
  <c r="C482" i="10" s="1"/>
  <c r="H501" i="10"/>
  <c r="H502" i="10"/>
  <c r="F521" i="10"/>
  <c r="AV75" i="10"/>
  <c r="H509" i="10"/>
  <c r="H510" i="10"/>
  <c r="H532" i="10"/>
  <c r="CE64" i="10"/>
  <c r="F612" i="10" s="1"/>
  <c r="CE47" i="10"/>
  <c r="C439" i="10"/>
  <c r="E217" i="10"/>
  <c r="C478" i="10" s="1"/>
  <c r="F496" i="10"/>
  <c r="H497" i="10"/>
  <c r="H498" i="10"/>
  <c r="H514" i="10"/>
  <c r="H536" i="10"/>
  <c r="F544" i="10"/>
  <c r="H545" i="10"/>
  <c r="F546" i="10"/>
  <c r="E204" i="10"/>
  <c r="C476" i="10" s="1"/>
  <c r="CE73" i="10"/>
  <c r="C463" i="10" s="1"/>
  <c r="D438" i="10"/>
  <c r="B444" i="10"/>
  <c r="D242" i="10"/>
  <c r="B448" i="10" s="1"/>
  <c r="D435" i="10"/>
  <c r="B440" i="10"/>
  <c r="F508" i="10"/>
  <c r="F512" i="10"/>
  <c r="H512" i="10"/>
  <c r="D612" i="10"/>
  <c r="CF76" i="10"/>
  <c r="O52" i="10" s="1"/>
  <c r="O67" i="10" s="1"/>
  <c r="D292" i="10"/>
  <c r="D341" i="10" s="1"/>
  <c r="C481" i="10" s="1"/>
  <c r="H513" i="10"/>
  <c r="F513" i="10"/>
  <c r="C438" i="10"/>
  <c r="CD71" i="10"/>
  <c r="C575" i="10" s="1"/>
  <c r="M75" i="10"/>
  <c r="B476" i="10"/>
  <c r="F500" i="10"/>
  <c r="H525" i="10"/>
  <c r="H529" i="10"/>
  <c r="H533" i="10"/>
  <c r="H537" i="10"/>
  <c r="F515" i="10"/>
  <c r="F519" i="10"/>
  <c r="F522" i="10"/>
  <c r="H523" i="10"/>
  <c r="F526" i="10"/>
  <c r="H527" i="10"/>
  <c r="F530" i="10"/>
  <c r="H531" i="10"/>
  <c r="F534" i="10"/>
  <c r="H535" i="10"/>
  <c r="F538" i="10"/>
  <c r="H539" i="10"/>
  <c r="F499" i="10"/>
  <c r="F503" i="10"/>
  <c r="F507" i="10"/>
  <c r="F511" i="10"/>
  <c r="F516" i="10"/>
  <c r="F520" i="10"/>
  <c r="F493" i="1"/>
  <c r="D493" i="1"/>
  <c r="B493" i="1"/>
  <c r="U52" i="10" l="1"/>
  <c r="U67" i="10" s="1"/>
  <c r="BG48" i="10"/>
  <c r="BG62" i="10" s="1"/>
  <c r="E789" i="10" s="1"/>
  <c r="AN48" i="10"/>
  <c r="AN62" i="10" s="1"/>
  <c r="K48" i="10"/>
  <c r="K62" i="10" s="1"/>
  <c r="L48" i="10"/>
  <c r="L62" i="10" s="1"/>
  <c r="E742" i="10" s="1"/>
  <c r="AA48" i="10"/>
  <c r="AA62" i="10" s="1"/>
  <c r="E757" i="10" s="1"/>
  <c r="H48" i="10"/>
  <c r="H62" i="10" s="1"/>
  <c r="E738" i="10" s="1"/>
  <c r="BF48" i="10"/>
  <c r="BF62" i="10" s="1"/>
  <c r="BW48" i="10"/>
  <c r="BW62" i="10" s="1"/>
  <c r="E805" i="10" s="1"/>
  <c r="BP48" i="10"/>
  <c r="BP62" i="10" s="1"/>
  <c r="Y48" i="10"/>
  <c r="Y62" i="10" s="1"/>
  <c r="AO48" i="10"/>
  <c r="AO62" i="10" s="1"/>
  <c r="BE48" i="10"/>
  <c r="BE62" i="10" s="1"/>
  <c r="E787" i="10" s="1"/>
  <c r="AQ48" i="10"/>
  <c r="AQ62" i="10" s="1"/>
  <c r="E773" i="10" s="1"/>
  <c r="AR48" i="10"/>
  <c r="AR62" i="10" s="1"/>
  <c r="I48" i="10"/>
  <c r="I62" i="10" s="1"/>
  <c r="BY48" i="10"/>
  <c r="BY62" i="10" s="1"/>
  <c r="BJ48" i="10"/>
  <c r="BJ62" i="10" s="1"/>
  <c r="C48" i="10"/>
  <c r="C62" i="10" s="1"/>
  <c r="S48" i="10"/>
  <c r="S62" i="10" s="1"/>
  <c r="AI48" i="10"/>
  <c r="AI62" i="10" s="1"/>
  <c r="E765" i="10" s="1"/>
  <c r="AY48" i="10"/>
  <c r="AY62" i="10" s="1"/>
  <c r="E781" i="10" s="1"/>
  <c r="BO48" i="10"/>
  <c r="BO62" i="10" s="1"/>
  <c r="E797" i="10" s="1"/>
  <c r="C427" i="10"/>
  <c r="AB48" i="10"/>
  <c r="AB62" i="10" s="1"/>
  <c r="BL48" i="10"/>
  <c r="BL62" i="10" s="1"/>
  <c r="X48" i="10"/>
  <c r="X62" i="10" s="1"/>
  <c r="BD48" i="10"/>
  <c r="BD62" i="10" s="1"/>
  <c r="CB48" i="10"/>
  <c r="CB62" i="10" s="1"/>
  <c r="Q48" i="10"/>
  <c r="Q62" i="10" s="1"/>
  <c r="AG48" i="10"/>
  <c r="AG62" i="10" s="1"/>
  <c r="AW48" i="10"/>
  <c r="AW62" i="10" s="1"/>
  <c r="BM48" i="10"/>
  <c r="BM62" i="10" s="1"/>
  <c r="AH48" i="10"/>
  <c r="AH62" i="10" s="1"/>
  <c r="BV48" i="10"/>
  <c r="BV62" i="10" s="1"/>
  <c r="BR48" i="10"/>
  <c r="BR62" i="10" s="1"/>
  <c r="D465" i="10"/>
  <c r="G48" i="10"/>
  <c r="G62" i="10" s="1"/>
  <c r="W48" i="10"/>
  <c r="W62" i="10" s="1"/>
  <c r="AM48" i="10"/>
  <c r="AM62" i="10" s="1"/>
  <c r="E769" i="10" s="1"/>
  <c r="BC48" i="10"/>
  <c r="BC62" i="10" s="1"/>
  <c r="E785" i="10" s="1"/>
  <c r="BS48" i="10"/>
  <c r="BS62" i="10" s="1"/>
  <c r="E801" i="10" s="1"/>
  <c r="D48" i="10"/>
  <c r="D62" i="10" s="1"/>
  <c r="E734" i="10" s="1"/>
  <c r="AJ48" i="10"/>
  <c r="AJ62" i="10" s="1"/>
  <c r="BT48" i="10"/>
  <c r="BT62" i="10" s="1"/>
  <c r="AF48" i="10"/>
  <c r="AF62" i="10" s="1"/>
  <c r="BH48" i="10"/>
  <c r="BH62" i="10" s="1"/>
  <c r="E48" i="10"/>
  <c r="E62" i="10" s="1"/>
  <c r="E735" i="10" s="1"/>
  <c r="U48" i="10"/>
  <c r="U62" i="10" s="1"/>
  <c r="U71" i="10" s="1"/>
  <c r="M751" i="10" s="1"/>
  <c r="AK48" i="10"/>
  <c r="AK62" i="10" s="1"/>
  <c r="BA48" i="10"/>
  <c r="BA62" i="10" s="1"/>
  <c r="BU48" i="10"/>
  <c r="BU62" i="10" s="1"/>
  <c r="R48" i="10"/>
  <c r="R62" i="10" s="1"/>
  <c r="E748" i="10" s="1"/>
  <c r="AP48" i="10"/>
  <c r="AP62" i="10" s="1"/>
  <c r="CE75" i="10"/>
  <c r="K612" i="10" s="1"/>
  <c r="Z48" i="10"/>
  <c r="Z62" i="10" s="1"/>
  <c r="O48" i="10"/>
  <c r="O62" i="10" s="1"/>
  <c r="O71" i="10" s="1"/>
  <c r="M745" i="10" s="1"/>
  <c r="AE48" i="10"/>
  <c r="AE62" i="10" s="1"/>
  <c r="E761" i="10" s="1"/>
  <c r="AU48" i="10"/>
  <c r="AU62" i="10" s="1"/>
  <c r="E777" i="10" s="1"/>
  <c r="BK48" i="10"/>
  <c r="BK62" i="10" s="1"/>
  <c r="E793" i="10" s="1"/>
  <c r="CA48" i="10"/>
  <c r="CA62" i="10" s="1"/>
  <c r="E809" i="10" s="1"/>
  <c r="T48" i="10"/>
  <c r="T62" i="10" s="1"/>
  <c r="AZ48" i="10"/>
  <c r="AZ62" i="10" s="1"/>
  <c r="P48" i="10"/>
  <c r="P62" i="10" s="1"/>
  <c r="AV48" i="10"/>
  <c r="AV62" i="10" s="1"/>
  <c r="BX48" i="10"/>
  <c r="BX62" i="10" s="1"/>
  <c r="M48" i="10"/>
  <c r="M62" i="10" s="1"/>
  <c r="AC48" i="10"/>
  <c r="AC62" i="10" s="1"/>
  <c r="AS48" i="10"/>
  <c r="AS62" i="10" s="1"/>
  <c r="BI48" i="10"/>
  <c r="BI62" i="10" s="1"/>
  <c r="CC48" i="10"/>
  <c r="CC62" i="10" s="1"/>
  <c r="AD48" i="10"/>
  <c r="AD62" i="10" s="1"/>
  <c r="BB48" i="10"/>
  <c r="BB62" i="10" s="1"/>
  <c r="BQ48" i="10"/>
  <c r="BQ62" i="10" s="1"/>
  <c r="AX48" i="10"/>
  <c r="AX62" i="10" s="1"/>
  <c r="AT48" i="10"/>
  <c r="AT62" i="10" s="1"/>
  <c r="J48" i="10"/>
  <c r="J62" i="10" s="1"/>
  <c r="F48" i="10"/>
  <c r="F62" i="10" s="1"/>
  <c r="E736" i="10" s="1"/>
  <c r="C430" i="10"/>
  <c r="B575" i="1"/>
  <c r="BZ48" i="10"/>
  <c r="BZ62" i="10" s="1"/>
  <c r="BN48" i="10"/>
  <c r="BN62" i="10" s="1"/>
  <c r="V48" i="10"/>
  <c r="V62" i="10" s="1"/>
  <c r="AL48" i="10"/>
  <c r="AL62" i="10" s="1"/>
  <c r="D391" i="10"/>
  <c r="D393" i="10" s="1"/>
  <c r="D396" i="10" s="1"/>
  <c r="E52" i="10"/>
  <c r="E67" i="10" s="1"/>
  <c r="BA52" i="10"/>
  <c r="BA67" i="10" s="1"/>
  <c r="BD52" i="10"/>
  <c r="BD67" i="10" s="1"/>
  <c r="BD71" i="10" s="1"/>
  <c r="M786" i="10" s="1"/>
  <c r="D52" i="10"/>
  <c r="D67" i="10" s="1"/>
  <c r="BQ52" i="10"/>
  <c r="BQ67" i="10" s="1"/>
  <c r="BQ71" i="10" s="1"/>
  <c r="M799" i="10" s="1"/>
  <c r="AK52" i="10"/>
  <c r="AK67" i="10" s="1"/>
  <c r="AF52" i="10"/>
  <c r="AF67" i="10" s="1"/>
  <c r="AM52" i="10"/>
  <c r="AM67" i="10" s="1"/>
  <c r="CC52" i="10"/>
  <c r="CC67" i="10" s="1"/>
  <c r="BM52" i="10"/>
  <c r="BM67" i="10" s="1"/>
  <c r="AW52" i="10"/>
  <c r="AW67" i="10" s="1"/>
  <c r="AG52" i="10"/>
  <c r="AG67" i="10" s="1"/>
  <c r="Q52" i="10"/>
  <c r="Q67" i="10" s="1"/>
  <c r="BX52" i="10"/>
  <c r="BX67" i="10" s="1"/>
  <c r="AV52" i="10"/>
  <c r="AV67" i="10" s="1"/>
  <c r="X52" i="10"/>
  <c r="X67" i="10" s="1"/>
  <c r="BT52" i="10"/>
  <c r="BT67" i="10" s="1"/>
  <c r="AB52" i="10"/>
  <c r="AB67" i="10" s="1"/>
  <c r="BO52" i="10"/>
  <c r="BO67" i="10" s="1"/>
  <c r="AY52" i="10"/>
  <c r="AY67" i="10" s="1"/>
  <c r="AI52" i="10"/>
  <c r="AI67" i="10" s="1"/>
  <c r="S52" i="10"/>
  <c r="S67" i="10" s="1"/>
  <c r="C52" i="10"/>
  <c r="CB52" i="10"/>
  <c r="CB67" i="10" s="1"/>
  <c r="CB71" i="10" s="1"/>
  <c r="AR52" i="10"/>
  <c r="AR67" i="10" s="1"/>
  <c r="BS52" i="10"/>
  <c r="BS67" i="10" s="1"/>
  <c r="BC52" i="10"/>
  <c r="BC67" i="10" s="1"/>
  <c r="W52" i="10"/>
  <c r="W67" i="10" s="1"/>
  <c r="G52" i="10"/>
  <c r="G67" i="10" s="1"/>
  <c r="BY52" i="10"/>
  <c r="BY67" i="10" s="1"/>
  <c r="BI52" i="10"/>
  <c r="BI67" i="10" s="1"/>
  <c r="AS52" i="10"/>
  <c r="AS67" i="10" s="1"/>
  <c r="AC52" i="10"/>
  <c r="AC67" i="10" s="1"/>
  <c r="M52" i="10"/>
  <c r="M67" i="10" s="1"/>
  <c r="BP52" i="10"/>
  <c r="BP67" i="10" s="1"/>
  <c r="AN52" i="10"/>
  <c r="AN67" i="10" s="1"/>
  <c r="P52" i="10"/>
  <c r="P67" i="10" s="1"/>
  <c r="BL52" i="10"/>
  <c r="BL67" i="10" s="1"/>
  <c r="T52" i="10"/>
  <c r="T67" i="10" s="1"/>
  <c r="BK52" i="10"/>
  <c r="BK67" i="10" s="1"/>
  <c r="AU52" i="10"/>
  <c r="AU67" i="10" s="1"/>
  <c r="AE52" i="10"/>
  <c r="AE67" i="10" s="1"/>
  <c r="BF52" i="10"/>
  <c r="BF67" i="10" s="1"/>
  <c r="BB52" i="10"/>
  <c r="BB67" i="10" s="1"/>
  <c r="F52" i="10"/>
  <c r="F67" i="10" s="1"/>
  <c r="BR52" i="10"/>
  <c r="BR67" i="10" s="1"/>
  <c r="V52" i="10"/>
  <c r="V67" i="10" s="1"/>
  <c r="BN52" i="10"/>
  <c r="BN67" i="10" s="1"/>
  <c r="AX52" i="10"/>
  <c r="AX67" i="10" s="1"/>
  <c r="AH52" i="10"/>
  <c r="AH67" i="10" s="1"/>
  <c r="R52" i="10"/>
  <c r="R67" i="10" s="1"/>
  <c r="BZ52" i="10"/>
  <c r="BZ67" i="10" s="1"/>
  <c r="BJ52" i="10"/>
  <c r="BJ67" i="10" s="1"/>
  <c r="AT52" i="10"/>
  <c r="AT67" i="10" s="1"/>
  <c r="AD52" i="10"/>
  <c r="AD67" i="10" s="1"/>
  <c r="N52" i="10"/>
  <c r="N67" i="10" s="1"/>
  <c r="N71" i="10" s="1"/>
  <c r="BV52" i="10"/>
  <c r="BV67" i="10" s="1"/>
  <c r="AP52" i="10"/>
  <c r="AP67" i="10" s="1"/>
  <c r="Z52" i="10"/>
  <c r="Z67" i="10" s="1"/>
  <c r="J52" i="10"/>
  <c r="J67" i="10" s="1"/>
  <c r="AL52" i="10"/>
  <c r="AL67" i="10" s="1"/>
  <c r="CA52" i="10"/>
  <c r="CA67" i="10" s="1"/>
  <c r="BU52" i="10"/>
  <c r="BU67" i="10" s="1"/>
  <c r="BE52" i="10"/>
  <c r="BE67" i="10" s="1"/>
  <c r="AO52" i="10"/>
  <c r="AO67" i="10" s="1"/>
  <c r="Y52" i="10"/>
  <c r="Y67" i="10" s="1"/>
  <c r="I52" i="10"/>
  <c r="I67" i="10" s="1"/>
  <c r="BH52" i="10"/>
  <c r="BH67" i="10" s="1"/>
  <c r="AJ52" i="10"/>
  <c r="AJ67" i="10" s="1"/>
  <c r="L52" i="10"/>
  <c r="L67" i="10" s="1"/>
  <c r="AZ52" i="10"/>
  <c r="AZ67" i="10" s="1"/>
  <c r="H52" i="10"/>
  <c r="H67" i="10" s="1"/>
  <c r="BW52" i="10"/>
  <c r="BW67" i="10" s="1"/>
  <c r="BG52" i="10"/>
  <c r="BG67" i="10" s="1"/>
  <c r="AQ52" i="10"/>
  <c r="AQ67" i="10" s="1"/>
  <c r="AA52" i="10"/>
  <c r="AA67" i="10" s="1"/>
  <c r="K52" i="10"/>
  <c r="K67" i="10" s="1"/>
  <c r="O816" i="10"/>
  <c r="M816" i="10"/>
  <c r="L816" i="10"/>
  <c r="K816" i="10"/>
  <c r="J816" i="10"/>
  <c r="I816" i="10"/>
  <c r="H816" i="10"/>
  <c r="G816" i="10"/>
  <c r="F816" i="10"/>
  <c r="E816" i="10"/>
  <c r="D816" i="10"/>
  <c r="W812" i="10"/>
  <c r="W814" i="10" s="1"/>
  <c r="Y812" i="10"/>
  <c r="Y814" i="10" s="1"/>
  <c r="X812" i="10"/>
  <c r="X814" i="10" s="1"/>
  <c r="V812" i="10"/>
  <c r="V814" i="10" s="1"/>
  <c r="U812" i="10"/>
  <c r="U814" i="10" s="1"/>
  <c r="A812" i="10"/>
  <c r="T811" i="10"/>
  <c r="S811" i="10"/>
  <c r="R811" i="10"/>
  <c r="Q811" i="10"/>
  <c r="P811" i="10"/>
  <c r="L811" i="10"/>
  <c r="K811" i="10"/>
  <c r="I811" i="10"/>
  <c r="H811" i="10"/>
  <c r="G811" i="10"/>
  <c r="F811" i="10"/>
  <c r="D811" i="10"/>
  <c r="C811" i="10"/>
  <c r="A811" i="10"/>
  <c r="T810" i="10"/>
  <c r="S810" i="10"/>
  <c r="R810" i="10"/>
  <c r="Q810" i="10"/>
  <c r="P810" i="10"/>
  <c r="L810" i="10"/>
  <c r="K810" i="10"/>
  <c r="I810" i="10"/>
  <c r="H810" i="10"/>
  <c r="G810" i="10"/>
  <c r="F810" i="10"/>
  <c r="D810" i="10"/>
  <c r="C810" i="10"/>
  <c r="A810" i="10"/>
  <c r="T809" i="10"/>
  <c r="S809" i="10"/>
  <c r="R809" i="10"/>
  <c r="Q809" i="10"/>
  <c r="P809" i="10"/>
  <c r="L809" i="10"/>
  <c r="K809" i="10"/>
  <c r="I809" i="10"/>
  <c r="H809" i="10"/>
  <c r="G809" i="10"/>
  <c r="F809" i="10"/>
  <c r="D809" i="10"/>
  <c r="C809" i="10"/>
  <c r="A809" i="10"/>
  <c r="T808" i="10"/>
  <c r="S808" i="10"/>
  <c r="R808" i="10"/>
  <c r="Q808" i="10"/>
  <c r="P808" i="10"/>
  <c r="L808" i="10"/>
  <c r="K808" i="10"/>
  <c r="I808" i="10"/>
  <c r="H808" i="10"/>
  <c r="G808" i="10"/>
  <c r="F808" i="10"/>
  <c r="D808" i="10"/>
  <c r="C808" i="10"/>
  <c r="A808" i="10"/>
  <c r="T807" i="10"/>
  <c r="S807" i="10"/>
  <c r="R807" i="10"/>
  <c r="Q807" i="10"/>
  <c r="P807" i="10"/>
  <c r="L807" i="10"/>
  <c r="K807" i="10"/>
  <c r="I807" i="10"/>
  <c r="H807" i="10"/>
  <c r="G807" i="10"/>
  <c r="F807" i="10"/>
  <c r="D807" i="10"/>
  <c r="C807" i="10"/>
  <c r="A807" i="10"/>
  <c r="T806" i="10"/>
  <c r="S806" i="10"/>
  <c r="R806" i="10"/>
  <c r="Q806" i="10"/>
  <c r="P806" i="10"/>
  <c r="L806" i="10"/>
  <c r="K806" i="10"/>
  <c r="I806" i="10"/>
  <c r="H806" i="10"/>
  <c r="G806" i="10"/>
  <c r="F806" i="10"/>
  <c r="D806" i="10"/>
  <c r="C806" i="10"/>
  <c r="A806" i="10"/>
  <c r="T805" i="10"/>
  <c r="S805" i="10"/>
  <c r="R805" i="10"/>
  <c r="Q805" i="10"/>
  <c r="P805" i="10"/>
  <c r="L805" i="10"/>
  <c r="K805" i="10"/>
  <c r="I805" i="10"/>
  <c r="H805" i="10"/>
  <c r="G805" i="10"/>
  <c r="F805" i="10"/>
  <c r="D805" i="10"/>
  <c r="C805" i="10"/>
  <c r="A805" i="10"/>
  <c r="T804" i="10"/>
  <c r="S804" i="10"/>
  <c r="R804" i="10"/>
  <c r="Q804" i="10"/>
  <c r="P804" i="10"/>
  <c r="L804" i="10"/>
  <c r="K804" i="10"/>
  <c r="I804" i="10"/>
  <c r="H804" i="10"/>
  <c r="G804" i="10"/>
  <c r="F804" i="10"/>
  <c r="D804" i="10"/>
  <c r="C804" i="10"/>
  <c r="A804" i="10"/>
  <c r="T803" i="10"/>
  <c r="S803" i="10"/>
  <c r="R803" i="10"/>
  <c r="Q803" i="10"/>
  <c r="P803" i="10"/>
  <c r="L803" i="10"/>
  <c r="K803" i="10"/>
  <c r="I803" i="10"/>
  <c r="H803" i="10"/>
  <c r="G803" i="10"/>
  <c r="F803" i="10"/>
  <c r="D803" i="10"/>
  <c r="C803" i="10"/>
  <c r="A803" i="10"/>
  <c r="T802" i="10"/>
  <c r="S802" i="10"/>
  <c r="R802" i="10"/>
  <c r="Q802" i="10"/>
  <c r="P802" i="10"/>
  <c r="L802" i="10"/>
  <c r="K802" i="10"/>
  <c r="I802" i="10"/>
  <c r="H802" i="10"/>
  <c r="G802" i="10"/>
  <c r="F802" i="10"/>
  <c r="D802" i="10"/>
  <c r="C802" i="10"/>
  <c r="A802" i="10"/>
  <c r="T801" i="10"/>
  <c r="S801" i="10"/>
  <c r="R801" i="10"/>
  <c r="Q801" i="10"/>
  <c r="P801" i="10"/>
  <c r="L801" i="10"/>
  <c r="K801" i="10"/>
  <c r="I801" i="10"/>
  <c r="H801" i="10"/>
  <c r="G801" i="10"/>
  <c r="F801" i="10"/>
  <c r="D801" i="10"/>
  <c r="C801" i="10"/>
  <c r="A801" i="10"/>
  <c r="T800" i="10"/>
  <c r="S800" i="10"/>
  <c r="R800" i="10"/>
  <c r="Q800" i="10"/>
  <c r="P800" i="10"/>
  <c r="L800" i="10"/>
  <c r="K800" i="10"/>
  <c r="I800" i="10"/>
  <c r="H800" i="10"/>
  <c r="G800" i="10"/>
  <c r="F800" i="10"/>
  <c r="D800" i="10"/>
  <c r="C800" i="10"/>
  <c r="A800" i="10"/>
  <c r="T799" i="10"/>
  <c r="S799" i="10"/>
  <c r="R799" i="10"/>
  <c r="Q799" i="10"/>
  <c r="P799" i="10"/>
  <c r="L799" i="10"/>
  <c r="K799" i="10"/>
  <c r="I799" i="10"/>
  <c r="H799" i="10"/>
  <c r="G799" i="10"/>
  <c r="F799" i="10"/>
  <c r="D799" i="10"/>
  <c r="C799" i="10"/>
  <c r="A799" i="10"/>
  <c r="T798" i="10"/>
  <c r="S798" i="10"/>
  <c r="R798" i="10"/>
  <c r="Q798" i="10"/>
  <c r="P798" i="10"/>
  <c r="L798" i="10"/>
  <c r="K798" i="10"/>
  <c r="I798" i="10"/>
  <c r="H798" i="10"/>
  <c r="G798" i="10"/>
  <c r="F798" i="10"/>
  <c r="D798" i="10"/>
  <c r="C798" i="10"/>
  <c r="A798" i="10"/>
  <c r="T797" i="10"/>
  <c r="S797" i="10"/>
  <c r="R797" i="10"/>
  <c r="Q797" i="10"/>
  <c r="P797" i="10"/>
  <c r="L797" i="10"/>
  <c r="K797" i="10"/>
  <c r="I797" i="10"/>
  <c r="H797" i="10"/>
  <c r="G797" i="10"/>
  <c r="F797" i="10"/>
  <c r="D797" i="10"/>
  <c r="C797" i="10"/>
  <c r="A797" i="10"/>
  <c r="T796" i="10"/>
  <c r="S796" i="10"/>
  <c r="R796" i="10"/>
  <c r="Q796" i="10"/>
  <c r="P796" i="10"/>
  <c r="L796" i="10"/>
  <c r="K796" i="10"/>
  <c r="I796" i="10"/>
  <c r="H796" i="10"/>
  <c r="G796" i="10"/>
  <c r="F796" i="10"/>
  <c r="D796" i="10"/>
  <c r="C796" i="10"/>
  <c r="A796" i="10"/>
  <c r="T795" i="10"/>
  <c r="S795" i="10"/>
  <c r="R795" i="10"/>
  <c r="Q795" i="10"/>
  <c r="P795" i="10"/>
  <c r="L795" i="10"/>
  <c r="K795" i="10"/>
  <c r="I795" i="10"/>
  <c r="H795" i="10"/>
  <c r="G795" i="10"/>
  <c r="F795" i="10"/>
  <c r="D795" i="10"/>
  <c r="C795" i="10"/>
  <c r="A795" i="10"/>
  <c r="T794" i="10"/>
  <c r="S794" i="10"/>
  <c r="R794" i="10"/>
  <c r="Q794" i="10"/>
  <c r="P794" i="10"/>
  <c r="L794" i="10"/>
  <c r="K794" i="10"/>
  <c r="I794" i="10"/>
  <c r="H794" i="10"/>
  <c r="G794" i="10"/>
  <c r="F794" i="10"/>
  <c r="D794" i="10"/>
  <c r="C794" i="10"/>
  <c r="A794" i="10"/>
  <c r="T793" i="10"/>
  <c r="S793" i="10"/>
  <c r="R793" i="10"/>
  <c r="Q793" i="10"/>
  <c r="P793" i="10"/>
  <c r="L793" i="10"/>
  <c r="K793" i="10"/>
  <c r="I793" i="10"/>
  <c r="H793" i="10"/>
  <c r="G793" i="10"/>
  <c r="F793" i="10"/>
  <c r="D793" i="10"/>
  <c r="C793" i="10"/>
  <c r="A793" i="10"/>
  <c r="T792" i="10"/>
  <c r="S792" i="10"/>
  <c r="R792" i="10"/>
  <c r="Q792" i="10"/>
  <c r="P792" i="10"/>
  <c r="L792" i="10"/>
  <c r="K792" i="10"/>
  <c r="I792" i="10"/>
  <c r="H792" i="10"/>
  <c r="G792" i="10"/>
  <c r="F792" i="10"/>
  <c r="D792" i="10"/>
  <c r="C792" i="10"/>
  <c r="A792" i="10"/>
  <c r="T791" i="10"/>
  <c r="S791" i="10"/>
  <c r="R791" i="10"/>
  <c r="Q791" i="10"/>
  <c r="P791" i="10"/>
  <c r="L791" i="10"/>
  <c r="K791" i="10"/>
  <c r="I791" i="10"/>
  <c r="H791" i="10"/>
  <c r="G791" i="10"/>
  <c r="F791" i="10"/>
  <c r="D791" i="10"/>
  <c r="C791" i="10"/>
  <c r="A791" i="10"/>
  <c r="T790" i="10"/>
  <c r="S790" i="10"/>
  <c r="R790" i="10"/>
  <c r="Q790" i="10"/>
  <c r="P790" i="10"/>
  <c r="L790" i="10"/>
  <c r="K790" i="10"/>
  <c r="I790" i="10"/>
  <c r="H790" i="10"/>
  <c r="G790" i="10"/>
  <c r="F790" i="10"/>
  <c r="D790" i="10"/>
  <c r="C790" i="10"/>
  <c r="A790" i="10"/>
  <c r="T789" i="10"/>
  <c r="S789" i="10"/>
  <c r="R789" i="10"/>
  <c r="Q789" i="10"/>
  <c r="P789" i="10"/>
  <c r="L789" i="10"/>
  <c r="K789" i="10"/>
  <c r="I789" i="10"/>
  <c r="H789" i="10"/>
  <c r="G789" i="10"/>
  <c r="F789" i="10"/>
  <c r="D789" i="10"/>
  <c r="C789" i="10"/>
  <c r="A789" i="10"/>
  <c r="T788" i="10"/>
  <c r="S788" i="10"/>
  <c r="R788" i="10"/>
  <c r="Q788" i="10"/>
  <c r="P788" i="10"/>
  <c r="L788" i="10"/>
  <c r="K788" i="10"/>
  <c r="I788" i="10"/>
  <c r="H788" i="10"/>
  <c r="G788" i="10"/>
  <c r="F788" i="10"/>
  <c r="D788" i="10"/>
  <c r="C788" i="10"/>
  <c r="A788" i="10"/>
  <c r="T787" i="10"/>
  <c r="S787" i="10"/>
  <c r="R787" i="10"/>
  <c r="Q787" i="10"/>
  <c r="P787" i="10"/>
  <c r="L787" i="10"/>
  <c r="K787" i="10"/>
  <c r="I787" i="10"/>
  <c r="H787" i="10"/>
  <c r="G787" i="10"/>
  <c r="F787" i="10"/>
  <c r="D787" i="10"/>
  <c r="C787" i="10"/>
  <c r="B787" i="10"/>
  <c r="A787" i="10"/>
  <c r="T786" i="10"/>
  <c r="S786" i="10"/>
  <c r="R786" i="10"/>
  <c r="Q786" i="10"/>
  <c r="P786" i="10"/>
  <c r="L786" i="10"/>
  <c r="K786" i="10"/>
  <c r="I786" i="10"/>
  <c r="H786" i="10"/>
  <c r="G786" i="10"/>
  <c r="F786" i="10"/>
  <c r="D786" i="10"/>
  <c r="C786" i="10"/>
  <c r="A786" i="10"/>
  <c r="T785" i="10"/>
  <c r="S785" i="10"/>
  <c r="R785" i="10"/>
  <c r="Q785" i="10"/>
  <c r="P785" i="10"/>
  <c r="L785" i="10"/>
  <c r="K785" i="10"/>
  <c r="I785" i="10"/>
  <c r="H785" i="10"/>
  <c r="G785" i="10"/>
  <c r="F785" i="10"/>
  <c r="D785" i="10"/>
  <c r="C785" i="10"/>
  <c r="A785" i="10"/>
  <c r="T784" i="10"/>
  <c r="S784" i="10"/>
  <c r="R784" i="10"/>
  <c r="Q784" i="10"/>
  <c r="P784" i="10"/>
  <c r="L784" i="10"/>
  <c r="K784" i="10"/>
  <c r="I784" i="10"/>
  <c r="H784" i="10"/>
  <c r="G784" i="10"/>
  <c r="F784" i="10"/>
  <c r="D784" i="10"/>
  <c r="C784" i="10"/>
  <c r="A784" i="10"/>
  <c r="T783" i="10"/>
  <c r="S783" i="10"/>
  <c r="R783" i="10"/>
  <c r="Q783" i="10"/>
  <c r="P783" i="10"/>
  <c r="L783" i="10"/>
  <c r="K783" i="10"/>
  <c r="I783" i="10"/>
  <c r="H783" i="10"/>
  <c r="G783" i="10"/>
  <c r="F783" i="10"/>
  <c r="D783" i="10"/>
  <c r="C783" i="10"/>
  <c r="B783" i="10"/>
  <c r="A783" i="10"/>
  <c r="T782" i="10"/>
  <c r="S782" i="10"/>
  <c r="R782" i="10"/>
  <c r="Q782" i="10"/>
  <c r="P782" i="10"/>
  <c r="L782" i="10"/>
  <c r="K782" i="10"/>
  <c r="I782" i="10"/>
  <c r="H782" i="10"/>
  <c r="G782" i="10"/>
  <c r="F782" i="10"/>
  <c r="D782" i="10"/>
  <c r="C782" i="10"/>
  <c r="B782" i="10"/>
  <c r="A782" i="10"/>
  <c r="T781" i="10"/>
  <c r="S781" i="10"/>
  <c r="R781" i="10"/>
  <c r="Q781" i="10"/>
  <c r="P781" i="10"/>
  <c r="L781" i="10"/>
  <c r="K781" i="10"/>
  <c r="I781" i="10"/>
  <c r="H781" i="10"/>
  <c r="G781" i="10"/>
  <c r="F781" i="10"/>
  <c r="D781" i="10"/>
  <c r="C781" i="10"/>
  <c r="B781" i="10"/>
  <c r="A781" i="10"/>
  <c r="T780" i="10"/>
  <c r="S780" i="10"/>
  <c r="R780" i="10"/>
  <c r="Q780" i="10"/>
  <c r="P780" i="10"/>
  <c r="L780" i="10"/>
  <c r="K780" i="10"/>
  <c r="I780" i="10"/>
  <c r="H780" i="10"/>
  <c r="G780" i="10"/>
  <c r="F780" i="10"/>
  <c r="D780" i="10"/>
  <c r="C780" i="10"/>
  <c r="A780" i="10"/>
  <c r="T779" i="10"/>
  <c r="S779" i="10"/>
  <c r="R779" i="10"/>
  <c r="Q779" i="10"/>
  <c r="P779" i="10"/>
  <c r="L779" i="10"/>
  <c r="K779" i="10"/>
  <c r="I779" i="10"/>
  <c r="H779" i="10"/>
  <c r="G779" i="10"/>
  <c r="F779" i="10"/>
  <c r="D779" i="10"/>
  <c r="C779" i="10"/>
  <c r="A779" i="10"/>
  <c r="T778" i="10"/>
  <c r="S778" i="10"/>
  <c r="R778" i="10"/>
  <c r="Q778" i="10"/>
  <c r="P778" i="10"/>
  <c r="O778" i="10"/>
  <c r="L778" i="10"/>
  <c r="K778" i="10"/>
  <c r="I778" i="10"/>
  <c r="H778" i="10"/>
  <c r="G778" i="10"/>
  <c r="F778" i="10"/>
  <c r="D778" i="10"/>
  <c r="C778" i="10"/>
  <c r="A778" i="10"/>
  <c r="T777" i="10"/>
  <c r="S777" i="10"/>
  <c r="R777" i="10"/>
  <c r="Q777" i="10"/>
  <c r="P777" i="10"/>
  <c r="O777" i="10"/>
  <c r="L777" i="10"/>
  <c r="K777" i="10"/>
  <c r="I777" i="10"/>
  <c r="H777" i="10"/>
  <c r="G777" i="10"/>
  <c r="F777" i="10"/>
  <c r="D777" i="10"/>
  <c r="C777" i="10"/>
  <c r="B777" i="10"/>
  <c r="A777" i="10"/>
  <c r="T776" i="10"/>
  <c r="S776" i="10"/>
  <c r="R776" i="10"/>
  <c r="Q776" i="10"/>
  <c r="P776" i="10"/>
  <c r="O776" i="10"/>
  <c r="L776" i="10"/>
  <c r="K776" i="10"/>
  <c r="I776" i="10"/>
  <c r="H776" i="10"/>
  <c r="G776" i="10"/>
  <c r="F776" i="10"/>
  <c r="D776" i="10"/>
  <c r="C776" i="10"/>
  <c r="B776" i="10"/>
  <c r="A776" i="10"/>
  <c r="T775" i="10"/>
  <c r="S775" i="10"/>
  <c r="R775" i="10"/>
  <c r="Q775" i="10"/>
  <c r="P775" i="10"/>
  <c r="O775" i="10"/>
  <c r="L775" i="10"/>
  <c r="K775" i="10"/>
  <c r="I775" i="10"/>
  <c r="H775" i="10"/>
  <c r="G775" i="10"/>
  <c r="F775" i="10"/>
  <c r="D775" i="10"/>
  <c r="C775" i="10"/>
  <c r="B775" i="10"/>
  <c r="A775" i="10"/>
  <c r="T774" i="10"/>
  <c r="S774" i="10"/>
  <c r="R774" i="10"/>
  <c r="Q774" i="10"/>
  <c r="P774" i="10"/>
  <c r="O774" i="10"/>
  <c r="L774" i="10"/>
  <c r="K774" i="10"/>
  <c r="I774" i="10"/>
  <c r="H774" i="10"/>
  <c r="G774" i="10"/>
  <c r="F774" i="10"/>
  <c r="D774" i="10"/>
  <c r="C774" i="10"/>
  <c r="B774" i="10"/>
  <c r="A774" i="10"/>
  <c r="T773" i="10"/>
  <c r="S773" i="10"/>
  <c r="R773" i="10"/>
  <c r="Q773" i="10"/>
  <c r="P773" i="10"/>
  <c r="O773" i="10"/>
  <c r="L773" i="10"/>
  <c r="K773" i="10"/>
  <c r="I773" i="10"/>
  <c r="H773" i="10"/>
  <c r="G773" i="10"/>
  <c r="F773" i="10"/>
  <c r="D773" i="10"/>
  <c r="C773" i="10"/>
  <c r="B773" i="10"/>
  <c r="A773" i="10"/>
  <c r="T772" i="10"/>
  <c r="S772" i="10"/>
  <c r="R772" i="10"/>
  <c r="Q772" i="10"/>
  <c r="P772" i="10"/>
  <c r="O772" i="10"/>
  <c r="L772" i="10"/>
  <c r="K772" i="10"/>
  <c r="I772" i="10"/>
  <c r="H772" i="10"/>
  <c r="G772" i="10"/>
  <c r="F772" i="10"/>
  <c r="D772" i="10"/>
  <c r="C772" i="10"/>
  <c r="B772" i="10"/>
  <c r="A772" i="10"/>
  <c r="T771" i="10"/>
  <c r="S771" i="10"/>
  <c r="R771" i="10"/>
  <c r="Q771" i="10"/>
  <c r="P771" i="10"/>
  <c r="O771" i="10"/>
  <c r="L771" i="10"/>
  <c r="K771" i="10"/>
  <c r="I771" i="10"/>
  <c r="H771" i="10"/>
  <c r="G771" i="10"/>
  <c r="F771" i="10"/>
  <c r="D771" i="10"/>
  <c r="C771" i="10"/>
  <c r="B771" i="10"/>
  <c r="A771" i="10"/>
  <c r="T770" i="10"/>
  <c r="S770" i="10"/>
  <c r="R770" i="10"/>
  <c r="Q770" i="10"/>
  <c r="P770" i="10"/>
  <c r="O770" i="10"/>
  <c r="L770" i="10"/>
  <c r="K770" i="10"/>
  <c r="I770" i="10"/>
  <c r="H770" i="10"/>
  <c r="G770" i="10"/>
  <c r="F770" i="10"/>
  <c r="D770" i="10"/>
  <c r="C770" i="10"/>
  <c r="B770" i="10"/>
  <c r="A770" i="10"/>
  <c r="T769" i="10"/>
  <c r="S769" i="10"/>
  <c r="R769" i="10"/>
  <c r="Q769" i="10"/>
  <c r="P769" i="10"/>
  <c r="O769" i="10"/>
  <c r="L769" i="10"/>
  <c r="K769" i="10"/>
  <c r="I769" i="10"/>
  <c r="H769" i="10"/>
  <c r="G769" i="10"/>
  <c r="F769" i="10"/>
  <c r="D769" i="10"/>
  <c r="C769" i="10"/>
  <c r="B769" i="10"/>
  <c r="A769" i="10"/>
  <c r="T768" i="10"/>
  <c r="S768" i="10"/>
  <c r="R768" i="10"/>
  <c r="Q768" i="10"/>
  <c r="P768" i="10"/>
  <c r="O768" i="10"/>
  <c r="L768" i="10"/>
  <c r="K768" i="10"/>
  <c r="I768" i="10"/>
  <c r="H768" i="10"/>
  <c r="G768" i="10"/>
  <c r="F768" i="10"/>
  <c r="D768" i="10"/>
  <c r="C768" i="10"/>
  <c r="B768" i="10"/>
  <c r="A768" i="10"/>
  <c r="T767" i="10"/>
  <c r="S767" i="10"/>
  <c r="R767" i="10"/>
  <c r="Q767" i="10"/>
  <c r="P767" i="10"/>
  <c r="O767" i="10"/>
  <c r="L767" i="10"/>
  <c r="K767" i="10"/>
  <c r="I767" i="10"/>
  <c r="H767" i="10"/>
  <c r="G767" i="10"/>
  <c r="F767" i="10"/>
  <c r="D767" i="10"/>
  <c r="C767" i="10"/>
  <c r="B767" i="10"/>
  <c r="A767" i="10"/>
  <c r="T766" i="10"/>
  <c r="S766" i="10"/>
  <c r="R766" i="10"/>
  <c r="Q766" i="10"/>
  <c r="P766" i="10"/>
  <c r="O766" i="10"/>
  <c r="L766" i="10"/>
  <c r="K766" i="10"/>
  <c r="I766" i="10"/>
  <c r="H766" i="10"/>
  <c r="G766" i="10"/>
  <c r="F766" i="10"/>
  <c r="D766" i="10"/>
  <c r="C766" i="10"/>
  <c r="B766" i="10"/>
  <c r="A766" i="10"/>
  <c r="T765" i="10"/>
  <c r="S765" i="10"/>
  <c r="R765" i="10"/>
  <c r="Q765" i="10"/>
  <c r="P765" i="10"/>
  <c r="O765" i="10"/>
  <c r="L765" i="10"/>
  <c r="K765" i="10"/>
  <c r="I765" i="10"/>
  <c r="H765" i="10"/>
  <c r="G765" i="10"/>
  <c r="F765" i="10"/>
  <c r="D765" i="10"/>
  <c r="C765" i="10"/>
  <c r="B765" i="10"/>
  <c r="A765" i="10"/>
  <c r="T764" i="10"/>
  <c r="S764" i="10"/>
  <c r="R764" i="10"/>
  <c r="Q764" i="10"/>
  <c r="P764" i="10"/>
  <c r="O764" i="10"/>
  <c r="L764" i="10"/>
  <c r="K764" i="10"/>
  <c r="I764" i="10"/>
  <c r="H764" i="10"/>
  <c r="G764" i="10"/>
  <c r="F764" i="10"/>
  <c r="D764" i="10"/>
  <c r="C764" i="10"/>
  <c r="B764" i="10"/>
  <c r="A764" i="10"/>
  <c r="T763" i="10"/>
  <c r="S763" i="10"/>
  <c r="R763" i="10"/>
  <c r="Q763" i="10"/>
  <c r="P763" i="10"/>
  <c r="O763" i="10"/>
  <c r="L763" i="10"/>
  <c r="K763" i="10"/>
  <c r="I763" i="10"/>
  <c r="H763" i="10"/>
  <c r="G763" i="10"/>
  <c r="F763" i="10"/>
  <c r="D763" i="10"/>
  <c r="C763" i="10"/>
  <c r="B763" i="10"/>
  <c r="A763" i="10"/>
  <c r="T762" i="10"/>
  <c r="S762" i="10"/>
  <c r="R762" i="10"/>
  <c r="Q762" i="10"/>
  <c r="P762" i="10"/>
  <c r="O762" i="10"/>
  <c r="L762" i="10"/>
  <c r="K762" i="10"/>
  <c r="I762" i="10"/>
  <c r="H762" i="10"/>
  <c r="G762" i="10"/>
  <c r="F762" i="10"/>
  <c r="D762" i="10"/>
  <c r="C762" i="10"/>
  <c r="B762" i="10"/>
  <c r="A762" i="10"/>
  <c r="T761" i="10"/>
  <c r="S761" i="10"/>
  <c r="R761" i="10"/>
  <c r="Q761" i="10"/>
  <c r="P761" i="10"/>
  <c r="O761" i="10"/>
  <c r="L761" i="10"/>
  <c r="K761" i="10"/>
  <c r="I761" i="10"/>
  <c r="H761" i="10"/>
  <c r="G761" i="10"/>
  <c r="F761" i="10"/>
  <c r="D761" i="10"/>
  <c r="C761" i="10"/>
  <c r="B761" i="10"/>
  <c r="A761" i="10"/>
  <c r="T760" i="10"/>
  <c r="S760" i="10"/>
  <c r="R760" i="10"/>
  <c r="Q760" i="10"/>
  <c r="P760" i="10"/>
  <c r="O760" i="10"/>
  <c r="L760" i="10"/>
  <c r="K760" i="10"/>
  <c r="I760" i="10"/>
  <c r="H760" i="10"/>
  <c r="G760" i="10"/>
  <c r="F760" i="10"/>
  <c r="D760" i="10"/>
  <c r="C760" i="10"/>
  <c r="B760" i="10"/>
  <c r="A760" i="10"/>
  <c r="T759" i="10"/>
  <c r="S759" i="10"/>
  <c r="R759" i="10"/>
  <c r="Q759" i="10"/>
  <c r="P759" i="10"/>
  <c r="O759" i="10"/>
  <c r="L759" i="10"/>
  <c r="K759" i="10"/>
  <c r="I759" i="10"/>
  <c r="H759" i="10"/>
  <c r="G759" i="10"/>
  <c r="F759" i="10"/>
  <c r="D759" i="10"/>
  <c r="C759" i="10"/>
  <c r="B759" i="10"/>
  <c r="A759" i="10"/>
  <c r="T758" i="10"/>
  <c r="S758" i="10"/>
  <c r="R758" i="10"/>
  <c r="Q758" i="10"/>
  <c r="P758" i="10"/>
  <c r="O758" i="10"/>
  <c r="L758" i="10"/>
  <c r="K758" i="10"/>
  <c r="I758" i="10"/>
  <c r="H758" i="10"/>
  <c r="G758" i="10"/>
  <c r="F758" i="10"/>
  <c r="D758" i="10"/>
  <c r="C758" i="10"/>
  <c r="A758" i="10"/>
  <c r="T757" i="10"/>
  <c r="S757" i="10"/>
  <c r="R757" i="10"/>
  <c r="Q757" i="10"/>
  <c r="P757" i="10"/>
  <c r="O757" i="10"/>
  <c r="L757" i="10"/>
  <c r="K757" i="10"/>
  <c r="I757" i="10"/>
  <c r="H757" i="10"/>
  <c r="G757" i="10"/>
  <c r="F757" i="10"/>
  <c r="D757" i="10"/>
  <c r="C757" i="10"/>
  <c r="B757" i="10"/>
  <c r="A757" i="10"/>
  <c r="T756" i="10"/>
  <c r="S756" i="10"/>
  <c r="R756" i="10"/>
  <c r="Q756" i="10"/>
  <c r="P756" i="10"/>
  <c r="O756" i="10"/>
  <c r="L756" i="10"/>
  <c r="K756" i="10"/>
  <c r="I756" i="10"/>
  <c r="H756" i="10"/>
  <c r="G756" i="10"/>
  <c r="F756" i="10"/>
  <c r="D756" i="10"/>
  <c r="C756" i="10"/>
  <c r="B756" i="10"/>
  <c r="A756" i="10"/>
  <c r="T755" i="10"/>
  <c r="S755" i="10"/>
  <c r="R755" i="10"/>
  <c r="Q755" i="10"/>
  <c r="P755" i="10"/>
  <c r="O755" i="10"/>
  <c r="L755" i="10"/>
  <c r="K755" i="10"/>
  <c r="I755" i="10"/>
  <c r="H755" i="10"/>
  <c r="G755" i="10"/>
  <c r="F755" i="10"/>
  <c r="D755" i="10"/>
  <c r="C755" i="10"/>
  <c r="B755" i="10"/>
  <c r="A755" i="10"/>
  <c r="T754" i="10"/>
  <c r="S754" i="10"/>
  <c r="R754" i="10"/>
  <c r="Q754" i="10"/>
  <c r="P754" i="10"/>
  <c r="O754" i="10"/>
  <c r="L754" i="10"/>
  <c r="K754" i="10"/>
  <c r="I754" i="10"/>
  <c r="H754" i="10"/>
  <c r="G754" i="10"/>
  <c r="F754" i="10"/>
  <c r="D754" i="10"/>
  <c r="C754" i="10"/>
  <c r="B754" i="10"/>
  <c r="A754" i="10"/>
  <c r="T753" i="10"/>
  <c r="S753" i="10"/>
  <c r="R753" i="10"/>
  <c r="Q753" i="10"/>
  <c r="P753" i="10"/>
  <c r="O753" i="10"/>
  <c r="L753" i="10"/>
  <c r="K753" i="10"/>
  <c r="I753" i="10"/>
  <c r="H753" i="10"/>
  <c r="G753" i="10"/>
  <c r="F753" i="10"/>
  <c r="D753" i="10"/>
  <c r="C753" i="10"/>
  <c r="B753" i="10"/>
  <c r="A753" i="10"/>
  <c r="T752" i="10"/>
  <c r="S752" i="10"/>
  <c r="R752" i="10"/>
  <c r="Q752" i="10"/>
  <c r="P752" i="10"/>
  <c r="O752" i="10"/>
  <c r="L752" i="10"/>
  <c r="K752" i="10"/>
  <c r="I752" i="10"/>
  <c r="H752" i="10"/>
  <c r="G752" i="10"/>
  <c r="F752" i="10"/>
  <c r="D752" i="10"/>
  <c r="C752" i="10"/>
  <c r="B752" i="10"/>
  <c r="A752" i="10"/>
  <c r="T751" i="10"/>
  <c r="S751" i="10"/>
  <c r="R751" i="10"/>
  <c r="Q751" i="10"/>
  <c r="P751" i="10"/>
  <c r="O751" i="10"/>
  <c r="L751" i="10"/>
  <c r="K751" i="10"/>
  <c r="I751" i="10"/>
  <c r="H751" i="10"/>
  <c r="G751" i="10"/>
  <c r="F751" i="10"/>
  <c r="D751" i="10"/>
  <c r="C751" i="10"/>
  <c r="B751" i="10"/>
  <c r="A751" i="10"/>
  <c r="T750" i="10"/>
  <c r="S750" i="10"/>
  <c r="R750" i="10"/>
  <c r="Q750" i="10"/>
  <c r="P750" i="10"/>
  <c r="O750" i="10"/>
  <c r="L750" i="10"/>
  <c r="K750" i="10"/>
  <c r="I750" i="10"/>
  <c r="H750" i="10"/>
  <c r="G750" i="10"/>
  <c r="F750" i="10"/>
  <c r="D750" i="10"/>
  <c r="C750" i="10"/>
  <c r="A750" i="10"/>
  <c r="T749" i="10"/>
  <c r="S749" i="10"/>
  <c r="R749" i="10"/>
  <c r="Q749" i="10"/>
  <c r="P749" i="10"/>
  <c r="O749" i="10"/>
  <c r="L749" i="10"/>
  <c r="K749" i="10"/>
  <c r="I749" i="10"/>
  <c r="H749" i="10"/>
  <c r="G749" i="10"/>
  <c r="F749" i="10"/>
  <c r="D749" i="10"/>
  <c r="C749" i="10"/>
  <c r="A749" i="10"/>
  <c r="T748" i="10"/>
  <c r="S748" i="10"/>
  <c r="R748" i="10"/>
  <c r="Q748" i="10"/>
  <c r="P748" i="10"/>
  <c r="O748" i="10"/>
  <c r="L748" i="10"/>
  <c r="K748" i="10"/>
  <c r="I748" i="10"/>
  <c r="H748" i="10"/>
  <c r="G748" i="10"/>
  <c r="F748" i="10"/>
  <c r="D748" i="10"/>
  <c r="C748" i="10"/>
  <c r="B748" i="10"/>
  <c r="A748" i="10"/>
  <c r="T747" i="10"/>
  <c r="S747" i="10"/>
  <c r="R747" i="10"/>
  <c r="Q747" i="10"/>
  <c r="P747" i="10"/>
  <c r="O747" i="10"/>
  <c r="L747" i="10"/>
  <c r="K747" i="10"/>
  <c r="I747" i="10"/>
  <c r="H747" i="10"/>
  <c r="G747" i="10"/>
  <c r="F747" i="10"/>
  <c r="D747" i="10"/>
  <c r="C747" i="10"/>
  <c r="B747" i="10"/>
  <c r="A747" i="10"/>
  <c r="T746" i="10"/>
  <c r="S746" i="10"/>
  <c r="R746" i="10"/>
  <c r="Q746" i="10"/>
  <c r="P746" i="10"/>
  <c r="O746" i="10"/>
  <c r="L746" i="10"/>
  <c r="K746" i="10"/>
  <c r="I746" i="10"/>
  <c r="H746" i="10"/>
  <c r="G746" i="10"/>
  <c r="F746" i="10"/>
  <c r="D746" i="10"/>
  <c r="C746" i="10"/>
  <c r="B746" i="10"/>
  <c r="A746" i="10"/>
  <c r="T745" i="10"/>
  <c r="S745" i="10"/>
  <c r="R745" i="10"/>
  <c r="Q745" i="10"/>
  <c r="P745" i="10"/>
  <c r="O745" i="10"/>
  <c r="L745" i="10"/>
  <c r="K745" i="10"/>
  <c r="I745" i="10"/>
  <c r="H745" i="10"/>
  <c r="G745" i="10"/>
  <c r="F745" i="10"/>
  <c r="D745" i="10"/>
  <c r="C745" i="10"/>
  <c r="B745" i="10"/>
  <c r="A745" i="10"/>
  <c r="T744" i="10"/>
  <c r="S744" i="10"/>
  <c r="R744" i="10"/>
  <c r="Q744" i="10"/>
  <c r="P744" i="10"/>
  <c r="O744" i="10"/>
  <c r="L744" i="10"/>
  <c r="K744" i="10"/>
  <c r="I744" i="10"/>
  <c r="H744" i="10"/>
  <c r="G744" i="10"/>
  <c r="F744" i="10"/>
  <c r="D744" i="10"/>
  <c r="C744" i="10"/>
  <c r="B744" i="10"/>
  <c r="A744" i="10"/>
  <c r="T743" i="10"/>
  <c r="S743" i="10"/>
  <c r="R743" i="10"/>
  <c r="Q743" i="10"/>
  <c r="P743" i="10"/>
  <c r="O743" i="10"/>
  <c r="L743" i="10"/>
  <c r="K743" i="10"/>
  <c r="I743" i="10"/>
  <c r="H743" i="10"/>
  <c r="G743" i="10"/>
  <c r="F743" i="10"/>
  <c r="D743" i="10"/>
  <c r="C743" i="10"/>
  <c r="B743" i="10"/>
  <c r="A743" i="10"/>
  <c r="T742" i="10"/>
  <c r="S742" i="10"/>
  <c r="R742" i="10"/>
  <c r="Q742" i="10"/>
  <c r="P742" i="10"/>
  <c r="O742" i="10"/>
  <c r="L742" i="10"/>
  <c r="K742" i="10"/>
  <c r="I742" i="10"/>
  <c r="H742" i="10"/>
  <c r="G742" i="10"/>
  <c r="F742" i="10"/>
  <c r="D742" i="10"/>
  <c r="C742" i="10"/>
  <c r="B742" i="10"/>
  <c r="A742" i="10"/>
  <c r="T741" i="10"/>
  <c r="S741" i="10"/>
  <c r="R741" i="10"/>
  <c r="Q741" i="10"/>
  <c r="P741" i="10"/>
  <c r="O741" i="10"/>
  <c r="L741" i="10"/>
  <c r="K741" i="10"/>
  <c r="I741" i="10"/>
  <c r="H741" i="10"/>
  <c r="G741" i="10"/>
  <c r="F741" i="10"/>
  <c r="D741" i="10"/>
  <c r="C741" i="10"/>
  <c r="B741" i="10"/>
  <c r="A741" i="10"/>
  <c r="T740" i="10"/>
  <c r="S740" i="10"/>
  <c r="R740" i="10"/>
  <c r="Q740" i="10"/>
  <c r="P740" i="10"/>
  <c r="O740" i="10"/>
  <c r="L740" i="10"/>
  <c r="K740" i="10"/>
  <c r="I740" i="10"/>
  <c r="H740" i="10"/>
  <c r="G740" i="10"/>
  <c r="F740" i="10"/>
  <c r="D740" i="10"/>
  <c r="C740" i="10"/>
  <c r="B740" i="10"/>
  <c r="A740" i="10"/>
  <c r="T739" i="10"/>
  <c r="S739" i="10"/>
  <c r="R739" i="10"/>
  <c r="Q739" i="10"/>
  <c r="P739" i="10"/>
  <c r="O739" i="10"/>
  <c r="L739" i="10"/>
  <c r="K739" i="10"/>
  <c r="I739" i="10"/>
  <c r="H739" i="10"/>
  <c r="G739" i="10"/>
  <c r="F739" i="10"/>
  <c r="D739" i="10"/>
  <c r="C739" i="10"/>
  <c r="B739" i="10"/>
  <c r="A739" i="10"/>
  <c r="T738" i="10"/>
  <c r="S738" i="10"/>
  <c r="R738" i="10"/>
  <c r="Q738" i="10"/>
  <c r="P738" i="10"/>
  <c r="O738" i="10"/>
  <c r="L738" i="10"/>
  <c r="K738" i="10"/>
  <c r="I738" i="10"/>
  <c r="H738" i="10"/>
  <c r="G738" i="10"/>
  <c r="F738" i="10"/>
  <c r="D738" i="10"/>
  <c r="C738" i="10"/>
  <c r="B738" i="10"/>
  <c r="A738" i="10"/>
  <c r="T737" i="10"/>
  <c r="S737" i="10"/>
  <c r="R737" i="10"/>
  <c r="Q737" i="10"/>
  <c r="P737" i="10"/>
  <c r="O737" i="10"/>
  <c r="L737" i="10"/>
  <c r="K737" i="10"/>
  <c r="I737" i="10"/>
  <c r="H737" i="10"/>
  <c r="G737" i="10"/>
  <c r="F737" i="10"/>
  <c r="D737" i="10"/>
  <c r="C737" i="10"/>
  <c r="B737" i="10"/>
  <c r="A737" i="10"/>
  <c r="T736" i="10"/>
  <c r="S736" i="10"/>
  <c r="R736" i="10"/>
  <c r="Q736" i="10"/>
  <c r="P736" i="10"/>
  <c r="O736" i="10"/>
  <c r="L736" i="10"/>
  <c r="K736" i="10"/>
  <c r="I736" i="10"/>
  <c r="H736" i="10"/>
  <c r="G736" i="10"/>
  <c r="F736" i="10"/>
  <c r="D736" i="10"/>
  <c r="C736" i="10"/>
  <c r="B736" i="10"/>
  <c r="A736" i="10"/>
  <c r="T735" i="10"/>
  <c r="S735" i="10"/>
  <c r="R735" i="10"/>
  <c r="Q735" i="10"/>
  <c r="P735" i="10"/>
  <c r="O735" i="10"/>
  <c r="L735" i="10"/>
  <c r="K735" i="10"/>
  <c r="I735" i="10"/>
  <c r="H735" i="10"/>
  <c r="G735" i="10"/>
  <c r="F735" i="10"/>
  <c r="D735" i="10"/>
  <c r="C735" i="10"/>
  <c r="B735" i="10"/>
  <c r="A735" i="10"/>
  <c r="T734" i="10"/>
  <c r="S734" i="10"/>
  <c r="R734" i="10"/>
  <c r="Q734" i="10"/>
  <c r="P734" i="10"/>
  <c r="O734" i="10"/>
  <c r="L734" i="10"/>
  <c r="K734" i="10"/>
  <c r="I734" i="10"/>
  <c r="H734" i="10"/>
  <c r="G734" i="10"/>
  <c r="F734" i="10"/>
  <c r="D734" i="10"/>
  <c r="C734" i="10"/>
  <c r="B734" i="10"/>
  <c r="A734" i="10"/>
  <c r="T733" i="10"/>
  <c r="S733" i="10"/>
  <c r="R733" i="10"/>
  <c r="Q733" i="10"/>
  <c r="P733" i="10"/>
  <c r="O733" i="10"/>
  <c r="L733" i="10"/>
  <c r="K733" i="10"/>
  <c r="I733" i="10"/>
  <c r="H733" i="10"/>
  <c r="G733" i="10"/>
  <c r="F733" i="10"/>
  <c r="D733" i="10"/>
  <c r="C733" i="10"/>
  <c r="B733" i="10"/>
  <c r="A733" i="10"/>
  <c r="CF729" i="10"/>
  <c r="CE729" i="10"/>
  <c r="CD729" i="10"/>
  <c r="CC729" i="10"/>
  <c r="CB729" i="10"/>
  <c r="CA729" i="10"/>
  <c r="BZ729" i="10"/>
  <c r="BY729" i="10"/>
  <c r="BX729" i="10"/>
  <c r="BW729" i="10"/>
  <c r="BV729" i="10"/>
  <c r="BU729" i="10"/>
  <c r="BT729" i="10"/>
  <c r="BS729" i="10"/>
  <c r="BR729" i="10"/>
  <c r="BQ729" i="10"/>
  <c r="BP729" i="10"/>
  <c r="BO729" i="10"/>
  <c r="BN729" i="10"/>
  <c r="BM729" i="10"/>
  <c r="BL729" i="10"/>
  <c r="BK729" i="10"/>
  <c r="BJ729" i="10"/>
  <c r="BF729" i="10"/>
  <c r="BE729" i="10"/>
  <c r="BB729" i="10"/>
  <c r="BA729" i="10"/>
  <c r="AZ729" i="10"/>
  <c r="AY729" i="10"/>
  <c r="AX729" i="10"/>
  <c r="AW729" i="10"/>
  <c r="AV729" i="10"/>
  <c r="AU729" i="10"/>
  <c r="AT729" i="10"/>
  <c r="AS729" i="10"/>
  <c r="AR729" i="10"/>
  <c r="AQ729" i="10"/>
  <c r="AP729" i="10"/>
  <c r="AO729" i="10"/>
  <c r="AN729" i="10"/>
  <c r="AM729" i="10"/>
  <c r="AL729" i="10"/>
  <c r="AK729" i="10"/>
  <c r="AJ729" i="10"/>
  <c r="AI729" i="10"/>
  <c r="AH729" i="10"/>
  <c r="AG729" i="10"/>
  <c r="AF729" i="10"/>
  <c r="AE729" i="10"/>
  <c r="AD729" i="10"/>
  <c r="AC729" i="10"/>
  <c r="AB729" i="10"/>
  <c r="AA729" i="10"/>
  <c r="Z729" i="10"/>
  <c r="Y729" i="10"/>
  <c r="X729" i="10"/>
  <c r="W729" i="10"/>
  <c r="V729" i="10"/>
  <c r="U729" i="10"/>
  <c r="T729" i="10"/>
  <c r="S729" i="10"/>
  <c r="R729" i="10"/>
  <c r="Q729" i="10"/>
  <c r="P729" i="10"/>
  <c r="O729" i="10"/>
  <c r="N729" i="10"/>
  <c r="M729" i="10"/>
  <c r="L729" i="10"/>
  <c r="K729" i="10"/>
  <c r="J729" i="10"/>
  <c r="I729" i="10"/>
  <c r="H729" i="10"/>
  <c r="G729" i="10"/>
  <c r="F729" i="10"/>
  <c r="E729" i="10"/>
  <c r="D729" i="10"/>
  <c r="C729" i="10"/>
  <c r="B729" i="10"/>
  <c r="A729" i="10"/>
  <c r="BR725" i="10"/>
  <c r="BQ725" i="10"/>
  <c r="BP725" i="10"/>
  <c r="BO725" i="10"/>
  <c r="BN725" i="10"/>
  <c r="BM725" i="10"/>
  <c r="BL725" i="10"/>
  <c r="BK725" i="10"/>
  <c r="BJ725" i="10"/>
  <c r="BI725" i="10"/>
  <c r="BH725" i="10"/>
  <c r="BG725" i="10"/>
  <c r="BF725" i="10"/>
  <c r="BE725" i="10"/>
  <c r="BD725" i="10"/>
  <c r="BC725" i="10"/>
  <c r="BB725" i="10"/>
  <c r="BA725" i="10"/>
  <c r="AZ725" i="10"/>
  <c r="AY725" i="10"/>
  <c r="AX725" i="10"/>
  <c r="AW725" i="10"/>
  <c r="AV725" i="10"/>
  <c r="AU725" i="10"/>
  <c r="AT725" i="10"/>
  <c r="AS725" i="10"/>
  <c r="AR725" i="10"/>
  <c r="AQ725" i="10"/>
  <c r="AP725" i="10"/>
  <c r="AO725" i="10"/>
  <c r="AN725" i="10"/>
  <c r="AM725" i="10"/>
  <c r="AL725" i="10"/>
  <c r="AK725" i="10"/>
  <c r="AJ725" i="10"/>
  <c r="AI725" i="10"/>
  <c r="AH725" i="10"/>
  <c r="AG725" i="10"/>
  <c r="AF725" i="10"/>
  <c r="AE725" i="10"/>
  <c r="AD725" i="10"/>
  <c r="AC725" i="10"/>
  <c r="AB725" i="10"/>
  <c r="AA725" i="10"/>
  <c r="Z725" i="10"/>
  <c r="Y725" i="10"/>
  <c r="X725" i="10"/>
  <c r="W725" i="10"/>
  <c r="V725" i="10"/>
  <c r="U725" i="10"/>
  <c r="S725" i="10"/>
  <c r="R725" i="10"/>
  <c r="Q725" i="10"/>
  <c r="P725" i="10"/>
  <c r="O725" i="10"/>
  <c r="N725" i="10"/>
  <c r="M725" i="10"/>
  <c r="L725" i="10"/>
  <c r="K725" i="10"/>
  <c r="J725" i="10"/>
  <c r="I725" i="10"/>
  <c r="H725" i="10"/>
  <c r="G725" i="10"/>
  <c r="F725" i="10"/>
  <c r="E725" i="10"/>
  <c r="D725" i="10"/>
  <c r="C725" i="10"/>
  <c r="B725" i="10"/>
  <c r="A725" i="10"/>
  <c r="CC721" i="10"/>
  <c r="CB721" i="10"/>
  <c r="CA721" i="10"/>
  <c r="BZ721" i="10"/>
  <c r="BY721" i="10"/>
  <c r="BX721" i="10"/>
  <c r="BW721" i="10"/>
  <c r="BV721" i="10"/>
  <c r="BU721" i="10"/>
  <c r="BT721" i="10"/>
  <c r="BS721" i="10"/>
  <c r="BR721" i="10"/>
  <c r="BQ721" i="10"/>
  <c r="BP721" i="10"/>
  <c r="BO721" i="10"/>
  <c r="BN721" i="10"/>
  <c r="BM721" i="10"/>
  <c r="BL721" i="10"/>
  <c r="BK721" i="10"/>
  <c r="BJ721" i="10"/>
  <c r="BI721" i="10"/>
  <c r="BH721" i="10"/>
  <c r="BG721" i="10"/>
  <c r="BF721" i="10"/>
  <c r="BE721" i="10"/>
  <c r="BD721" i="10"/>
  <c r="BC721" i="10"/>
  <c r="BB721" i="10"/>
  <c r="BA721" i="10"/>
  <c r="AZ721" i="10"/>
  <c r="AY721" i="10"/>
  <c r="AX721" i="10"/>
  <c r="AW721" i="10"/>
  <c r="AV721" i="10"/>
  <c r="AR721" i="10"/>
  <c r="AQ721" i="10"/>
  <c r="AP721" i="10"/>
  <c r="AO721" i="10"/>
  <c r="AN721" i="10"/>
  <c r="AM721" i="10"/>
  <c r="AL721" i="10"/>
  <c r="AK721" i="10"/>
  <c r="AJ721" i="10"/>
  <c r="AI721" i="10"/>
  <c r="AH721" i="10"/>
  <c r="AG721" i="10"/>
  <c r="AF721" i="10"/>
  <c r="AE721" i="10"/>
  <c r="AD721" i="10"/>
  <c r="AC721" i="10"/>
  <c r="AB721" i="10"/>
  <c r="AA721" i="10"/>
  <c r="Z721" i="10"/>
  <c r="Y721" i="10"/>
  <c r="X721" i="10"/>
  <c r="W721" i="10"/>
  <c r="V721" i="10"/>
  <c r="U721" i="10"/>
  <c r="T721" i="10"/>
  <c r="S721" i="10"/>
  <c r="R721" i="10"/>
  <c r="Q721" i="10"/>
  <c r="P721" i="10"/>
  <c r="O721" i="10"/>
  <c r="N721" i="10"/>
  <c r="M721" i="10"/>
  <c r="L721" i="10"/>
  <c r="K721" i="10"/>
  <c r="J721" i="10"/>
  <c r="I721" i="10"/>
  <c r="H721" i="10"/>
  <c r="G721" i="10"/>
  <c r="F721" i="10"/>
  <c r="E721" i="10"/>
  <c r="D721" i="10"/>
  <c r="C721" i="10"/>
  <c r="B721" i="10"/>
  <c r="A721" i="10"/>
  <c r="H815" i="10"/>
  <c r="N816" i="10"/>
  <c r="T815" i="10"/>
  <c r="S815" i="10"/>
  <c r="N778" i="10"/>
  <c r="N777" i="10"/>
  <c r="N776" i="10"/>
  <c r="N775" i="10"/>
  <c r="N774" i="10"/>
  <c r="N773" i="10"/>
  <c r="N772" i="10"/>
  <c r="N771" i="10"/>
  <c r="N770" i="10"/>
  <c r="N769" i="10"/>
  <c r="N768" i="10"/>
  <c r="N767" i="10"/>
  <c r="N766" i="10"/>
  <c r="N765" i="10"/>
  <c r="N764" i="10"/>
  <c r="N763" i="10"/>
  <c r="N762" i="10"/>
  <c r="N761" i="10"/>
  <c r="N760" i="10"/>
  <c r="N759" i="10"/>
  <c r="N758" i="10"/>
  <c r="N757" i="10"/>
  <c r="N756" i="10"/>
  <c r="N755" i="10"/>
  <c r="N754" i="10"/>
  <c r="N753" i="10"/>
  <c r="N752" i="10"/>
  <c r="N751" i="10"/>
  <c r="N750" i="10"/>
  <c r="N749" i="10"/>
  <c r="N748" i="10"/>
  <c r="N747" i="10"/>
  <c r="N746" i="10"/>
  <c r="N745" i="10"/>
  <c r="N744" i="10"/>
  <c r="N743" i="10"/>
  <c r="N742" i="10"/>
  <c r="N741" i="10"/>
  <c r="N740" i="10"/>
  <c r="N739" i="10"/>
  <c r="N738" i="10"/>
  <c r="N737" i="10"/>
  <c r="N736" i="10"/>
  <c r="N735" i="10"/>
  <c r="N734" i="10"/>
  <c r="N733" i="10"/>
  <c r="O815" i="10"/>
  <c r="K815" i="10"/>
  <c r="F815" i="10"/>
  <c r="D815" i="10"/>
  <c r="BI729" i="10"/>
  <c r="R815" i="10"/>
  <c r="A493" i="1"/>
  <c r="A730" i="1"/>
  <c r="A726" i="1"/>
  <c r="A722" i="1"/>
  <c r="C115" i="8"/>
  <c r="CB730" i="1"/>
  <c r="C444" i="1"/>
  <c r="D367" i="1"/>
  <c r="C448" i="1" s="1"/>
  <c r="D221" i="1"/>
  <c r="CD722" i="1" s="1"/>
  <c r="D12" i="6"/>
  <c r="I286" i="9"/>
  <c r="G159" i="9"/>
  <c r="S764" i="1"/>
  <c r="D127" i="9"/>
  <c r="I63" i="9"/>
  <c r="V813" i="1"/>
  <c r="V815" i="1" s="1"/>
  <c r="CE47" i="1"/>
  <c r="C101" i="8"/>
  <c r="C100" i="8"/>
  <c r="C91" i="8"/>
  <c r="C93" i="8"/>
  <c r="C95" i="8"/>
  <c r="C97" i="8"/>
  <c r="E20" i="2"/>
  <c r="E19" i="2"/>
  <c r="M734" i="1"/>
  <c r="M735" i="1"/>
  <c r="M736" i="1"/>
  <c r="M737" i="1"/>
  <c r="M738" i="1"/>
  <c r="M739" i="1"/>
  <c r="M740" i="1"/>
  <c r="M741" i="1"/>
  <c r="M742" i="1"/>
  <c r="M743" i="1"/>
  <c r="M744" i="1"/>
  <c r="M745" i="1"/>
  <c r="M746" i="1"/>
  <c r="M747" i="1"/>
  <c r="M748" i="1"/>
  <c r="M749" i="1"/>
  <c r="M750" i="1"/>
  <c r="M751" i="1"/>
  <c r="M752" i="1"/>
  <c r="M753" i="1"/>
  <c r="M754" i="1"/>
  <c r="M755" i="1"/>
  <c r="M756" i="1"/>
  <c r="M757" i="1"/>
  <c r="M758" i="1"/>
  <c r="M759" i="1"/>
  <c r="M760" i="1"/>
  <c r="M761" i="1"/>
  <c r="M762" i="1"/>
  <c r="M763" i="1"/>
  <c r="M764" i="1"/>
  <c r="M765" i="1"/>
  <c r="M766" i="1"/>
  <c r="M767" i="1"/>
  <c r="M768" i="1"/>
  <c r="M769" i="1"/>
  <c r="M770" i="1"/>
  <c r="M771" i="1"/>
  <c r="M772" i="1"/>
  <c r="M773" i="1"/>
  <c r="M774" i="1"/>
  <c r="M775" i="1"/>
  <c r="M776" i="1"/>
  <c r="M777" i="1"/>
  <c r="M778" i="1"/>
  <c r="M779" i="1"/>
  <c r="M780" i="1"/>
  <c r="M781" i="1"/>
  <c r="M782" i="1"/>
  <c r="M783" i="1"/>
  <c r="M784" i="1"/>
  <c r="M785" i="1"/>
  <c r="M786" i="1"/>
  <c r="M787" i="1"/>
  <c r="M788" i="1"/>
  <c r="M789" i="1"/>
  <c r="M790" i="1"/>
  <c r="M791" i="1"/>
  <c r="M792" i="1"/>
  <c r="M793" i="1"/>
  <c r="M794" i="1"/>
  <c r="M795" i="1"/>
  <c r="M796" i="1"/>
  <c r="M797" i="1"/>
  <c r="M798" i="1"/>
  <c r="M799" i="1"/>
  <c r="M800" i="1"/>
  <c r="M801" i="1"/>
  <c r="M802" i="1"/>
  <c r="M803" i="1"/>
  <c r="M804" i="1"/>
  <c r="M805" i="1"/>
  <c r="M806" i="1"/>
  <c r="M807" i="1"/>
  <c r="M808" i="1"/>
  <c r="M809" i="1"/>
  <c r="M810" i="1"/>
  <c r="M811" i="1"/>
  <c r="M812" i="1"/>
  <c r="D550" i="1"/>
  <c r="D546" i="1"/>
  <c r="D545" i="1"/>
  <c r="D544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0" i="1"/>
  <c r="D519" i="1"/>
  <c r="D518" i="1"/>
  <c r="D517" i="1"/>
  <c r="D516" i="1"/>
  <c r="D515" i="1"/>
  <c r="D514" i="1"/>
  <c r="D511" i="1"/>
  <c r="D510" i="1"/>
  <c r="D509" i="1"/>
  <c r="D508" i="1"/>
  <c r="D507" i="1"/>
  <c r="D506" i="1"/>
  <c r="D505" i="1"/>
  <c r="D504" i="1"/>
  <c r="D503" i="1"/>
  <c r="D502" i="1"/>
  <c r="D501" i="1"/>
  <c r="D500" i="1"/>
  <c r="D499" i="1"/>
  <c r="D498" i="1"/>
  <c r="D497" i="1"/>
  <c r="D496" i="1"/>
  <c r="G221" i="9"/>
  <c r="C384" i="9"/>
  <c r="C383" i="9"/>
  <c r="C382" i="9"/>
  <c r="C381" i="9"/>
  <c r="D384" i="9"/>
  <c r="D383" i="9"/>
  <c r="D382" i="9"/>
  <c r="D381" i="9"/>
  <c r="I314" i="9"/>
  <c r="H314" i="9"/>
  <c r="G314" i="9"/>
  <c r="F314" i="9"/>
  <c r="E314" i="9"/>
  <c r="D314" i="9"/>
  <c r="C314" i="9"/>
  <c r="I313" i="9"/>
  <c r="H313" i="9"/>
  <c r="G313" i="9"/>
  <c r="F313" i="9"/>
  <c r="E313" i="9"/>
  <c r="D313" i="9"/>
  <c r="C313" i="9"/>
  <c r="D317" i="9"/>
  <c r="C352" i="9"/>
  <c r="I346" i="9"/>
  <c r="H346" i="9"/>
  <c r="G346" i="9"/>
  <c r="F346" i="9"/>
  <c r="E346" i="9"/>
  <c r="D346" i="9"/>
  <c r="C346" i="9"/>
  <c r="I345" i="9"/>
  <c r="H345" i="9"/>
  <c r="G345" i="9"/>
  <c r="F345" i="9"/>
  <c r="E345" i="9"/>
  <c r="D345" i="9"/>
  <c r="C345" i="9"/>
  <c r="I250" i="9"/>
  <c r="H250" i="9"/>
  <c r="G250" i="9"/>
  <c r="F250" i="9"/>
  <c r="E250" i="9"/>
  <c r="D250" i="9"/>
  <c r="C250" i="9"/>
  <c r="I249" i="9"/>
  <c r="H249" i="9"/>
  <c r="G249" i="9"/>
  <c r="F249" i="9"/>
  <c r="E249" i="9"/>
  <c r="D249" i="9"/>
  <c r="C249" i="9"/>
  <c r="H252" i="9"/>
  <c r="I374" i="9"/>
  <c r="I256" i="9"/>
  <c r="H221" i="9"/>
  <c r="I217" i="9"/>
  <c r="H217" i="9"/>
  <c r="I216" i="9"/>
  <c r="H216" i="9"/>
  <c r="A356" i="9"/>
  <c r="H356" i="9"/>
  <c r="H324" i="9"/>
  <c r="H292" i="9"/>
  <c r="H260" i="9"/>
  <c r="H228" i="9"/>
  <c r="H196" i="9"/>
  <c r="H164" i="9"/>
  <c r="H132" i="9"/>
  <c r="H100" i="9"/>
  <c r="H68" i="9"/>
  <c r="H36" i="9"/>
  <c r="H4" i="9"/>
  <c r="I352" i="9"/>
  <c r="H352" i="9"/>
  <c r="G352" i="9"/>
  <c r="F352" i="9"/>
  <c r="E352" i="9"/>
  <c r="D352" i="9"/>
  <c r="I351" i="9"/>
  <c r="H351" i="9"/>
  <c r="G351" i="9"/>
  <c r="F351" i="9"/>
  <c r="E351" i="9"/>
  <c r="D351" i="9"/>
  <c r="I350" i="9"/>
  <c r="H350" i="9"/>
  <c r="G350" i="9"/>
  <c r="F350" i="9"/>
  <c r="E350" i="9"/>
  <c r="D350" i="9"/>
  <c r="I349" i="9"/>
  <c r="H349" i="9"/>
  <c r="G349" i="9"/>
  <c r="F349" i="9"/>
  <c r="E349" i="9"/>
  <c r="D349" i="9"/>
  <c r="C351" i="9"/>
  <c r="C350" i="9"/>
  <c r="C349" i="9"/>
  <c r="I319" i="9"/>
  <c r="H319" i="9"/>
  <c r="I318" i="9"/>
  <c r="H318" i="9"/>
  <c r="I317" i="9"/>
  <c r="H317" i="9"/>
  <c r="G317" i="9"/>
  <c r="I287" i="9"/>
  <c r="H287" i="9"/>
  <c r="G287" i="9"/>
  <c r="H286" i="9"/>
  <c r="G286" i="9"/>
  <c r="I285" i="9"/>
  <c r="H285" i="9"/>
  <c r="G285" i="9"/>
  <c r="D287" i="9"/>
  <c r="D286" i="9"/>
  <c r="E285" i="9"/>
  <c r="D285" i="9"/>
  <c r="I253" i="9"/>
  <c r="I224" i="9"/>
  <c r="H224" i="9"/>
  <c r="I223" i="9"/>
  <c r="H223" i="9"/>
  <c r="I222" i="9"/>
  <c r="H222" i="9"/>
  <c r="I221" i="9"/>
  <c r="G224" i="9"/>
  <c r="G217" i="9"/>
  <c r="G216" i="9"/>
  <c r="A228" i="9"/>
  <c r="A196" i="9"/>
  <c r="D377" i="9"/>
  <c r="D376" i="9"/>
  <c r="C377" i="9"/>
  <c r="C376" i="9"/>
  <c r="I320" i="9"/>
  <c r="H320" i="9"/>
  <c r="G320" i="9"/>
  <c r="F320" i="9"/>
  <c r="E320" i="9"/>
  <c r="D320" i="9"/>
  <c r="G319" i="9"/>
  <c r="F319" i="9"/>
  <c r="E319" i="9"/>
  <c r="D319" i="9"/>
  <c r="G318" i="9"/>
  <c r="F318" i="9"/>
  <c r="E318" i="9"/>
  <c r="D318" i="9"/>
  <c r="F317" i="9"/>
  <c r="E317" i="9"/>
  <c r="I312" i="9"/>
  <c r="H312" i="9"/>
  <c r="G312" i="9"/>
  <c r="F312" i="9"/>
  <c r="E312" i="9"/>
  <c r="D312" i="9"/>
  <c r="C317" i="9"/>
  <c r="C318" i="9"/>
  <c r="I344" i="9"/>
  <c r="H344" i="9"/>
  <c r="G344" i="9"/>
  <c r="F344" i="9"/>
  <c r="E344" i="9"/>
  <c r="D344" i="9"/>
  <c r="C344" i="9"/>
  <c r="A324" i="9"/>
  <c r="C320" i="9"/>
  <c r="C319" i="9"/>
  <c r="C312" i="9"/>
  <c r="A292" i="9"/>
  <c r="I288" i="9"/>
  <c r="H288" i="9"/>
  <c r="G288" i="9"/>
  <c r="F288" i="9"/>
  <c r="E288" i="9"/>
  <c r="D288" i="9"/>
  <c r="F287" i="9"/>
  <c r="F286" i="9"/>
  <c r="F285" i="9"/>
  <c r="I281" i="9"/>
  <c r="H281" i="9"/>
  <c r="G281" i="9"/>
  <c r="F281" i="9"/>
  <c r="E281" i="9"/>
  <c r="D281" i="9"/>
  <c r="I280" i="9"/>
  <c r="H280" i="9"/>
  <c r="G280" i="9"/>
  <c r="F280" i="9"/>
  <c r="E280" i="9"/>
  <c r="D280" i="9"/>
  <c r="C288" i="9"/>
  <c r="C287" i="9"/>
  <c r="C286" i="9"/>
  <c r="C285" i="9"/>
  <c r="C281" i="9"/>
  <c r="C280" i="9"/>
  <c r="A260" i="9"/>
  <c r="I255" i="9"/>
  <c r="I254" i="9"/>
  <c r="H256" i="9"/>
  <c r="H255" i="9"/>
  <c r="H254" i="9"/>
  <c r="H253" i="9"/>
  <c r="G256" i="9"/>
  <c r="G255" i="9"/>
  <c r="G254" i="9"/>
  <c r="G253" i="9"/>
  <c r="F256" i="9"/>
  <c r="E256" i="9"/>
  <c r="D256" i="9"/>
  <c r="D255" i="9"/>
  <c r="I248" i="9"/>
  <c r="G248" i="9"/>
  <c r="F248" i="9"/>
  <c r="E248" i="9"/>
  <c r="H248" i="9"/>
  <c r="D248" i="9"/>
  <c r="C256" i="9"/>
  <c r="C255" i="9"/>
  <c r="C254" i="9"/>
  <c r="C248" i="9"/>
  <c r="A164" i="9"/>
  <c r="A132" i="9"/>
  <c r="A100" i="9"/>
  <c r="A68" i="9"/>
  <c r="A36" i="9"/>
  <c r="C31" i="9"/>
  <c r="C30" i="9"/>
  <c r="C29" i="9"/>
  <c r="C28" i="9"/>
  <c r="C20" i="9"/>
  <c r="A4" i="9"/>
  <c r="C32" i="9"/>
  <c r="I218" i="9"/>
  <c r="H218" i="9"/>
  <c r="G218" i="9"/>
  <c r="D378" i="9"/>
  <c r="C378" i="9"/>
  <c r="I282" i="9"/>
  <c r="H282" i="9"/>
  <c r="G282" i="9"/>
  <c r="F282" i="9"/>
  <c r="E282" i="9"/>
  <c r="D282" i="9"/>
  <c r="C282" i="9"/>
  <c r="C9" i="9"/>
  <c r="C15" i="9"/>
  <c r="C25" i="9"/>
  <c r="D32" i="9"/>
  <c r="D31" i="9"/>
  <c r="D30" i="9"/>
  <c r="D29" i="9"/>
  <c r="D28" i="9"/>
  <c r="H105" i="9"/>
  <c r="G28" i="9"/>
  <c r="G29" i="9"/>
  <c r="G30" i="9"/>
  <c r="G31" i="9"/>
  <c r="H92" i="9"/>
  <c r="I252" i="9"/>
  <c r="F284" i="9"/>
  <c r="H284" i="9"/>
  <c r="H316" i="9"/>
  <c r="D348" i="9"/>
  <c r="G348" i="9"/>
  <c r="E316" i="9"/>
  <c r="C96" i="9"/>
  <c r="H94" i="9"/>
  <c r="F96" i="9"/>
  <c r="G156" i="9"/>
  <c r="G157" i="9"/>
  <c r="E160" i="9"/>
  <c r="G160" i="9"/>
  <c r="H28" i="9"/>
  <c r="I28" i="9"/>
  <c r="H29" i="9"/>
  <c r="F30" i="9"/>
  <c r="H30" i="9"/>
  <c r="I30" i="9"/>
  <c r="F31" i="9"/>
  <c r="H31" i="9"/>
  <c r="I31" i="9"/>
  <c r="G32" i="9"/>
  <c r="H32" i="9"/>
  <c r="I32" i="9"/>
  <c r="C62" i="9"/>
  <c r="C63" i="9"/>
  <c r="D60" i="9"/>
  <c r="E60" i="9"/>
  <c r="F60" i="9"/>
  <c r="G60" i="9"/>
  <c r="H60" i="9"/>
  <c r="D61" i="9"/>
  <c r="E61" i="9"/>
  <c r="F61" i="9"/>
  <c r="G61" i="9"/>
  <c r="D62" i="9"/>
  <c r="E62" i="9"/>
  <c r="F62" i="9"/>
  <c r="G62" i="9"/>
  <c r="H62" i="9"/>
  <c r="D63" i="9"/>
  <c r="E63" i="9"/>
  <c r="F63" i="9"/>
  <c r="G63" i="9"/>
  <c r="D64" i="9"/>
  <c r="E64" i="9"/>
  <c r="F64" i="9"/>
  <c r="G64" i="9"/>
  <c r="H64" i="9"/>
  <c r="C92" i="9"/>
  <c r="C93" i="9"/>
  <c r="C94" i="9"/>
  <c r="D92" i="9"/>
  <c r="D93" i="9"/>
  <c r="D94" i="9"/>
  <c r="D95" i="9"/>
  <c r="D96" i="9"/>
  <c r="I92" i="9"/>
  <c r="G93" i="9"/>
  <c r="H93" i="9"/>
  <c r="I93" i="9"/>
  <c r="I94" i="9"/>
  <c r="G95" i="9"/>
  <c r="H95" i="9"/>
  <c r="I95" i="9"/>
  <c r="G96" i="9"/>
  <c r="H96" i="9"/>
  <c r="I96" i="9"/>
  <c r="E92" i="9"/>
  <c r="F92" i="9"/>
  <c r="E93" i="9"/>
  <c r="F93" i="9"/>
  <c r="E94" i="9"/>
  <c r="F94" i="9"/>
  <c r="E95" i="9"/>
  <c r="F95" i="9"/>
  <c r="E96" i="9"/>
  <c r="C124" i="9"/>
  <c r="C125" i="9"/>
  <c r="C126" i="9"/>
  <c r="C128" i="9"/>
  <c r="E124" i="9"/>
  <c r="F124" i="9"/>
  <c r="D125" i="9"/>
  <c r="E125" i="9"/>
  <c r="F125" i="9"/>
  <c r="E126" i="9"/>
  <c r="F126" i="9"/>
  <c r="E127" i="9"/>
  <c r="F127" i="9"/>
  <c r="E128" i="9"/>
  <c r="F128" i="9"/>
  <c r="I124" i="9"/>
  <c r="H125" i="9"/>
  <c r="I125" i="9"/>
  <c r="H126" i="9"/>
  <c r="I126" i="9"/>
  <c r="H127" i="9"/>
  <c r="I127" i="9"/>
  <c r="H128" i="9"/>
  <c r="I128" i="9"/>
  <c r="G125" i="9"/>
  <c r="G126" i="9"/>
  <c r="G127" i="9"/>
  <c r="G128" i="9"/>
  <c r="C157" i="9"/>
  <c r="C159" i="9"/>
  <c r="C160" i="9"/>
  <c r="D156" i="9"/>
  <c r="F156" i="9"/>
  <c r="I156" i="9"/>
  <c r="D157" i="9"/>
  <c r="F157" i="9"/>
  <c r="H157" i="9"/>
  <c r="I157" i="9"/>
  <c r="D158" i="9"/>
  <c r="E158" i="9"/>
  <c r="F158" i="9"/>
  <c r="G158" i="9"/>
  <c r="I158" i="9"/>
  <c r="D159" i="9"/>
  <c r="E159" i="9"/>
  <c r="F159" i="9"/>
  <c r="I159" i="9"/>
  <c r="D160" i="9"/>
  <c r="F160" i="9"/>
  <c r="H160" i="9"/>
  <c r="I160" i="9"/>
  <c r="C188" i="9"/>
  <c r="C189" i="9"/>
  <c r="C190" i="9"/>
  <c r="C191" i="9"/>
  <c r="C192" i="9"/>
  <c r="D188" i="9"/>
  <c r="E188" i="9"/>
  <c r="F188" i="9"/>
  <c r="G188" i="9"/>
  <c r="H188" i="9"/>
  <c r="I188" i="9"/>
  <c r="D189" i="9"/>
  <c r="E189" i="9"/>
  <c r="F189" i="9"/>
  <c r="G189" i="9"/>
  <c r="H189" i="9"/>
  <c r="I189" i="9"/>
  <c r="D190" i="9"/>
  <c r="E190" i="9"/>
  <c r="F190" i="9"/>
  <c r="G190" i="9"/>
  <c r="H190" i="9"/>
  <c r="I190" i="9"/>
  <c r="D191" i="9"/>
  <c r="E191" i="9"/>
  <c r="F191" i="9"/>
  <c r="G191" i="9"/>
  <c r="H191" i="9"/>
  <c r="I191" i="9"/>
  <c r="D192" i="9"/>
  <c r="E192" i="9"/>
  <c r="F192" i="9"/>
  <c r="G192" i="9"/>
  <c r="H192" i="9"/>
  <c r="I192" i="9"/>
  <c r="C220" i="9"/>
  <c r="C221" i="9"/>
  <c r="C222" i="9"/>
  <c r="C223" i="9"/>
  <c r="C224" i="9"/>
  <c r="D220" i="9"/>
  <c r="E220" i="9"/>
  <c r="D221" i="9"/>
  <c r="E221" i="9"/>
  <c r="D222" i="9"/>
  <c r="E222" i="9"/>
  <c r="D223" i="9"/>
  <c r="E223" i="9"/>
  <c r="D224" i="9"/>
  <c r="E224" i="9"/>
  <c r="F221" i="9"/>
  <c r="F223" i="9"/>
  <c r="C253" i="9"/>
  <c r="D253" i="9"/>
  <c r="E253" i="9"/>
  <c r="F253" i="9"/>
  <c r="D254" i="9"/>
  <c r="E254" i="9"/>
  <c r="F254" i="9"/>
  <c r="E255" i="9"/>
  <c r="F255" i="9"/>
  <c r="C284" i="9"/>
  <c r="E284" i="9"/>
  <c r="D316" i="9"/>
  <c r="F316" i="9"/>
  <c r="I316" i="9"/>
  <c r="C348" i="9"/>
  <c r="E348" i="9"/>
  <c r="F348" i="9"/>
  <c r="H348" i="9"/>
  <c r="I348" i="9"/>
  <c r="C380" i="9"/>
  <c r="D252" i="9"/>
  <c r="G252" i="9"/>
  <c r="G220" i="9"/>
  <c r="G222" i="9"/>
  <c r="G223" i="9"/>
  <c r="H220" i="9"/>
  <c r="C252" i="9"/>
  <c r="E252" i="9"/>
  <c r="F252" i="9"/>
  <c r="G92" i="9"/>
  <c r="G94" i="9"/>
  <c r="H156" i="9"/>
  <c r="E30" i="9"/>
  <c r="D126" i="9"/>
  <c r="C158" i="9"/>
  <c r="H158" i="9"/>
  <c r="F220" i="9"/>
  <c r="F222" i="9"/>
  <c r="D11" i="9"/>
  <c r="D10" i="9"/>
  <c r="D9" i="9"/>
  <c r="D73" i="9"/>
  <c r="H41" i="9"/>
  <c r="F41" i="9"/>
  <c r="E41" i="9"/>
  <c r="D41" i="9"/>
  <c r="C41" i="9"/>
  <c r="I9" i="9"/>
  <c r="H9" i="9"/>
  <c r="G9" i="9"/>
  <c r="C73" i="9"/>
  <c r="I41" i="9"/>
  <c r="G41" i="9"/>
  <c r="E42" i="9"/>
  <c r="F42" i="9"/>
  <c r="G42" i="9"/>
  <c r="H42" i="9"/>
  <c r="E43" i="9"/>
  <c r="F43" i="9"/>
  <c r="H43" i="9"/>
  <c r="D75" i="9"/>
  <c r="E107" i="9"/>
  <c r="F75" i="9"/>
  <c r="I75" i="9"/>
  <c r="H75" i="9"/>
  <c r="F105" i="9"/>
  <c r="I73" i="9"/>
  <c r="D105" i="9"/>
  <c r="I106" i="9"/>
  <c r="I107" i="9"/>
  <c r="I105" i="9"/>
  <c r="H137" i="9"/>
  <c r="E203" i="9"/>
  <c r="D203" i="9"/>
  <c r="D202" i="9"/>
  <c r="C203" i="9"/>
  <c r="C202" i="9"/>
  <c r="H171" i="9"/>
  <c r="F171" i="9"/>
  <c r="E171" i="9"/>
  <c r="H170" i="9"/>
  <c r="G170" i="9"/>
  <c r="F170" i="9"/>
  <c r="E170" i="9"/>
  <c r="F139" i="9"/>
  <c r="D139" i="9"/>
  <c r="F138" i="9"/>
  <c r="D138" i="9"/>
  <c r="D171" i="9"/>
  <c r="D170" i="9"/>
  <c r="C169" i="9"/>
  <c r="I137" i="9"/>
  <c r="E137" i="9"/>
  <c r="G169" i="9"/>
  <c r="D137" i="9"/>
  <c r="F137" i="9"/>
  <c r="D169" i="9"/>
  <c r="E169" i="9"/>
  <c r="F169" i="9"/>
  <c r="H169" i="9"/>
  <c r="C201" i="9"/>
  <c r="D201" i="9"/>
  <c r="E201" i="9"/>
  <c r="G203" i="9"/>
  <c r="E235" i="9"/>
  <c r="E267" i="9"/>
  <c r="E266" i="9"/>
  <c r="E234" i="9"/>
  <c r="C266" i="9"/>
  <c r="D233" i="9"/>
  <c r="C267" i="9"/>
  <c r="H267" i="9"/>
  <c r="G235" i="9"/>
  <c r="F331" i="9"/>
  <c r="G299" i="9"/>
  <c r="C363" i="9"/>
  <c r="C233" i="9"/>
  <c r="F235" i="9"/>
  <c r="I266" i="9"/>
  <c r="D267" i="9"/>
  <c r="I267" i="9"/>
  <c r="C331" i="9"/>
  <c r="H330" i="9"/>
  <c r="E331" i="9"/>
  <c r="H331" i="9"/>
  <c r="F298" i="9"/>
  <c r="D299" i="9"/>
  <c r="F299" i="9"/>
  <c r="H299" i="9"/>
  <c r="D362" i="9"/>
  <c r="D363" i="9"/>
  <c r="F234" i="9"/>
  <c r="D13" i="9"/>
  <c r="D18" i="9"/>
  <c r="D16" i="9"/>
  <c r="D15" i="9"/>
  <c r="D14" i="9"/>
  <c r="D365" i="9"/>
  <c r="D336" i="9"/>
  <c r="G112" i="9"/>
  <c r="D240" i="9"/>
  <c r="I240" i="9"/>
  <c r="C270" i="9"/>
  <c r="C272" i="9"/>
  <c r="E240" i="9"/>
  <c r="H112" i="9"/>
  <c r="E272" i="9"/>
  <c r="F272" i="9"/>
  <c r="E304" i="9"/>
  <c r="G304" i="9"/>
  <c r="G16" i="9"/>
  <c r="E80" i="9"/>
  <c r="I144" i="9"/>
  <c r="C176" i="9"/>
  <c r="D174" i="9"/>
  <c r="D176" i="9"/>
  <c r="E239" i="9"/>
  <c r="F335" i="9"/>
  <c r="H335" i="9"/>
  <c r="E336" i="9"/>
  <c r="F336" i="9"/>
  <c r="H304" i="9"/>
  <c r="F207" i="9"/>
  <c r="H77" i="9"/>
  <c r="G269" i="9"/>
  <c r="C271" i="9"/>
  <c r="G272" i="9"/>
  <c r="G336" i="9"/>
  <c r="H109" i="9"/>
  <c r="G77" i="9"/>
  <c r="D301" i="9"/>
  <c r="D304" i="9"/>
  <c r="I207" i="9"/>
  <c r="H208" i="9"/>
  <c r="G13" i="9"/>
  <c r="C80" i="9"/>
  <c r="D80" i="9"/>
  <c r="C112" i="9"/>
  <c r="I112" i="9"/>
  <c r="F176" i="9"/>
  <c r="I336" i="9"/>
  <c r="E13" i="9"/>
  <c r="C368" i="9"/>
  <c r="F15" i="9"/>
  <c r="H15" i="9"/>
  <c r="I15" i="9"/>
  <c r="H16" i="9"/>
  <c r="I16" i="9"/>
  <c r="C47" i="9"/>
  <c r="E45" i="9"/>
  <c r="F45" i="9"/>
  <c r="G45" i="9"/>
  <c r="H45" i="9"/>
  <c r="E46" i="9"/>
  <c r="F46" i="9"/>
  <c r="E47" i="9"/>
  <c r="F47" i="9"/>
  <c r="G47" i="9"/>
  <c r="H47" i="9"/>
  <c r="D48" i="9"/>
  <c r="E48" i="9"/>
  <c r="F48" i="9"/>
  <c r="G48" i="9"/>
  <c r="H48" i="9"/>
  <c r="C77" i="9"/>
  <c r="C79" i="9"/>
  <c r="D77" i="9"/>
  <c r="D79" i="9"/>
  <c r="I77" i="9"/>
  <c r="G79" i="9"/>
  <c r="H79" i="9"/>
  <c r="H80" i="9"/>
  <c r="I80" i="9"/>
  <c r="E77" i="9"/>
  <c r="F77" i="9"/>
  <c r="E79" i="9"/>
  <c r="F79" i="9"/>
  <c r="F80" i="9"/>
  <c r="C109" i="9"/>
  <c r="E109" i="9"/>
  <c r="F109" i="9"/>
  <c r="E111" i="9"/>
  <c r="E112" i="9"/>
  <c r="F112" i="9"/>
  <c r="I109" i="9"/>
  <c r="H111" i="9"/>
  <c r="I111" i="9"/>
  <c r="G109" i="9"/>
  <c r="G111" i="9"/>
  <c r="C141" i="9"/>
  <c r="C143" i="9"/>
  <c r="D141" i="9"/>
  <c r="F141" i="9"/>
  <c r="G141" i="9"/>
  <c r="I141" i="9"/>
  <c r="D142" i="9"/>
  <c r="D143" i="9"/>
  <c r="F143" i="9"/>
  <c r="G143" i="9"/>
  <c r="I143" i="9"/>
  <c r="D144" i="9"/>
  <c r="G144" i="9"/>
  <c r="C173" i="9"/>
  <c r="C175" i="9"/>
  <c r="D173" i="9"/>
  <c r="E173" i="9"/>
  <c r="F173" i="9"/>
  <c r="H173" i="9"/>
  <c r="E174" i="9"/>
  <c r="F174" i="9"/>
  <c r="H174" i="9"/>
  <c r="D175" i="9"/>
  <c r="E175" i="9"/>
  <c r="F175" i="9"/>
  <c r="H175" i="9"/>
  <c r="E176" i="9"/>
  <c r="G176" i="9"/>
  <c r="H176" i="9"/>
  <c r="C205" i="9"/>
  <c r="C206" i="9"/>
  <c r="C207" i="9"/>
  <c r="C208" i="9"/>
  <c r="C239" i="9"/>
  <c r="D237" i="9"/>
  <c r="H237" i="9"/>
  <c r="E237" i="9"/>
  <c r="F237" i="9"/>
  <c r="F238" i="9"/>
  <c r="F239" i="9"/>
  <c r="F240" i="9"/>
  <c r="G237" i="9"/>
  <c r="G239" i="9"/>
  <c r="G240" i="9"/>
  <c r="I237" i="9"/>
  <c r="I239" i="9"/>
  <c r="C269" i="9"/>
  <c r="D269" i="9"/>
  <c r="E269" i="9"/>
  <c r="H269" i="9"/>
  <c r="I269" i="9"/>
  <c r="I270" i="9"/>
  <c r="D271" i="9"/>
  <c r="E271" i="9"/>
  <c r="F271" i="9"/>
  <c r="H271" i="9"/>
  <c r="I271" i="9"/>
  <c r="D272" i="9"/>
  <c r="H272" i="9"/>
  <c r="I272" i="9"/>
  <c r="C333" i="9"/>
  <c r="C335" i="9"/>
  <c r="C336" i="9"/>
  <c r="D333" i="9"/>
  <c r="E333" i="9"/>
  <c r="F333" i="9"/>
  <c r="G333" i="9"/>
  <c r="H333" i="9"/>
  <c r="I333" i="9"/>
  <c r="H334" i="9"/>
  <c r="D335" i="9"/>
  <c r="E335" i="9"/>
  <c r="G335" i="9"/>
  <c r="I335" i="9"/>
  <c r="H336" i="9"/>
  <c r="E301" i="9"/>
  <c r="F301" i="9"/>
  <c r="G301" i="9"/>
  <c r="H301" i="9"/>
  <c r="I301" i="9"/>
  <c r="F302" i="9"/>
  <c r="D303" i="9"/>
  <c r="E303" i="9"/>
  <c r="F303" i="9"/>
  <c r="G303" i="9"/>
  <c r="H303" i="9"/>
  <c r="I303" i="9"/>
  <c r="F304" i="9"/>
  <c r="I304" i="9"/>
  <c r="C365" i="9"/>
  <c r="C367" i="9"/>
  <c r="D367" i="9"/>
  <c r="D205" i="9"/>
  <c r="E205" i="9"/>
  <c r="D206" i="9"/>
  <c r="D207" i="9"/>
  <c r="E207" i="9"/>
  <c r="D208" i="9"/>
  <c r="E208" i="9"/>
  <c r="G205" i="9"/>
  <c r="G208" i="9"/>
  <c r="H205" i="9"/>
  <c r="H207" i="9"/>
  <c r="H13" i="9"/>
  <c r="I13" i="9"/>
  <c r="G18" i="9"/>
  <c r="C146" i="9"/>
  <c r="E18" i="9"/>
  <c r="H242" i="9"/>
  <c r="D306" i="9"/>
  <c r="H210" i="9"/>
  <c r="C114" i="9"/>
  <c r="H114" i="9"/>
  <c r="H146" i="9"/>
  <c r="C274" i="9"/>
  <c r="H274" i="9"/>
  <c r="H18" i="9"/>
  <c r="I18" i="9"/>
  <c r="D50" i="9"/>
  <c r="E50" i="9"/>
  <c r="F50" i="9"/>
  <c r="G50" i="9"/>
  <c r="H50" i="9"/>
  <c r="I50" i="9"/>
  <c r="C82" i="9"/>
  <c r="D82" i="9"/>
  <c r="F82" i="9"/>
  <c r="E114" i="9"/>
  <c r="F114" i="9"/>
  <c r="I114" i="9"/>
  <c r="G114" i="9"/>
  <c r="D146" i="9"/>
  <c r="F146" i="9"/>
  <c r="G146" i="9"/>
  <c r="I146" i="9"/>
  <c r="D178" i="9"/>
  <c r="E178" i="9"/>
  <c r="F178" i="9"/>
  <c r="G178" i="9"/>
  <c r="H178" i="9"/>
  <c r="C210" i="9"/>
  <c r="D242" i="9"/>
  <c r="E242" i="9"/>
  <c r="F242" i="9"/>
  <c r="G242" i="9"/>
  <c r="I242" i="9"/>
  <c r="D274" i="9"/>
  <c r="E274" i="9"/>
  <c r="I274" i="9"/>
  <c r="C338" i="9"/>
  <c r="D338" i="9"/>
  <c r="E338" i="9"/>
  <c r="F338" i="9"/>
  <c r="G338" i="9"/>
  <c r="H338" i="9"/>
  <c r="I338" i="9"/>
  <c r="E306" i="9"/>
  <c r="F306" i="9"/>
  <c r="H306" i="9"/>
  <c r="I306" i="9"/>
  <c r="C370" i="9"/>
  <c r="D370" i="9"/>
  <c r="D210" i="9"/>
  <c r="E210" i="9"/>
  <c r="G210" i="9"/>
  <c r="H144" i="9"/>
  <c r="G80" i="9"/>
  <c r="G238" i="9"/>
  <c r="G302" i="9"/>
  <c r="H46" i="9"/>
  <c r="I110" i="9"/>
  <c r="F142" i="9"/>
  <c r="F144" i="9"/>
  <c r="H302" i="9"/>
  <c r="F274" i="9"/>
  <c r="G274" i="9"/>
  <c r="G82" i="9"/>
  <c r="H82" i="9"/>
  <c r="D19" i="9"/>
  <c r="D179" i="9"/>
  <c r="H51" i="9"/>
  <c r="E51" i="9"/>
  <c r="F51" i="9"/>
  <c r="D147" i="9"/>
  <c r="E179" i="9"/>
  <c r="F179" i="9"/>
  <c r="H179" i="9"/>
  <c r="C211" i="9"/>
  <c r="F243" i="9"/>
  <c r="H339" i="9"/>
  <c r="F307" i="9"/>
  <c r="D211" i="9"/>
  <c r="F147" i="9"/>
  <c r="G244" i="9"/>
  <c r="H244" i="9"/>
  <c r="G276" i="9"/>
  <c r="H212" i="9"/>
  <c r="G212" i="9"/>
  <c r="E212" i="9"/>
  <c r="D212" i="9"/>
  <c r="C372" i="9"/>
  <c r="I308" i="9"/>
  <c r="H308" i="9"/>
  <c r="G308" i="9"/>
  <c r="F308" i="9"/>
  <c r="H340" i="9"/>
  <c r="G340" i="9"/>
  <c r="F340" i="9"/>
  <c r="C340" i="9"/>
  <c r="H276" i="9"/>
  <c r="F276" i="9"/>
  <c r="E276" i="9"/>
  <c r="D276" i="9"/>
  <c r="I244" i="9"/>
  <c r="F244" i="9"/>
  <c r="E244" i="9"/>
  <c r="D244" i="9"/>
  <c r="C212" i="9"/>
  <c r="H180" i="9"/>
  <c r="G180" i="9"/>
  <c r="F180" i="9"/>
  <c r="E180" i="9"/>
  <c r="D180" i="9"/>
  <c r="I148" i="9"/>
  <c r="G148" i="9"/>
  <c r="F148" i="9"/>
  <c r="D148" i="9"/>
  <c r="I116" i="9"/>
  <c r="H116" i="9"/>
  <c r="F116" i="9"/>
  <c r="D116" i="9"/>
  <c r="C116" i="9"/>
  <c r="F84" i="9"/>
  <c r="E84" i="9"/>
  <c r="I84" i="9"/>
  <c r="H84" i="9"/>
  <c r="D84" i="9"/>
  <c r="C84" i="9"/>
  <c r="I52" i="9"/>
  <c r="H52" i="9"/>
  <c r="G52" i="9"/>
  <c r="F52" i="9"/>
  <c r="E52" i="9"/>
  <c r="D52" i="9"/>
  <c r="C52" i="9"/>
  <c r="I20" i="9"/>
  <c r="H20" i="9"/>
  <c r="G20" i="9"/>
  <c r="F20" i="9"/>
  <c r="E20" i="9"/>
  <c r="E148" i="9"/>
  <c r="D308" i="9"/>
  <c r="E340" i="9"/>
  <c r="H148" i="9"/>
  <c r="D372" i="9"/>
  <c r="D20" i="9"/>
  <c r="E217" i="9"/>
  <c r="D217" i="9"/>
  <c r="E216" i="9"/>
  <c r="D216" i="9"/>
  <c r="C217" i="9"/>
  <c r="C216" i="9"/>
  <c r="H185" i="9"/>
  <c r="F185" i="9"/>
  <c r="E185" i="9"/>
  <c r="I184" i="9"/>
  <c r="H184" i="9"/>
  <c r="G184" i="9"/>
  <c r="E184" i="9"/>
  <c r="F153" i="9"/>
  <c r="D153" i="9"/>
  <c r="F152" i="9"/>
  <c r="D152" i="9"/>
  <c r="I121" i="9"/>
  <c r="I89" i="9"/>
  <c r="G57" i="9"/>
  <c r="F57" i="9"/>
  <c r="E57" i="9"/>
  <c r="D57" i="9"/>
  <c r="G56" i="9"/>
  <c r="F56" i="9"/>
  <c r="E56" i="9"/>
  <c r="I25" i="9"/>
  <c r="H25" i="9"/>
  <c r="I24" i="9"/>
  <c r="H24" i="9"/>
  <c r="G152" i="9"/>
  <c r="F184" i="9"/>
  <c r="I120" i="9"/>
  <c r="E121" i="9"/>
  <c r="F120" i="9"/>
  <c r="E120" i="9"/>
  <c r="C120" i="9"/>
  <c r="I88" i="9"/>
  <c r="F88" i="9"/>
  <c r="D89" i="9"/>
  <c r="D88" i="9"/>
  <c r="C89" i="9"/>
  <c r="C88" i="9"/>
  <c r="H152" i="9"/>
  <c r="H89" i="9"/>
  <c r="H88" i="9"/>
  <c r="F121" i="9"/>
  <c r="C121" i="9"/>
  <c r="G121" i="9"/>
  <c r="D185" i="9"/>
  <c r="D184" i="9"/>
  <c r="G25" i="9"/>
  <c r="G24" i="9"/>
  <c r="I153" i="9"/>
  <c r="H121" i="9"/>
  <c r="D24" i="9"/>
  <c r="D25" i="9"/>
  <c r="H233" i="9"/>
  <c r="H124" i="9"/>
  <c r="F203" i="9"/>
  <c r="I176" i="9"/>
  <c r="I178" i="9"/>
  <c r="I180" i="9"/>
  <c r="G84" i="9"/>
  <c r="I185" i="9"/>
  <c r="D380" i="9"/>
  <c r="E287" i="9"/>
  <c r="E286" i="9"/>
  <c r="I60" i="9"/>
  <c r="G124" i="9"/>
  <c r="E156" i="9"/>
  <c r="D284" i="9"/>
  <c r="G284" i="9"/>
  <c r="G316" i="9"/>
  <c r="I62" i="9"/>
  <c r="H61" i="9"/>
  <c r="I61" i="9"/>
  <c r="H63" i="9"/>
  <c r="E157" i="9"/>
  <c r="I284" i="9"/>
  <c r="I201" i="9"/>
  <c r="D124" i="9"/>
  <c r="C156" i="9"/>
  <c r="F208" i="9"/>
  <c r="C304" i="9"/>
  <c r="C144" i="9"/>
  <c r="I48" i="9"/>
  <c r="E144" i="9"/>
  <c r="E143" i="9"/>
  <c r="I45" i="9"/>
  <c r="I47" i="9"/>
  <c r="D109" i="9"/>
  <c r="E82" i="9"/>
  <c r="D112" i="9"/>
  <c r="E141" i="9"/>
  <c r="E146" i="9"/>
  <c r="I275" i="9"/>
  <c r="I276" i="9"/>
  <c r="H56" i="9"/>
  <c r="G153" i="9"/>
  <c r="I56" i="9"/>
  <c r="H57" i="9"/>
  <c r="C316" i="9"/>
  <c r="I220" i="9"/>
  <c r="E28" i="9"/>
  <c r="C139" i="9"/>
  <c r="C148" i="9"/>
  <c r="C153" i="9"/>
  <c r="G43" i="9"/>
  <c r="E75" i="9"/>
  <c r="G171" i="9"/>
  <c r="F267" i="9"/>
  <c r="I235" i="9"/>
  <c r="H235" i="9"/>
  <c r="E270" i="9"/>
  <c r="E15" i="9"/>
  <c r="G46" i="9"/>
  <c r="D47" i="9"/>
  <c r="G173" i="9"/>
  <c r="G174" i="9"/>
  <c r="G175" i="9"/>
  <c r="F269" i="9"/>
  <c r="D334" i="9"/>
  <c r="E238" i="9"/>
  <c r="E243" i="9"/>
  <c r="E275" i="9"/>
  <c r="G179" i="9"/>
  <c r="G51" i="9"/>
  <c r="G211" i="9"/>
  <c r="G185" i="9"/>
  <c r="D56" i="9"/>
  <c r="G120" i="9"/>
  <c r="C184" i="9"/>
  <c r="I152" i="9"/>
  <c r="H120" i="9"/>
  <c r="H240" i="9"/>
  <c r="G334" i="9"/>
  <c r="E25" i="9"/>
  <c r="E152" i="9"/>
  <c r="E88" i="9"/>
  <c r="D120" i="9"/>
  <c r="E89" i="9"/>
  <c r="D121" i="9"/>
  <c r="G88" i="9"/>
  <c r="E153" i="9"/>
  <c r="C152" i="9"/>
  <c r="E24" i="9"/>
  <c r="C10" i="9"/>
  <c r="C127" i="9"/>
  <c r="H159" i="9"/>
  <c r="G73" i="9"/>
  <c r="G10" i="9"/>
  <c r="G11" i="9"/>
  <c r="C74" i="9"/>
  <c r="D74" i="9"/>
  <c r="H10" i="9"/>
  <c r="I10" i="9"/>
  <c r="H11" i="9"/>
  <c r="I11" i="9"/>
  <c r="D42" i="9"/>
  <c r="C75" i="9"/>
  <c r="G74" i="9"/>
  <c r="F107" i="9"/>
  <c r="C107" i="9"/>
  <c r="C106" i="9"/>
  <c r="I74" i="9"/>
  <c r="F106" i="9"/>
  <c r="F74" i="9"/>
  <c r="E74" i="9"/>
  <c r="C105" i="9"/>
  <c r="G106" i="9"/>
  <c r="G107" i="9"/>
  <c r="H107" i="9"/>
  <c r="H106" i="9"/>
  <c r="H138" i="9"/>
  <c r="H139" i="9"/>
  <c r="E202" i="9"/>
  <c r="G139" i="9"/>
  <c r="G138" i="9"/>
  <c r="C171" i="9"/>
  <c r="I139" i="9"/>
  <c r="I138" i="9"/>
  <c r="C170" i="9"/>
  <c r="C137" i="9"/>
  <c r="H202" i="9"/>
  <c r="H203" i="9"/>
  <c r="G267" i="9"/>
  <c r="G266" i="9"/>
  <c r="D330" i="9"/>
  <c r="D234" i="9"/>
  <c r="D235" i="9"/>
  <c r="D298" i="9"/>
  <c r="F266" i="9"/>
  <c r="I331" i="9"/>
  <c r="E299" i="9"/>
  <c r="E330" i="9"/>
  <c r="I330" i="9"/>
  <c r="H298" i="9"/>
  <c r="I298" i="9"/>
  <c r="C362" i="9"/>
  <c r="C330" i="9"/>
  <c r="I299" i="9"/>
  <c r="G234" i="9"/>
  <c r="I234" i="9"/>
  <c r="G14" i="9"/>
  <c r="C174" i="9"/>
  <c r="I173" i="9"/>
  <c r="H78" i="9"/>
  <c r="C366" i="9"/>
  <c r="H14" i="9"/>
  <c r="I14" i="9"/>
  <c r="D45" i="9"/>
  <c r="I79" i="9"/>
  <c r="C110" i="9"/>
  <c r="C111" i="9"/>
  <c r="E110" i="9"/>
  <c r="F111" i="9"/>
  <c r="H143" i="9"/>
  <c r="I175" i="9"/>
  <c r="D239" i="9"/>
  <c r="G271" i="9"/>
  <c r="F334" i="9"/>
  <c r="I302" i="9"/>
  <c r="E206" i="9"/>
  <c r="F210" i="9"/>
  <c r="C178" i="9"/>
  <c r="D114" i="9"/>
  <c r="C306" i="9"/>
  <c r="I82" i="9"/>
  <c r="G306" i="9"/>
  <c r="I142" i="9"/>
  <c r="H142" i="9"/>
  <c r="G270" i="9"/>
  <c r="D302" i="9"/>
  <c r="H206" i="9"/>
  <c r="F78" i="9"/>
  <c r="F110" i="9"/>
  <c r="H270" i="9"/>
  <c r="E302" i="9"/>
  <c r="C78" i="9"/>
  <c r="D78" i="9"/>
  <c r="I78" i="9"/>
  <c r="H141" i="9"/>
  <c r="G142" i="9"/>
  <c r="D270" i="9"/>
  <c r="C334" i="9"/>
  <c r="E334" i="9"/>
  <c r="G19" i="9"/>
  <c r="I147" i="9"/>
  <c r="C179" i="9"/>
  <c r="C275" i="9"/>
  <c r="H115" i="9"/>
  <c r="G243" i="9"/>
  <c r="H19" i="9"/>
  <c r="I19" i="9"/>
  <c r="D83" i="9"/>
  <c r="H83" i="9"/>
  <c r="F83" i="9"/>
  <c r="E115" i="9"/>
  <c r="I115" i="9"/>
  <c r="C339" i="9"/>
  <c r="F339" i="9"/>
  <c r="H307" i="9"/>
  <c r="I307" i="9"/>
  <c r="C371" i="9"/>
  <c r="E211" i="9"/>
  <c r="H211" i="9"/>
  <c r="G275" i="9"/>
  <c r="I243" i="9"/>
  <c r="G115" i="9"/>
  <c r="D307" i="9"/>
  <c r="E307" i="9"/>
  <c r="G307" i="9"/>
  <c r="H275" i="9"/>
  <c r="I339" i="9"/>
  <c r="C115" i="9"/>
  <c r="F115" i="9"/>
  <c r="D275" i="9"/>
  <c r="E339" i="9"/>
  <c r="C83" i="9"/>
  <c r="I83" i="9"/>
  <c r="G147" i="9"/>
  <c r="F212" i="9"/>
  <c r="E308" i="9"/>
  <c r="I340" i="9"/>
  <c r="C180" i="9"/>
  <c r="G116" i="9"/>
  <c r="D340" i="9"/>
  <c r="F89" i="9"/>
  <c r="C185" i="9"/>
  <c r="E31" i="9"/>
  <c r="I170" i="9"/>
  <c r="I171" i="9"/>
  <c r="I169" i="9"/>
  <c r="I174" i="9"/>
  <c r="I179" i="9"/>
  <c r="I43" i="9"/>
  <c r="E138" i="9"/>
  <c r="F205" i="9"/>
  <c r="D111" i="9"/>
  <c r="C303" i="9"/>
  <c r="F206" i="9"/>
  <c r="I46" i="9"/>
  <c r="F211" i="9"/>
  <c r="I51" i="9"/>
  <c r="I57" i="9"/>
  <c r="G89" i="9"/>
  <c r="F216" i="9"/>
  <c r="C147" i="9"/>
  <c r="D43" i="9"/>
  <c r="G75" i="9"/>
  <c r="D331" i="9"/>
  <c r="G331" i="9"/>
  <c r="D46" i="9"/>
  <c r="H110" i="9"/>
  <c r="G110" i="9"/>
  <c r="H238" i="9"/>
  <c r="D238" i="9"/>
  <c r="I238" i="9"/>
  <c r="F270" i="9"/>
  <c r="I334" i="9"/>
  <c r="D339" i="9"/>
  <c r="D243" i="9"/>
  <c r="D51" i="9"/>
  <c r="H243" i="9"/>
  <c r="F275" i="9"/>
  <c r="G83" i="9"/>
  <c r="E11" i="9"/>
  <c r="H239" i="9"/>
  <c r="E14" i="9"/>
  <c r="G339" i="9"/>
  <c r="E19" i="9"/>
  <c r="E139" i="9"/>
  <c r="C299" i="9"/>
  <c r="E78" i="9"/>
  <c r="G78" i="9"/>
  <c r="D110" i="9"/>
  <c r="E142" i="9"/>
  <c r="C302" i="9"/>
  <c r="E83" i="9"/>
  <c r="D115" i="9"/>
  <c r="E147" i="9"/>
  <c r="D107" i="9"/>
  <c r="C301" i="9"/>
  <c r="C142" i="9"/>
  <c r="F32" i="9"/>
  <c r="F224" i="9"/>
  <c r="F28" i="9"/>
  <c r="F29" i="9"/>
  <c r="E32" i="9"/>
  <c r="C60" i="9"/>
  <c r="C61" i="9"/>
  <c r="C64" i="9"/>
  <c r="D128" i="9"/>
  <c r="F9" i="9"/>
  <c r="C42" i="9"/>
  <c r="C43" i="9"/>
  <c r="E106" i="9"/>
  <c r="G202" i="9"/>
  <c r="C234" i="9"/>
  <c r="C235" i="9"/>
  <c r="G15" i="9"/>
  <c r="F16" i="9"/>
  <c r="C45" i="9"/>
  <c r="C46" i="9"/>
  <c r="C48" i="9"/>
  <c r="F13" i="9"/>
  <c r="G206" i="9"/>
  <c r="G207" i="9"/>
  <c r="F18" i="9"/>
  <c r="C50" i="9"/>
  <c r="C51" i="9"/>
  <c r="D371" i="9"/>
  <c r="E116" i="9"/>
  <c r="C57" i="9"/>
  <c r="C56" i="9"/>
  <c r="F24" i="9"/>
  <c r="H153" i="9"/>
  <c r="E16" i="9"/>
  <c r="C18" i="9"/>
  <c r="C16" i="9"/>
  <c r="E29" i="9"/>
  <c r="I64" i="9"/>
  <c r="E9" i="9"/>
  <c r="C138" i="9"/>
  <c r="C24" i="9"/>
  <c r="F10" i="9"/>
  <c r="F11" i="9"/>
  <c r="H74" i="9"/>
  <c r="C298" i="9"/>
  <c r="G330" i="9"/>
  <c r="H266" i="9"/>
  <c r="E298" i="9"/>
  <c r="D266" i="9"/>
  <c r="F330" i="9"/>
  <c r="G298" i="9"/>
  <c r="H234" i="9"/>
  <c r="F14" i="9"/>
  <c r="H147" i="9"/>
  <c r="F19" i="9"/>
  <c r="F25" i="9"/>
  <c r="E371" i="9"/>
  <c r="E10" i="9"/>
  <c r="F202" i="9"/>
  <c r="C11" i="9"/>
  <c r="C13" i="9"/>
  <c r="C14" i="9"/>
  <c r="I42" i="9"/>
  <c r="I202" i="9"/>
  <c r="F217" i="9"/>
  <c r="D106" i="9"/>
  <c r="C308" i="9"/>
  <c r="I203" i="9"/>
  <c r="C307" i="9"/>
  <c r="C19" i="9"/>
  <c r="C240" i="9"/>
  <c r="C238" i="9"/>
  <c r="C237" i="9"/>
  <c r="C242" i="9"/>
  <c r="C243" i="9"/>
  <c r="C244" i="9"/>
  <c r="I205" i="9"/>
  <c r="I208" i="9"/>
  <c r="I210" i="9"/>
  <c r="I212" i="9"/>
  <c r="I211" i="9"/>
  <c r="I206" i="9"/>
  <c r="CE60" i="1"/>
  <c r="C816" i="1" s="1"/>
  <c r="CE61" i="1"/>
  <c r="W48" i="1" s="1"/>
  <c r="W62" i="1" s="1"/>
  <c r="CE65" i="1"/>
  <c r="C431" i="1" s="1"/>
  <c r="CE63" i="1"/>
  <c r="C429" i="1" s="1"/>
  <c r="CE66" i="1"/>
  <c r="CE68" i="1"/>
  <c r="C434" i="1" s="1"/>
  <c r="D75" i="1"/>
  <c r="AR75" i="1"/>
  <c r="AS75" i="1"/>
  <c r="N776" i="1" s="1"/>
  <c r="AT75" i="1"/>
  <c r="D218" i="9" s="1"/>
  <c r="AU75" i="1"/>
  <c r="AQ75" i="1"/>
  <c r="AO75" i="1"/>
  <c r="AN75" i="1"/>
  <c r="AM75" i="1"/>
  <c r="N770" i="1" s="1"/>
  <c r="AI75" i="1"/>
  <c r="G154" i="9" s="1"/>
  <c r="AH75" i="1"/>
  <c r="F154" i="9" s="1"/>
  <c r="AF75" i="1"/>
  <c r="AD75" i="1"/>
  <c r="I122" i="9" s="1"/>
  <c r="AA75" i="1"/>
  <c r="F122" i="9" s="1"/>
  <c r="Z75" i="1"/>
  <c r="E122" i="9" s="1"/>
  <c r="X75" i="1"/>
  <c r="C122" i="9" s="1"/>
  <c r="W75" i="1"/>
  <c r="V75" i="1"/>
  <c r="T75" i="1"/>
  <c r="N751" i="1" s="1"/>
  <c r="R75" i="1"/>
  <c r="Q75" i="1"/>
  <c r="N748" i="1" s="1"/>
  <c r="P75" i="1"/>
  <c r="I58" i="9" s="1"/>
  <c r="O75" i="1"/>
  <c r="N746" i="1" s="1"/>
  <c r="N75" i="1"/>
  <c r="G58" i="9" s="1"/>
  <c r="M75" i="1"/>
  <c r="F58" i="9" s="1"/>
  <c r="L75" i="1"/>
  <c r="E58" i="9" s="1"/>
  <c r="I75" i="1"/>
  <c r="I26" i="9" s="1"/>
  <c r="H75" i="1"/>
  <c r="G75" i="1"/>
  <c r="F75" i="1"/>
  <c r="N737" i="1" s="1"/>
  <c r="AV75" i="1"/>
  <c r="AP75" i="1"/>
  <c r="G186" i="9" s="1"/>
  <c r="AJ75" i="1"/>
  <c r="AL75" i="1"/>
  <c r="C186" i="9" s="1"/>
  <c r="AK75" i="1"/>
  <c r="I154" i="9" s="1"/>
  <c r="AG75" i="1"/>
  <c r="AE75" i="1"/>
  <c r="C154" i="9" s="1"/>
  <c r="AC75" i="1"/>
  <c r="AB75" i="1"/>
  <c r="N759" i="1" s="1"/>
  <c r="Y75" i="1"/>
  <c r="D122" i="9" s="1"/>
  <c r="U75" i="1"/>
  <c r="S75" i="1"/>
  <c r="E90" i="9" s="1"/>
  <c r="K75" i="1"/>
  <c r="J75" i="1"/>
  <c r="E75" i="1"/>
  <c r="E26" i="9" s="1"/>
  <c r="CE73" i="1"/>
  <c r="O816" i="1" s="1"/>
  <c r="CE74" i="1"/>
  <c r="C464" i="1" s="1"/>
  <c r="C75" i="1"/>
  <c r="CE80" i="1"/>
  <c r="CE78" i="1"/>
  <c r="R816" i="1" s="1"/>
  <c r="CE69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D361" i="1"/>
  <c r="N817" i="1" s="1"/>
  <c r="D372" i="1"/>
  <c r="C125" i="8" s="1"/>
  <c r="D260" i="1"/>
  <c r="C16" i="8" s="1"/>
  <c r="D265" i="1"/>
  <c r="C22" i="8" s="1"/>
  <c r="D275" i="1"/>
  <c r="D290" i="1"/>
  <c r="C49" i="8" s="1"/>
  <c r="D314" i="1"/>
  <c r="C68" i="8" s="1"/>
  <c r="D319" i="1"/>
  <c r="C74" i="8" s="1"/>
  <c r="D328" i="1"/>
  <c r="C84" i="8" s="1"/>
  <c r="D329" i="1"/>
  <c r="C85" i="8" s="1"/>
  <c r="D229" i="1"/>
  <c r="B445" i="1" s="1"/>
  <c r="D236" i="1"/>
  <c r="D240" i="1"/>
  <c r="B447" i="1" s="1"/>
  <c r="E209" i="1"/>
  <c r="F24" i="6" s="1"/>
  <c r="E210" i="1"/>
  <c r="F25" i="6" s="1"/>
  <c r="E211" i="1"/>
  <c r="F26" i="6" s="1"/>
  <c r="E212" i="1"/>
  <c r="F27" i="6" s="1"/>
  <c r="E213" i="1"/>
  <c r="F28" i="6" s="1"/>
  <c r="E214" i="1"/>
  <c r="F29" i="6" s="1"/>
  <c r="E215" i="1"/>
  <c r="F30" i="6" s="1"/>
  <c r="E216" i="1"/>
  <c r="F31" i="6" s="1"/>
  <c r="D217" i="1"/>
  <c r="E32" i="6" s="1"/>
  <c r="C217" i="1"/>
  <c r="E196" i="1"/>
  <c r="F8" i="6" s="1"/>
  <c r="E197" i="1"/>
  <c r="E198" i="1"/>
  <c r="E199" i="1"/>
  <c r="C472" i="1" s="1"/>
  <c r="E200" i="1"/>
  <c r="F12" i="6" s="1"/>
  <c r="E201" i="1"/>
  <c r="F13" i="6" s="1"/>
  <c r="E202" i="1"/>
  <c r="C474" i="1" s="1"/>
  <c r="E203" i="1"/>
  <c r="F15" i="6" s="1"/>
  <c r="D204" i="1"/>
  <c r="E16" i="6" s="1"/>
  <c r="B204" i="1"/>
  <c r="C16" i="6" s="1"/>
  <c r="D190" i="1"/>
  <c r="D437" i="1" s="1"/>
  <c r="D186" i="1"/>
  <c r="C34" i="5" s="1"/>
  <c r="D181" i="1"/>
  <c r="C27" i="5" s="1"/>
  <c r="D177" i="1"/>
  <c r="C20" i="5" s="1"/>
  <c r="E154" i="1"/>
  <c r="F28" i="4" s="1"/>
  <c r="E153" i="1"/>
  <c r="E152" i="1"/>
  <c r="D28" i="4" s="1"/>
  <c r="E151" i="1"/>
  <c r="E150" i="1"/>
  <c r="E148" i="1"/>
  <c r="E147" i="1"/>
  <c r="E19" i="4" s="1"/>
  <c r="E146" i="1"/>
  <c r="D19" i="4" s="1"/>
  <c r="E145" i="1"/>
  <c r="C19" i="4" s="1"/>
  <c r="E144" i="1"/>
  <c r="E141" i="1"/>
  <c r="E10" i="4" s="1"/>
  <c r="E140" i="1"/>
  <c r="D10" i="4" s="1"/>
  <c r="E139" i="1"/>
  <c r="E127" i="1"/>
  <c r="G34" i="3" s="1"/>
  <c r="CF79" i="1"/>
  <c r="B53" i="1"/>
  <c r="CE51" i="1"/>
  <c r="B49" i="1"/>
  <c r="A412" i="1"/>
  <c r="G493" i="1"/>
  <c r="E493" i="1"/>
  <c r="C493" i="1"/>
  <c r="O817" i="1"/>
  <c r="M817" i="1"/>
  <c r="K817" i="1"/>
  <c r="J817" i="1"/>
  <c r="I817" i="1"/>
  <c r="H817" i="1"/>
  <c r="G817" i="1"/>
  <c r="F817" i="1"/>
  <c r="E817" i="1"/>
  <c r="D817" i="1"/>
  <c r="X813" i="1"/>
  <c r="X815" i="1" s="1"/>
  <c r="W813" i="1"/>
  <c r="W815" i="1" s="1"/>
  <c r="U813" i="1"/>
  <c r="U815" i="1" s="1"/>
  <c r="T734" i="1"/>
  <c r="T735" i="1"/>
  <c r="T736" i="1"/>
  <c r="T737" i="1"/>
  <c r="T738" i="1"/>
  <c r="T739" i="1"/>
  <c r="T740" i="1"/>
  <c r="T741" i="1"/>
  <c r="T742" i="1"/>
  <c r="T743" i="1"/>
  <c r="T744" i="1"/>
  <c r="T745" i="1"/>
  <c r="T746" i="1"/>
  <c r="T747" i="1"/>
  <c r="T748" i="1"/>
  <c r="T749" i="1"/>
  <c r="T750" i="1"/>
  <c r="T751" i="1"/>
  <c r="T752" i="1"/>
  <c r="T753" i="1"/>
  <c r="T754" i="1"/>
  <c r="T755" i="1"/>
  <c r="T756" i="1"/>
  <c r="T757" i="1"/>
  <c r="T758" i="1"/>
  <c r="T759" i="1"/>
  <c r="T760" i="1"/>
  <c r="T761" i="1"/>
  <c r="T762" i="1"/>
  <c r="T763" i="1"/>
  <c r="T764" i="1"/>
  <c r="T765" i="1"/>
  <c r="T766" i="1"/>
  <c r="T767" i="1"/>
  <c r="T768" i="1"/>
  <c r="T769" i="1"/>
  <c r="T770" i="1"/>
  <c r="T771" i="1"/>
  <c r="T772" i="1"/>
  <c r="T773" i="1"/>
  <c r="T774" i="1"/>
  <c r="T775" i="1"/>
  <c r="T776" i="1"/>
  <c r="T777" i="1"/>
  <c r="T778" i="1"/>
  <c r="T779" i="1"/>
  <c r="T780" i="1"/>
  <c r="T781" i="1"/>
  <c r="T782" i="1"/>
  <c r="T783" i="1"/>
  <c r="T784" i="1"/>
  <c r="T785" i="1"/>
  <c r="T786" i="1"/>
  <c r="T787" i="1"/>
  <c r="T788" i="1"/>
  <c r="T789" i="1"/>
  <c r="T790" i="1"/>
  <c r="T791" i="1"/>
  <c r="T792" i="1"/>
  <c r="T793" i="1"/>
  <c r="T794" i="1"/>
  <c r="T795" i="1"/>
  <c r="T796" i="1"/>
  <c r="T797" i="1"/>
  <c r="T798" i="1"/>
  <c r="T799" i="1"/>
  <c r="T800" i="1"/>
  <c r="T801" i="1"/>
  <c r="T802" i="1"/>
  <c r="T803" i="1"/>
  <c r="T804" i="1"/>
  <c r="T805" i="1"/>
  <c r="T806" i="1"/>
  <c r="T807" i="1"/>
  <c r="T808" i="1"/>
  <c r="T809" i="1"/>
  <c r="T810" i="1"/>
  <c r="T811" i="1"/>
  <c r="T812" i="1"/>
  <c r="S734" i="1"/>
  <c r="S736" i="1"/>
  <c r="S737" i="1"/>
  <c r="S747" i="1"/>
  <c r="S749" i="1"/>
  <c r="S750" i="1"/>
  <c r="S753" i="1"/>
  <c r="S755" i="1"/>
  <c r="S756" i="1"/>
  <c r="S757" i="1"/>
  <c r="S758" i="1"/>
  <c r="S759" i="1"/>
  <c r="S760" i="1"/>
  <c r="S761" i="1"/>
  <c r="S762" i="1"/>
  <c r="S766" i="1"/>
  <c r="S767" i="1"/>
  <c r="S777" i="1"/>
  <c r="S779" i="1"/>
  <c r="S780" i="1"/>
  <c r="S786" i="1"/>
  <c r="S802" i="1"/>
  <c r="S740" i="1"/>
  <c r="S785" i="1"/>
  <c r="S735" i="1"/>
  <c r="S738" i="1"/>
  <c r="S739" i="1"/>
  <c r="S741" i="1"/>
  <c r="S742" i="1"/>
  <c r="S743" i="1"/>
  <c r="S744" i="1"/>
  <c r="S745" i="1"/>
  <c r="S746" i="1"/>
  <c r="S751" i="1"/>
  <c r="S752" i="1"/>
  <c r="S754" i="1"/>
  <c r="S763" i="1"/>
  <c r="S765" i="1"/>
  <c r="S768" i="1"/>
  <c r="S769" i="1"/>
  <c r="S770" i="1"/>
  <c r="S771" i="1"/>
  <c r="S772" i="1"/>
  <c r="S773" i="1"/>
  <c r="S774" i="1"/>
  <c r="S775" i="1"/>
  <c r="S776" i="1"/>
  <c r="S778" i="1"/>
  <c r="S781" i="1"/>
  <c r="S782" i="1"/>
  <c r="S783" i="1"/>
  <c r="S784" i="1"/>
  <c r="S787" i="1"/>
  <c r="S788" i="1"/>
  <c r="S789" i="1"/>
  <c r="S790" i="1"/>
  <c r="S791" i="1"/>
  <c r="S792" i="1"/>
  <c r="S793" i="1"/>
  <c r="S794" i="1"/>
  <c r="S795" i="1"/>
  <c r="S796" i="1"/>
  <c r="S797" i="1"/>
  <c r="S798" i="1"/>
  <c r="S799" i="1"/>
  <c r="S800" i="1"/>
  <c r="S801" i="1"/>
  <c r="S803" i="1"/>
  <c r="S804" i="1"/>
  <c r="S805" i="1"/>
  <c r="S806" i="1"/>
  <c r="S807" i="1"/>
  <c r="S808" i="1"/>
  <c r="S809" i="1"/>
  <c r="S810" i="1"/>
  <c r="S811" i="1"/>
  <c r="S812" i="1"/>
  <c r="R734" i="1"/>
  <c r="R736" i="1"/>
  <c r="R737" i="1"/>
  <c r="R740" i="1"/>
  <c r="R742" i="1"/>
  <c r="R745" i="1"/>
  <c r="R747" i="1"/>
  <c r="R748" i="1"/>
  <c r="R749" i="1"/>
  <c r="R750" i="1"/>
  <c r="R751" i="1"/>
  <c r="R752" i="1"/>
  <c r="R753" i="1"/>
  <c r="R754" i="1"/>
  <c r="R755" i="1"/>
  <c r="R756" i="1"/>
  <c r="R757" i="1"/>
  <c r="R758" i="1"/>
  <c r="R759" i="1"/>
  <c r="R760" i="1"/>
  <c r="R761" i="1"/>
  <c r="R762" i="1"/>
  <c r="R764" i="1"/>
  <c r="R766" i="1"/>
  <c r="R767" i="1"/>
  <c r="R768" i="1"/>
  <c r="R769" i="1"/>
  <c r="R775" i="1"/>
  <c r="R776" i="1"/>
  <c r="R777" i="1"/>
  <c r="R778" i="1"/>
  <c r="R779" i="1"/>
  <c r="R784" i="1"/>
  <c r="R791" i="1"/>
  <c r="R796" i="1"/>
  <c r="R794" i="1"/>
  <c r="R802" i="1"/>
  <c r="R803" i="1"/>
  <c r="R804" i="1"/>
  <c r="R805" i="1"/>
  <c r="R806" i="1"/>
  <c r="R807" i="1"/>
  <c r="R808" i="1"/>
  <c r="R810" i="1"/>
  <c r="R735" i="1"/>
  <c r="R738" i="1"/>
  <c r="R739" i="1"/>
  <c r="R741" i="1"/>
  <c r="R743" i="1"/>
  <c r="R744" i="1"/>
  <c r="R746" i="1"/>
  <c r="R763" i="1"/>
  <c r="R765" i="1"/>
  <c r="R770" i="1"/>
  <c r="R771" i="1"/>
  <c r="R772" i="1"/>
  <c r="R773" i="1"/>
  <c r="R774" i="1"/>
  <c r="R780" i="1"/>
  <c r="R781" i="1"/>
  <c r="R782" i="1"/>
  <c r="R783" i="1"/>
  <c r="R785" i="1"/>
  <c r="R786" i="1"/>
  <c r="R787" i="1"/>
  <c r="R788" i="1"/>
  <c r="R789" i="1"/>
  <c r="R790" i="1"/>
  <c r="R792" i="1"/>
  <c r="R793" i="1"/>
  <c r="R795" i="1"/>
  <c r="R797" i="1"/>
  <c r="R798" i="1"/>
  <c r="R799" i="1"/>
  <c r="R800" i="1"/>
  <c r="R801" i="1"/>
  <c r="R809" i="1"/>
  <c r="R811" i="1"/>
  <c r="R812" i="1"/>
  <c r="Q734" i="1"/>
  <c r="Q736" i="1"/>
  <c r="Q737" i="1"/>
  <c r="Q740" i="1"/>
  <c r="Q764" i="1"/>
  <c r="Q766" i="1"/>
  <c r="Q735" i="1"/>
  <c r="Q738" i="1"/>
  <c r="Q739" i="1"/>
  <c r="Q741" i="1"/>
  <c r="Q742" i="1"/>
  <c r="Q743" i="1"/>
  <c r="Q744" i="1"/>
  <c r="Q745" i="1"/>
  <c r="Q746" i="1"/>
  <c r="Q747" i="1"/>
  <c r="Q748" i="1"/>
  <c r="Q749" i="1"/>
  <c r="Q750" i="1"/>
  <c r="Q751" i="1"/>
  <c r="Q752" i="1"/>
  <c r="Q753" i="1"/>
  <c r="Q754" i="1"/>
  <c r="Q755" i="1"/>
  <c r="Q756" i="1"/>
  <c r="Q757" i="1"/>
  <c r="Q758" i="1"/>
  <c r="Q759" i="1"/>
  <c r="Q760" i="1"/>
  <c r="Q761" i="1"/>
  <c r="Q762" i="1"/>
  <c r="Q763" i="1"/>
  <c r="Q765" i="1"/>
  <c r="Q767" i="1"/>
  <c r="Q768" i="1"/>
  <c r="Q769" i="1"/>
  <c r="Q770" i="1"/>
  <c r="Q771" i="1"/>
  <c r="Q772" i="1"/>
  <c r="Q773" i="1"/>
  <c r="Q774" i="1"/>
  <c r="Q775" i="1"/>
  <c r="Q776" i="1"/>
  <c r="Q777" i="1"/>
  <c r="Q778" i="1"/>
  <c r="Q779" i="1"/>
  <c r="Q780" i="1"/>
  <c r="Q781" i="1"/>
  <c r="Q782" i="1"/>
  <c r="Q783" i="1"/>
  <c r="Q784" i="1"/>
  <c r="Q785" i="1"/>
  <c r="Q786" i="1"/>
  <c r="Q787" i="1"/>
  <c r="Q788" i="1"/>
  <c r="Q789" i="1"/>
  <c r="Q790" i="1"/>
  <c r="Q791" i="1"/>
  <c r="Q792" i="1"/>
  <c r="Q793" i="1"/>
  <c r="Q794" i="1"/>
  <c r="Q795" i="1"/>
  <c r="Q796" i="1"/>
  <c r="Q797" i="1"/>
  <c r="Q798" i="1"/>
  <c r="Q799" i="1"/>
  <c r="Q800" i="1"/>
  <c r="Q801" i="1"/>
  <c r="Q802" i="1"/>
  <c r="Q803" i="1"/>
  <c r="Q804" i="1"/>
  <c r="Q805" i="1"/>
  <c r="Q806" i="1"/>
  <c r="Q807" i="1"/>
  <c r="Q808" i="1"/>
  <c r="Q809" i="1"/>
  <c r="Q810" i="1"/>
  <c r="Q811" i="1"/>
  <c r="Q812" i="1"/>
  <c r="P734" i="1"/>
  <c r="P735" i="1"/>
  <c r="P736" i="1"/>
  <c r="P737" i="1"/>
  <c r="P738" i="1"/>
  <c r="P739" i="1"/>
  <c r="P740" i="1"/>
  <c r="P741" i="1"/>
  <c r="P742" i="1"/>
  <c r="P743" i="1"/>
  <c r="P744" i="1"/>
  <c r="P745" i="1"/>
  <c r="P746" i="1"/>
  <c r="P747" i="1"/>
  <c r="P748" i="1"/>
  <c r="P749" i="1"/>
  <c r="P750" i="1"/>
  <c r="P751" i="1"/>
  <c r="P752" i="1"/>
  <c r="P753" i="1"/>
  <c r="P754" i="1"/>
  <c r="P755" i="1"/>
  <c r="P756" i="1"/>
  <c r="P757" i="1"/>
  <c r="P758" i="1"/>
  <c r="P759" i="1"/>
  <c r="P760" i="1"/>
  <c r="P761" i="1"/>
  <c r="P762" i="1"/>
  <c r="P763" i="1"/>
  <c r="P764" i="1"/>
  <c r="P765" i="1"/>
  <c r="P766" i="1"/>
  <c r="P767" i="1"/>
  <c r="P768" i="1"/>
  <c r="P769" i="1"/>
  <c r="P770" i="1"/>
  <c r="P771" i="1"/>
  <c r="P772" i="1"/>
  <c r="P773" i="1"/>
  <c r="P774" i="1"/>
  <c r="P775" i="1"/>
  <c r="P776" i="1"/>
  <c r="P777" i="1"/>
  <c r="P778" i="1"/>
  <c r="P779" i="1"/>
  <c r="P780" i="1"/>
  <c r="P781" i="1"/>
  <c r="P782" i="1"/>
  <c r="P783" i="1"/>
  <c r="P784" i="1"/>
  <c r="P786" i="1"/>
  <c r="P787" i="1"/>
  <c r="P788" i="1"/>
  <c r="P789" i="1"/>
  <c r="P790" i="1"/>
  <c r="P791" i="1"/>
  <c r="P792" i="1"/>
  <c r="P793" i="1"/>
  <c r="P794" i="1"/>
  <c r="P795" i="1"/>
  <c r="P796" i="1"/>
  <c r="P797" i="1"/>
  <c r="P798" i="1"/>
  <c r="P801" i="1"/>
  <c r="P802" i="1"/>
  <c r="P803" i="1"/>
  <c r="P804" i="1"/>
  <c r="P805" i="1"/>
  <c r="P806" i="1"/>
  <c r="P807" i="1"/>
  <c r="P808" i="1"/>
  <c r="P810" i="1"/>
  <c r="P811" i="1"/>
  <c r="P785" i="1"/>
  <c r="P799" i="1"/>
  <c r="P800" i="1"/>
  <c r="P809" i="1"/>
  <c r="O734" i="1"/>
  <c r="O735" i="1"/>
  <c r="O736" i="1"/>
  <c r="O737" i="1"/>
  <c r="O738" i="1"/>
  <c r="O739" i="1"/>
  <c r="O740" i="1"/>
  <c r="O741" i="1"/>
  <c r="O742" i="1"/>
  <c r="O743" i="1"/>
  <c r="O744" i="1"/>
  <c r="O745" i="1"/>
  <c r="O746" i="1"/>
  <c r="O747" i="1"/>
  <c r="O748" i="1"/>
  <c r="O749" i="1"/>
  <c r="O750" i="1"/>
  <c r="O751" i="1"/>
  <c r="O752" i="1"/>
  <c r="O753" i="1"/>
  <c r="O754" i="1"/>
  <c r="O755" i="1"/>
  <c r="O756" i="1"/>
  <c r="O757" i="1"/>
  <c r="O758" i="1"/>
  <c r="O759" i="1"/>
  <c r="O760" i="1"/>
  <c r="O761" i="1"/>
  <c r="O762" i="1"/>
  <c r="O763" i="1"/>
  <c r="O764" i="1"/>
  <c r="O765" i="1"/>
  <c r="O766" i="1"/>
  <c r="O767" i="1"/>
  <c r="O768" i="1"/>
  <c r="O769" i="1"/>
  <c r="O770" i="1"/>
  <c r="O771" i="1"/>
  <c r="O772" i="1"/>
  <c r="O773" i="1"/>
  <c r="O774" i="1"/>
  <c r="O775" i="1"/>
  <c r="O776" i="1"/>
  <c r="O777" i="1"/>
  <c r="O778" i="1"/>
  <c r="O779" i="1"/>
  <c r="L734" i="1"/>
  <c r="L736" i="1"/>
  <c r="L737" i="1"/>
  <c r="L740" i="1"/>
  <c r="L745" i="1"/>
  <c r="L747" i="1"/>
  <c r="L748" i="1"/>
  <c r="L749" i="1"/>
  <c r="L750" i="1"/>
  <c r="L751" i="1"/>
  <c r="L752" i="1"/>
  <c r="L753" i="1"/>
  <c r="L754" i="1"/>
  <c r="L755" i="1"/>
  <c r="L756" i="1"/>
  <c r="L757" i="1"/>
  <c r="L758" i="1"/>
  <c r="L759" i="1"/>
  <c r="L760" i="1"/>
  <c r="L761" i="1"/>
  <c r="L762" i="1"/>
  <c r="L764" i="1"/>
  <c r="L766" i="1"/>
  <c r="L767" i="1"/>
  <c r="L768" i="1"/>
  <c r="L769" i="1"/>
  <c r="L771" i="1"/>
  <c r="L775" i="1"/>
  <c r="L777" i="1"/>
  <c r="L779" i="1"/>
  <c r="L780" i="1"/>
  <c r="L781" i="1"/>
  <c r="L782" i="1"/>
  <c r="L783" i="1"/>
  <c r="L784" i="1"/>
  <c r="L785" i="1"/>
  <c r="L786" i="1"/>
  <c r="L787" i="1"/>
  <c r="L788" i="1"/>
  <c r="L789" i="1"/>
  <c r="L790" i="1"/>
  <c r="L791" i="1"/>
  <c r="L792" i="1"/>
  <c r="L793" i="1"/>
  <c r="L794" i="1"/>
  <c r="L795" i="1"/>
  <c r="L796" i="1"/>
  <c r="L797" i="1"/>
  <c r="L798" i="1"/>
  <c r="L801" i="1"/>
  <c r="L802" i="1"/>
  <c r="L803" i="1"/>
  <c r="L804" i="1"/>
  <c r="L805" i="1"/>
  <c r="L806" i="1"/>
  <c r="L807" i="1"/>
  <c r="L808" i="1"/>
  <c r="L809" i="1"/>
  <c r="L810" i="1"/>
  <c r="L811" i="1"/>
  <c r="L812" i="1"/>
  <c r="L735" i="1"/>
  <c r="L738" i="1"/>
  <c r="L739" i="1"/>
  <c r="L741" i="1"/>
  <c r="L742" i="1"/>
  <c r="L743" i="1"/>
  <c r="L744" i="1"/>
  <c r="L746" i="1"/>
  <c r="L763" i="1"/>
  <c r="L765" i="1"/>
  <c r="L770" i="1"/>
  <c r="L772" i="1"/>
  <c r="L773" i="1"/>
  <c r="L774" i="1"/>
  <c r="L776" i="1"/>
  <c r="L778" i="1"/>
  <c r="L799" i="1"/>
  <c r="L800" i="1"/>
  <c r="K734" i="1"/>
  <c r="K736" i="1"/>
  <c r="K737" i="1"/>
  <c r="K747" i="1"/>
  <c r="K750" i="1"/>
  <c r="K753" i="1"/>
  <c r="K756" i="1"/>
  <c r="K757" i="1"/>
  <c r="K759" i="1"/>
  <c r="K760" i="1"/>
  <c r="K761" i="1"/>
  <c r="K762" i="1"/>
  <c r="K764" i="1"/>
  <c r="K766" i="1"/>
  <c r="K767" i="1"/>
  <c r="K771" i="1"/>
  <c r="K775" i="1"/>
  <c r="K779" i="1"/>
  <c r="K780" i="1"/>
  <c r="K782" i="1"/>
  <c r="K783" i="1"/>
  <c r="K787" i="1"/>
  <c r="K788" i="1"/>
  <c r="K790" i="1"/>
  <c r="K791" i="1"/>
  <c r="K797" i="1"/>
  <c r="K812" i="1"/>
  <c r="K735" i="1"/>
  <c r="K738" i="1"/>
  <c r="K739" i="1"/>
  <c r="K740" i="1"/>
  <c r="K741" i="1"/>
  <c r="K742" i="1"/>
  <c r="K743" i="1"/>
  <c r="K744" i="1"/>
  <c r="K745" i="1"/>
  <c r="K746" i="1"/>
  <c r="K748" i="1"/>
  <c r="K749" i="1"/>
  <c r="K751" i="1"/>
  <c r="K752" i="1"/>
  <c r="K754" i="1"/>
  <c r="K755" i="1"/>
  <c r="K758" i="1"/>
  <c r="K763" i="1"/>
  <c r="K765" i="1"/>
  <c r="K768" i="1"/>
  <c r="K769" i="1"/>
  <c r="K770" i="1"/>
  <c r="K772" i="1"/>
  <c r="K773" i="1"/>
  <c r="K774" i="1"/>
  <c r="K776" i="1"/>
  <c r="K777" i="1"/>
  <c r="K778" i="1"/>
  <c r="K781" i="1"/>
  <c r="K784" i="1"/>
  <c r="K785" i="1"/>
  <c r="K786" i="1"/>
  <c r="K789" i="1"/>
  <c r="K792" i="1"/>
  <c r="K793" i="1"/>
  <c r="K794" i="1"/>
  <c r="K795" i="1"/>
  <c r="K796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I734" i="1"/>
  <c r="I805" i="1"/>
  <c r="I806" i="1"/>
  <c r="I807" i="1"/>
  <c r="I808" i="1"/>
  <c r="I809" i="1"/>
  <c r="I810" i="1"/>
  <c r="I811" i="1"/>
  <c r="I736" i="1"/>
  <c r="I737" i="1"/>
  <c r="I740" i="1"/>
  <c r="I745" i="1"/>
  <c r="I747" i="1"/>
  <c r="I748" i="1"/>
  <c r="I749" i="1"/>
  <c r="I750" i="1"/>
  <c r="I751" i="1"/>
  <c r="I752" i="1"/>
  <c r="I753" i="1"/>
  <c r="I754" i="1"/>
  <c r="I755" i="1"/>
  <c r="I756" i="1"/>
  <c r="I757" i="1"/>
  <c r="I758" i="1"/>
  <c r="I759" i="1"/>
  <c r="I760" i="1"/>
  <c r="I761" i="1"/>
  <c r="I762" i="1"/>
  <c r="I764" i="1"/>
  <c r="I766" i="1"/>
  <c r="I767" i="1"/>
  <c r="I771" i="1"/>
  <c r="I775" i="1"/>
  <c r="I777" i="1"/>
  <c r="I779" i="1"/>
  <c r="I780" i="1"/>
  <c r="I781" i="1"/>
  <c r="I782" i="1"/>
  <c r="I783" i="1"/>
  <c r="I784" i="1"/>
  <c r="I785" i="1"/>
  <c r="I786" i="1"/>
  <c r="I787" i="1"/>
  <c r="I788" i="1"/>
  <c r="I789" i="1"/>
  <c r="I790" i="1"/>
  <c r="I791" i="1"/>
  <c r="I792" i="1"/>
  <c r="I793" i="1"/>
  <c r="I794" i="1"/>
  <c r="I795" i="1"/>
  <c r="I796" i="1"/>
  <c r="I797" i="1"/>
  <c r="I798" i="1"/>
  <c r="I801" i="1"/>
  <c r="I802" i="1"/>
  <c r="I803" i="1"/>
  <c r="I804" i="1"/>
  <c r="I735" i="1"/>
  <c r="I738" i="1"/>
  <c r="I739" i="1"/>
  <c r="I741" i="1"/>
  <c r="I742" i="1"/>
  <c r="I743" i="1"/>
  <c r="I744" i="1"/>
  <c r="I746" i="1"/>
  <c r="I763" i="1"/>
  <c r="I765" i="1"/>
  <c r="I768" i="1"/>
  <c r="I769" i="1"/>
  <c r="I770" i="1"/>
  <c r="I772" i="1"/>
  <c r="I773" i="1"/>
  <c r="I774" i="1"/>
  <c r="I776" i="1"/>
  <c r="I778" i="1"/>
  <c r="I799" i="1"/>
  <c r="I800" i="1"/>
  <c r="H734" i="1"/>
  <c r="H736" i="1"/>
  <c r="H737" i="1"/>
  <c r="H740" i="1"/>
  <c r="H747" i="1"/>
  <c r="H748" i="1"/>
  <c r="H749" i="1"/>
  <c r="H750" i="1"/>
  <c r="H751" i="1"/>
  <c r="H752" i="1"/>
  <c r="H753" i="1"/>
  <c r="H754" i="1"/>
  <c r="H755" i="1"/>
  <c r="H756" i="1"/>
  <c r="H757" i="1"/>
  <c r="H758" i="1"/>
  <c r="H759" i="1"/>
  <c r="H760" i="1"/>
  <c r="H761" i="1"/>
  <c r="H762" i="1"/>
  <c r="H764" i="1"/>
  <c r="H766" i="1"/>
  <c r="H767" i="1"/>
  <c r="H768" i="1"/>
  <c r="H769" i="1"/>
  <c r="H771" i="1"/>
  <c r="H775" i="1"/>
  <c r="H777" i="1"/>
  <c r="H779" i="1"/>
  <c r="H780" i="1"/>
  <c r="H782" i="1"/>
  <c r="H783" i="1"/>
  <c r="H784" i="1"/>
  <c r="H785" i="1"/>
  <c r="H786" i="1"/>
  <c r="H787" i="1"/>
  <c r="H788" i="1"/>
  <c r="H789" i="1"/>
  <c r="H790" i="1"/>
  <c r="H791" i="1"/>
  <c r="H792" i="1"/>
  <c r="H793" i="1"/>
  <c r="H794" i="1"/>
  <c r="H795" i="1"/>
  <c r="H796" i="1"/>
  <c r="H797" i="1"/>
  <c r="H798" i="1"/>
  <c r="H801" i="1"/>
  <c r="H802" i="1"/>
  <c r="H803" i="1"/>
  <c r="H805" i="1"/>
  <c r="H806" i="1"/>
  <c r="H807" i="1"/>
  <c r="H808" i="1"/>
  <c r="H809" i="1"/>
  <c r="H810" i="1"/>
  <c r="H811" i="1"/>
  <c r="H812" i="1"/>
  <c r="H735" i="1"/>
  <c r="H738" i="1"/>
  <c r="H739" i="1"/>
  <c r="H741" i="1"/>
  <c r="H742" i="1"/>
  <c r="H743" i="1"/>
  <c r="H744" i="1"/>
  <c r="H745" i="1"/>
  <c r="H746" i="1"/>
  <c r="H763" i="1"/>
  <c r="H765" i="1"/>
  <c r="H770" i="1"/>
  <c r="H772" i="1"/>
  <c r="H773" i="1"/>
  <c r="H774" i="1"/>
  <c r="H776" i="1"/>
  <c r="H778" i="1"/>
  <c r="H781" i="1"/>
  <c r="H799" i="1"/>
  <c r="H800" i="1"/>
  <c r="H804" i="1"/>
  <c r="G734" i="1"/>
  <c r="G736" i="1"/>
  <c r="G737" i="1"/>
  <c r="G740" i="1"/>
  <c r="G745" i="1"/>
  <c r="G747" i="1"/>
  <c r="G748" i="1"/>
  <c r="G749" i="1"/>
  <c r="G750" i="1"/>
  <c r="G751" i="1"/>
  <c r="G752" i="1"/>
  <c r="G753" i="1"/>
  <c r="G754" i="1"/>
  <c r="G755" i="1"/>
  <c r="G756" i="1"/>
  <c r="G757" i="1"/>
  <c r="G758" i="1"/>
  <c r="G759" i="1"/>
  <c r="G760" i="1"/>
  <c r="G761" i="1"/>
  <c r="G762" i="1"/>
  <c r="G764" i="1"/>
  <c r="G766" i="1"/>
  <c r="G767" i="1"/>
  <c r="G768" i="1"/>
  <c r="G769" i="1"/>
  <c r="G771" i="1"/>
  <c r="G775" i="1"/>
  <c r="G777" i="1"/>
  <c r="G779" i="1"/>
  <c r="G780" i="1"/>
  <c r="G781" i="1"/>
  <c r="G782" i="1"/>
  <c r="G783" i="1"/>
  <c r="G784" i="1"/>
  <c r="G785" i="1"/>
  <c r="G786" i="1"/>
  <c r="G787" i="1"/>
  <c r="G788" i="1"/>
  <c r="G789" i="1"/>
  <c r="G790" i="1"/>
  <c r="G791" i="1"/>
  <c r="G792" i="1"/>
  <c r="G793" i="1"/>
  <c r="G794" i="1"/>
  <c r="G795" i="1"/>
  <c r="G796" i="1"/>
  <c r="G797" i="1"/>
  <c r="G798" i="1"/>
  <c r="G801" i="1"/>
  <c r="G802" i="1"/>
  <c r="G803" i="1"/>
  <c r="G804" i="1"/>
  <c r="G805" i="1"/>
  <c r="G806" i="1"/>
  <c r="G807" i="1"/>
  <c r="G808" i="1"/>
  <c r="G809" i="1"/>
  <c r="G810" i="1"/>
  <c r="G811" i="1"/>
  <c r="G735" i="1"/>
  <c r="G738" i="1"/>
  <c r="G739" i="1"/>
  <c r="G741" i="1"/>
  <c r="G742" i="1"/>
  <c r="G743" i="1"/>
  <c r="G744" i="1"/>
  <c r="G746" i="1"/>
  <c r="G763" i="1"/>
  <c r="G765" i="1"/>
  <c r="G770" i="1"/>
  <c r="G772" i="1"/>
  <c r="G773" i="1"/>
  <c r="G774" i="1"/>
  <c r="G776" i="1"/>
  <c r="G778" i="1"/>
  <c r="G799" i="1"/>
  <c r="G800" i="1"/>
  <c r="F734" i="1"/>
  <c r="F736" i="1"/>
  <c r="F737" i="1"/>
  <c r="F747" i="1"/>
  <c r="F749" i="1"/>
  <c r="F750" i="1"/>
  <c r="F752" i="1"/>
  <c r="F753" i="1"/>
  <c r="F755" i="1"/>
  <c r="F756" i="1"/>
  <c r="F757" i="1"/>
  <c r="F759" i="1"/>
  <c r="F760" i="1"/>
  <c r="F761" i="1"/>
  <c r="F762" i="1"/>
  <c r="F764" i="1"/>
  <c r="F767" i="1"/>
  <c r="F771" i="1"/>
  <c r="F775" i="1"/>
  <c r="F777" i="1"/>
  <c r="F779" i="1"/>
  <c r="F780" i="1"/>
  <c r="F781" i="1"/>
  <c r="F782" i="1"/>
  <c r="F783" i="1"/>
  <c r="F785" i="1"/>
  <c r="F786" i="1"/>
  <c r="F787" i="1"/>
  <c r="F788" i="1"/>
  <c r="F791" i="1"/>
  <c r="F792" i="1"/>
  <c r="F793" i="1"/>
  <c r="F794" i="1"/>
  <c r="F795" i="1"/>
  <c r="F796" i="1"/>
  <c r="F797" i="1"/>
  <c r="F801" i="1"/>
  <c r="F803" i="1"/>
  <c r="F805" i="1"/>
  <c r="F806" i="1"/>
  <c r="F807" i="1"/>
  <c r="F808" i="1"/>
  <c r="F810" i="1"/>
  <c r="F811" i="1"/>
  <c r="F812" i="1"/>
  <c r="F735" i="1"/>
  <c r="F738" i="1"/>
  <c r="F739" i="1"/>
  <c r="F740" i="1"/>
  <c r="F741" i="1"/>
  <c r="F742" i="1"/>
  <c r="F743" i="1"/>
  <c r="F744" i="1"/>
  <c r="F745" i="1"/>
  <c r="F746" i="1"/>
  <c r="F748" i="1"/>
  <c r="F751" i="1"/>
  <c r="F754" i="1"/>
  <c r="F758" i="1"/>
  <c r="F763" i="1"/>
  <c r="F765" i="1"/>
  <c r="F766" i="1"/>
  <c r="F768" i="1"/>
  <c r="F769" i="1"/>
  <c r="F770" i="1"/>
  <c r="F772" i="1"/>
  <c r="F773" i="1"/>
  <c r="F774" i="1"/>
  <c r="F776" i="1"/>
  <c r="F778" i="1"/>
  <c r="F784" i="1"/>
  <c r="F789" i="1"/>
  <c r="F790" i="1"/>
  <c r="F798" i="1"/>
  <c r="F799" i="1"/>
  <c r="F800" i="1"/>
  <c r="F802" i="1"/>
  <c r="F804" i="1"/>
  <c r="F809" i="1"/>
  <c r="D734" i="1"/>
  <c r="D736" i="1"/>
  <c r="D737" i="1"/>
  <c r="D740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4" i="1"/>
  <c r="D766" i="1"/>
  <c r="D767" i="1"/>
  <c r="D768" i="1"/>
  <c r="D769" i="1"/>
  <c r="D771" i="1"/>
  <c r="D775" i="1"/>
  <c r="D777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735" i="1"/>
  <c r="D738" i="1"/>
  <c r="D739" i="1"/>
  <c r="D741" i="1"/>
  <c r="D742" i="1"/>
  <c r="D743" i="1"/>
  <c r="D744" i="1"/>
  <c r="D745" i="1"/>
  <c r="D746" i="1"/>
  <c r="D763" i="1"/>
  <c r="D765" i="1"/>
  <c r="D770" i="1"/>
  <c r="D772" i="1"/>
  <c r="D773" i="1"/>
  <c r="D774" i="1"/>
  <c r="D776" i="1"/>
  <c r="D778" i="1"/>
  <c r="D799" i="1"/>
  <c r="D800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B788" i="1"/>
  <c r="B784" i="1"/>
  <c r="B783" i="1"/>
  <c r="B782" i="1"/>
  <c r="B778" i="1"/>
  <c r="B777" i="1"/>
  <c r="B776" i="1"/>
  <c r="B775" i="1"/>
  <c r="B774" i="1"/>
  <c r="B773" i="1"/>
  <c r="B772" i="1"/>
  <c r="B771" i="1"/>
  <c r="B770" i="1"/>
  <c r="B769" i="1"/>
  <c r="B768" i="1"/>
  <c r="B767" i="1"/>
  <c r="B765" i="1"/>
  <c r="B764" i="1"/>
  <c r="B763" i="1"/>
  <c r="B762" i="1"/>
  <c r="B761" i="1"/>
  <c r="B760" i="1"/>
  <c r="B758" i="1"/>
  <c r="B756" i="1"/>
  <c r="B755" i="1"/>
  <c r="B754" i="1"/>
  <c r="B752" i="1"/>
  <c r="B749" i="1"/>
  <c r="B748" i="1"/>
  <c r="B747" i="1"/>
  <c r="B746" i="1"/>
  <c r="B745" i="1"/>
  <c r="B744" i="1"/>
  <c r="B743" i="1"/>
  <c r="B742" i="1"/>
  <c r="B741" i="1"/>
  <c r="B740" i="1"/>
  <c r="B739" i="1"/>
  <c r="B738" i="1"/>
  <c r="B737" i="1"/>
  <c r="B736" i="1"/>
  <c r="B735" i="1"/>
  <c r="B734" i="1"/>
  <c r="CF730" i="1"/>
  <c r="CE730" i="1"/>
  <c r="CD730" i="1"/>
  <c r="CA730" i="1"/>
  <c r="BZ730" i="1"/>
  <c r="BY730" i="1"/>
  <c r="BX730" i="1"/>
  <c r="BW730" i="1"/>
  <c r="BV730" i="1"/>
  <c r="BU730" i="1"/>
  <c r="BT730" i="1"/>
  <c r="BS730" i="1"/>
  <c r="BR730" i="1"/>
  <c r="BQ730" i="1"/>
  <c r="BP730" i="1"/>
  <c r="BO730" i="1"/>
  <c r="BN730" i="1"/>
  <c r="BM730" i="1"/>
  <c r="BL730" i="1"/>
  <c r="BK730" i="1"/>
  <c r="BJ730" i="1"/>
  <c r="BF730" i="1"/>
  <c r="BE730" i="1"/>
  <c r="BB730" i="1"/>
  <c r="BA730" i="1"/>
  <c r="AZ730" i="1"/>
  <c r="AY730" i="1"/>
  <c r="AX730" i="1"/>
  <c r="AW730" i="1"/>
  <c r="AV730" i="1"/>
  <c r="AU730" i="1"/>
  <c r="AT730" i="1"/>
  <c r="AS730" i="1"/>
  <c r="AR730" i="1"/>
  <c r="AQ730" i="1"/>
  <c r="AP730" i="1"/>
  <c r="AO730" i="1"/>
  <c r="AN730" i="1"/>
  <c r="AM730" i="1"/>
  <c r="AL730" i="1"/>
  <c r="AK730" i="1"/>
  <c r="AJ730" i="1"/>
  <c r="AI730" i="1"/>
  <c r="AH730" i="1"/>
  <c r="AG730" i="1"/>
  <c r="AF730" i="1"/>
  <c r="AE730" i="1"/>
  <c r="AD730" i="1"/>
  <c r="AC730" i="1"/>
  <c r="AB730" i="1"/>
  <c r="Z730" i="1"/>
  <c r="Y730" i="1"/>
  <c r="X730" i="1"/>
  <c r="W730" i="1"/>
  <c r="V730" i="1"/>
  <c r="U730" i="1"/>
  <c r="T730" i="1"/>
  <c r="S730" i="1"/>
  <c r="R730" i="1"/>
  <c r="Q730" i="1"/>
  <c r="P730" i="1"/>
  <c r="O730" i="1"/>
  <c r="N730" i="1"/>
  <c r="M730" i="1"/>
  <c r="L730" i="1"/>
  <c r="K730" i="1"/>
  <c r="J730" i="1"/>
  <c r="I730" i="1"/>
  <c r="H730" i="1"/>
  <c r="G730" i="1"/>
  <c r="F730" i="1"/>
  <c r="E730" i="1"/>
  <c r="D730" i="1"/>
  <c r="C730" i="1"/>
  <c r="B730" i="1"/>
  <c r="BR726" i="1"/>
  <c r="BQ726" i="1"/>
  <c r="BP726" i="1"/>
  <c r="BO726" i="1"/>
  <c r="BN726" i="1"/>
  <c r="BM726" i="1"/>
  <c r="BL726" i="1"/>
  <c r="BK726" i="1"/>
  <c r="BJ726" i="1"/>
  <c r="BI726" i="1"/>
  <c r="BH726" i="1"/>
  <c r="BG726" i="1"/>
  <c r="BF726" i="1"/>
  <c r="BE726" i="1"/>
  <c r="BD726" i="1"/>
  <c r="BC726" i="1"/>
  <c r="BB726" i="1"/>
  <c r="BA726" i="1"/>
  <c r="AZ726" i="1"/>
  <c r="AY726" i="1"/>
  <c r="AX726" i="1"/>
  <c r="AW726" i="1"/>
  <c r="AV726" i="1"/>
  <c r="AU726" i="1"/>
  <c r="AT726" i="1"/>
  <c r="AS726" i="1"/>
  <c r="AR726" i="1"/>
  <c r="AQ726" i="1"/>
  <c r="AP726" i="1"/>
  <c r="AO726" i="1"/>
  <c r="AN726" i="1"/>
  <c r="AM726" i="1"/>
  <c r="AL726" i="1"/>
  <c r="AK726" i="1"/>
  <c r="AJ726" i="1"/>
  <c r="AI726" i="1"/>
  <c r="AH726" i="1"/>
  <c r="AG726" i="1"/>
  <c r="AF726" i="1"/>
  <c r="AE726" i="1"/>
  <c r="AD726" i="1"/>
  <c r="AB726" i="1"/>
  <c r="AA726" i="1"/>
  <c r="Z726" i="1"/>
  <c r="Y726" i="1"/>
  <c r="X726" i="1"/>
  <c r="W726" i="1"/>
  <c r="V726" i="1"/>
  <c r="U726" i="1"/>
  <c r="S726" i="1"/>
  <c r="R726" i="1"/>
  <c r="Q726" i="1"/>
  <c r="P726" i="1"/>
  <c r="O726" i="1"/>
  <c r="N726" i="1"/>
  <c r="M726" i="1"/>
  <c r="L726" i="1"/>
  <c r="K726" i="1"/>
  <c r="J726" i="1"/>
  <c r="I726" i="1"/>
  <c r="H726" i="1"/>
  <c r="G726" i="1"/>
  <c r="F726" i="1"/>
  <c r="E726" i="1"/>
  <c r="D726" i="1"/>
  <c r="C726" i="1"/>
  <c r="B726" i="1"/>
  <c r="CC722" i="1"/>
  <c r="CB722" i="1"/>
  <c r="CA722" i="1"/>
  <c r="BZ722" i="1"/>
  <c r="BY722" i="1"/>
  <c r="BX722" i="1"/>
  <c r="BW722" i="1"/>
  <c r="BV722" i="1"/>
  <c r="BU722" i="1"/>
  <c r="BT722" i="1"/>
  <c r="BS722" i="1"/>
  <c r="BR722" i="1"/>
  <c r="BQ722" i="1"/>
  <c r="BP722" i="1"/>
  <c r="BO722" i="1"/>
  <c r="BN722" i="1"/>
  <c r="BM722" i="1"/>
  <c r="BL722" i="1"/>
  <c r="BK722" i="1"/>
  <c r="BJ722" i="1"/>
  <c r="BI722" i="1"/>
  <c r="BG722" i="1"/>
  <c r="BF722" i="1"/>
  <c r="BE722" i="1"/>
  <c r="BD722" i="1"/>
  <c r="BC722" i="1"/>
  <c r="BB722" i="1"/>
  <c r="BA722" i="1"/>
  <c r="AZ722" i="1"/>
  <c r="AY722" i="1"/>
  <c r="AX722" i="1"/>
  <c r="AW722" i="1"/>
  <c r="AV722" i="1"/>
  <c r="AR722" i="1"/>
  <c r="AQ722" i="1"/>
  <c r="AP722" i="1"/>
  <c r="AO722" i="1"/>
  <c r="AN722" i="1"/>
  <c r="AM722" i="1"/>
  <c r="AL722" i="1"/>
  <c r="AK722" i="1"/>
  <c r="AJ722" i="1"/>
  <c r="AI722" i="1"/>
  <c r="AH722" i="1"/>
  <c r="AG722" i="1"/>
  <c r="AF722" i="1"/>
  <c r="AE722" i="1"/>
  <c r="AD722" i="1"/>
  <c r="AC722" i="1"/>
  <c r="AB722" i="1"/>
  <c r="AA722" i="1"/>
  <c r="Z722" i="1"/>
  <c r="Y722" i="1"/>
  <c r="X722" i="1"/>
  <c r="W722" i="1"/>
  <c r="V722" i="1"/>
  <c r="U722" i="1"/>
  <c r="T722" i="1"/>
  <c r="R722" i="1"/>
  <c r="Q722" i="1"/>
  <c r="P722" i="1"/>
  <c r="O722" i="1"/>
  <c r="N722" i="1"/>
  <c r="M722" i="1"/>
  <c r="L722" i="1"/>
  <c r="K722" i="1"/>
  <c r="J722" i="1"/>
  <c r="I722" i="1"/>
  <c r="H722" i="1"/>
  <c r="G722" i="1"/>
  <c r="F722" i="1"/>
  <c r="D722" i="1"/>
  <c r="C722" i="1"/>
  <c r="B722" i="1"/>
  <c r="E550" i="1"/>
  <c r="E546" i="1"/>
  <c r="E545" i="1"/>
  <c r="E544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7" i="1"/>
  <c r="E526" i="1"/>
  <c r="E525" i="1"/>
  <c r="E524" i="1"/>
  <c r="E523" i="1"/>
  <c r="E522" i="1"/>
  <c r="E520" i="1"/>
  <c r="E518" i="1"/>
  <c r="E517" i="1"/>
  <c r="E516" i="1"/>
  <c r="E514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B478" i="1"/>
  <c r="B475" i="1"/>
  <c r="B474" i="1"/>
  <c r="B473" i="1"/>
  <c r="B472" i="1"/>
  <c r="B471" i="1"/>
  <c r="B470" i="1"/>
  <c r="B469" i="1"/>
  <c r="B468" i="1"/>
  <c r="B464" i="1"/>
  <c r="B463" i="1"/>
  <c r="C459" i="1"/>
  <c r="B459" i="1"/>
  <c r="B458" i="1"/>
  <c r="B455" i="1"/>
  <c r="B454" i="1"/>
  <c r="B453" i="1"/>
  <c r="C447" i="1"/>
  <c r="C446" i="1"/>
  <c r="C445" i="1"/>
  <c r="B438" i="1"/>
  <c r="B439" i="1"/>
  <c r="C439" i="1"/>
  <c r="C438" i="1"/>
  <c r="B437" i="1"/>
  <c r="B436" i="1"/>
  <c r="B435" i="1"/>
  <c r="B434" i="1"/>
  <c r="B433" i="1"/>
  <c r="B432" i="1"/>
  <c r="B431" i="1"/>
  <c r="B430" i="1"/>
  <c r="B429" i="1"/>
  <c r="B428" i="1"/>
  <c r="B427" i="1"/>
  <c r="D424" i="1"/>
  <c r="B424" i="1"/>
  <c r="B423" i="1"/>
  <c r="D421" i="1"/>
  <c r="B421" i="1"/>
  <c r="B420" i="1"/>
  <c r="D418" i="1"/>
  <c r="B418" i="1"/>
  <c r="B417" i="1"/>
  <c r="D415" i="1"/>
  <c r="B415" i="1"/>
  <c r="B414" i="1"/>
  <c r="C3" i="8"/>
  <c r="A3" i="8"/>
  <c r="C149" i="8"/>
  <c r="C148" i="8"/>
  <c r="C144" i="8"/>
  <c r="C139" i="8"/>
  <c r="C138" i="8"/>
  <c r="C137" i="8"/>
  <c r="C136" i="8"/>
  <c r="C135" i="8"/>
  <c r="C134" i="8"/>
  <c r="C133" i="8"/>
  <c r="C132" i="8"/>
  <c r="C131" i="8"/>
  <c r="C130" i="8"/>
  <c r="C129" i="8"/>
  <c r="C124" i="8"/>
  <c r="C123" i="8"/>
  <c r="C118" i="8"/>
  <c r="C117" i="8"/>
  <c r="C116" i="8"/>
  <c r="C111" i="8"/>
  <c r="C110" i="8"/>
  <c r="C107" i="8"/>
  <c r="A107" i="8"/>
  <c r="C88" i="8"/>
  <c r="C83" i="8"/>
  <c r="C82" i="8"/>
  <c r="C81" i="8"/>
  <c r="C80" i="8"/>
  <c r="C79" i="8"/>
  <c r="C78" i="8"/>
  <c r="C77" i="8"/>
  <c r="C73" i="8"/>
  <c r="C72" i="8"/>
  <c r="C71" i="8"/>
  <c r="C67" i="8"/>
  <c r="C66" i="8"/>
  <c r="C65" i="8"/>
  <c r="C64" i="8"/>
  <c r="C63" i="8"/>
  <c r="C62" i="8"/>
  <c r="C61" i="8"/>
  <c r="C60" i="8"/>
  <c r="C59" i="8"/>
  <c r="C58" i="8"/>
  <c r="A55" i="8"/>
  <c r="C55" i="8"/>
  <c r="C48" i="8"/>
  <c r="C47" i="8"/>
  <c r="C46" i="8"/>
  <c r="C45" i="8"/>
  <c r="C41" i="8"/>
  <c r="C39" i="8"/>
  <c r="C38" i="8"/>
  <c r="C34" i="8"/>
  <c r="C32" i="8"/>
  <c r="C31" i="8"/>
  <c r="C30" i="8"/>
  <c r="C29" i="8"/>
  <c r="C28" i="8"/>
  <c r="C27" i="8"/>
  <c r="C26" i="8"/>
  <c r="C25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G31" i="3"/>
  <c r="B4" i="3"/>
  <c r="G37" i="3"/>
  <c r="G36" i="3"/>
  <c r="G33" i="3"/>
  <c r="G32" i="3"/>
  <c r="G30" i="3"/>
  <c r="D40" i="3"/>
  <c r="D36" i="3"/>
  <c r="D35" i="3"/>
  <c r="D34" i="3"/>
  <c r="D33" i="3"/>
  <c r="D32" i="3"/>
  <c r="D31" i="3"/>
  <c r="D30" i="3"/>
  <c r="G26" i="3"/>
  <c r="G25" i="3"/>
  <c r="G24" i="3"/>
  <c r="G23" i="3"/>
  <c r="F26" i="3"/>
  <c r="F25" i="3"/>
  <c r="F24" i="3"/>
  <c r="F23" i="3"/>
  <c r="E18" i="3"/>
  <c r="E17" i="3"/>
  <c r="E16" i="3"/>
  <c r="C17" i="3"/>
  <c r="C16" i="3"/>
  <c r="A19" i="3"/>
  <c r="A17" i="3"/>
  <c r="A16" i="3"/>
  <c r="D11" i="3"/>
  <c r="D10" i="3"/>
  <c r="D9" i="3"/>
  <c r="D8" i="3"/>
  <c r="D7" i="3"/>
  <c r="D6" i="3"/>
  <c r="D5" i="3"/>
  <c r="F4" i="3"/>
  <c r="G3" i="4"/>
  <c r="C33" i="4"/>
  <c r="C32" i="4"/>
  <c r="G27" i="4"/>
  <c r="G26" i="4"/>
  <c r="G25" i="4"/>
  <c r="F27" i="4"/>
  <c r="F26" i="4"/>
  <c r="F25" i="4"/>
  <c r="E27" i="4"/>
  <c r="E26" i="4"/>
  <c r="E25" i="4"/>
  <c r="D27" i="4"/>
  <c r="D26" i="4"/>
  <c r="D25" i="4"/>
  <c r="C27" i="4"/>
  <c r="C26" i="4"/>
  <c r="C25" i="4"/>
  <c r="B27" i="4"/>
  <c r="B26" i="4"/>
  <c r="B25" i="4"/>
  <c r="G18" i="4"/>
  <c r="G17" i="4"/>
  <c r="G16" i="4"/>
  <c r="F18" i="4"/>
  <c r="F17" i="4"/>
  <c r="F16" i="4"/>
  <c r="E18" i="4"/>
  <c r="E17" i="4"/>
  <c r="E16" i="4"/>
  <c r="D18" i="4"/>
  <c r="D17" i="4"/>
  <c r="D16" i="4"/>
  <c r="C18" i="4"/>
  <c r="C17" i="4"/>
  <c r="C16" i="4"/>
  <c r="B18" i="4"/>
  <c r="B17" i="4"/>
  <c r="B16" i="4"/>
  <c r="A2" i="4"/>
  <c r="G8" i="4"/>
  <c r="G7" i="4"/>
  <c r="F8" i="4"/>
  <c r="F7" i="4"/>
  <c r="E9" i="4"/>
  <c r="E8" i="4"/>
  <c r="E7" i="4"/>
  <c r="D9" i="4"/>
  <c r="D8" i="4"/>
  <c r="D7" i="4"/>
  <c r="C9" i="4"/>
  <c r="C8" i="4"/>
  <c r="C7" i="4"/>
  <c r="B9" i="4"/>
  <c r="B8" i="4"/>
  <c r="B7" i="4"/>
  <c r="C3" i="5"/>
  <c r="A3" i="5"/>
  <c r="C39" i="5"/>
  <c r="C38" i="5"/>
  <c r="C33" i="5"/>
  <c r="C32" i="5"/>
  <c r="C31" i="5"/>
  <c r="C26" i="5"/>
  <c r="C25" i="5"/>
  <c r="C19" i="5"/>
  <c r="C18" i="5"/>
  <c r="C13" i="5"/>
  <c r="C12" i="5"/>
  <c r="C11" i="5"/>
  <c r="C10" i="5"/>
  <c r="C8" i="5"/>
  <c r="C7" i="5"/>
  <c r="C6" i="5"/>
  <c r="E31" i="6"/>
  <c r="D31" i="6"/>
  <c r="E30" i="6"/>
  <c r="D30" i="6"/>
  <c r="E29" i="6"/>
  <c r="D29" i="6"/>
  <c r="E28" i="6"/>
  <c r="D28" i="6"/>
  <c r="E27" i="6"/>
  <c r="D27" i="6"/>
  <c r="E26" i="6"/>
  <c r="D26" i="6"/>
  <c r="E25" i="6"/>
  <c r="D25" i="6"/>
  <c r="E24" i="6"/>
  <c r="D24" i="6"/>
  <c r="E15" i="6"/>
  <c r="D15" i="6"/>
  <c r="E14" i="6"/>
  <c r="D14" i="6"/>
  <c r="E13" i="6"/>
  <c r="D13" i="6"/>
  <c r="E12" i="6"/>
  <c r="E11" i="6"/>
  <c r="D11" i="6"/>
  <c r="E10" i="6"/>
  <c r="D10" i="6"/>
  <c r="E9" i="6"/>
  <c r="D9" i="6"/>
  <c r="E8" i="6"/>
  <c r="D8" i="6"/>
  <c r="E7" i="6"/>
  <c r="D7" i="6"/>
  <c r="C31" i="6"/>
  <c r="C30" i="6"/>
  <c r="C29" i="6"/>
  <c r="C27" i="6"/>
  <c r="C26" i="6"/>
  <c r="C25" i="6"/>
  <c r="C24" i="6"/>
  <c r="C15" i="6"/>
  <c r="C14" i="6"/>
  <c r="C13" i="6"/>
  <c r="C12" i="6"/>
  <c r="C11" i="6"/>
  <c r="C10" i="6"/>
  <c r="C9" i="6"/>
  <c r="C8" i="6"/>
  <c r="C7" i="6"/>
  <c r="F3" i="6"/>
  <c r="A3" i="6"/>
  <c r="D16" i="7"/>
  <c r="D2" i="7"/>
  <c r="A2" i="7"/>
  <c r="D26" i="7"/>
  <c r="D24" i="7"/>
  <c r="D19" i="7"/>
  <c r="D18" i="7"/>
  <c r="D12" i="7"/>
  <c r="D11" i="7"/>
  <c r="D10" i="7"/>
  <c r="D9" i="7"/>
  <c r="D8" i="7"/>
  <c r="D7" i="7"/>
  <c r="B28" i="2"/>
  <c r="E21" i="2"/>
  <c r="E18" i="2"/>
  <c r="E17" i="2"/>
  <c r="D366" i="9"/>
  <c r="G812" i="1"/>
  <c r="CE64" i="1"/>
  <c r="F612" i="1" s="1"/>
  <c r="D368" i="9"/>
  <c r="I812" i="1"/>
  <c r="C276" i="9"/>
  <c r="CE70" i="1"/>
  <c r="C458" i="1" s="1"/>
  <c r="CE76" i="1"/>
  <c r="P816" i="1" s="1"/>
  <c r="P812" i="1"/>
  <c r="CE77" i="1"/>
  <c r="CF77" i="1" s="1"/>
  <c r="I29" i="9"/>
  <c r="C95" i="9"/>
  <c r="CE79" i="1"/>
  <c r="J612" i="1" s="1"/>
  <c r="S748" i="1"/>
  <c r="E142" i="1"/>
  <c r="G9" i="4"/>
  <c r="F9" i="4"/>
  <c r="AC726" i="1"/>
  <c r="E138" i="1"/>
  <c r="C414" i="1" s="1"/>
  <c r="C204" i="1"/>
  <c r="D16" i="6" s="1"/>
  <c r="E195" i="1"/>
  <c r="S722" i="1"/>
  <c r="BH722" i="1"/>
  <c r="C28" i="6"/>
  <c r="B217" i="1"/>
  <c r="C32" i="6" s="1"/>
  <c r="C140" i="8"/>
  <c r="L817" i="1"/>
  <c r="CC730" i="1"/>
  <c r="D390" i="1"/>
  <c r="B441" i="1" s="1"/>
  <c r="AA730" i="1"/>
  <c r="D283" i="1"/>
  <c r="C42" i="8" s="1"/>
  <c r="C40" i="8"/>
  <c r="B753" i="1"/>
  <c r="E515" i="1"/>
  <c r="H73" i="9"/>
  <c r="E105" i="9"/>
  <c r="B757" i="1"/>
  <c r="E519" i="1"/>
  <c r="B766" i="1"/>
  <c r="E528" i="1"/>
  <c r="G137" i="9"/>
  <c r="E722" i="1"/>
  <c r="C9" i="5"/>
  <c r="D173" i="1"/>
  <c r="CD71" i="1"/>
  <c r="C615" i="1"/>
  <c r="E372" i="9"/>
  <c r="N768" i="1" l="1"/>
  <c r="BG71" i="10"/>
  <c r="B552" i="1" s="1"/>
  <c r="AA71" i="10"/>
  <c r="C520" i="10" s="1"/>
  <c r="G520" i="10" s="1"/>
  <c r="BP71" i="10"/>
  <c r="C561" i="10" s="1"/>
  <c r="C119" i="8"/>
  <c r="D435" i="1"/>
  <c r="N758" i="1"/>
  <c r="N766" i="1"/>
  <c r="I377" i="9"/>
  <c r="C218" i="9"/>
  <c r="N765" i="1"/>
  <c r="L71" i="10"/>
  <c r="B505" i="1" s="1"/>
  <c r="CA71" i="10"/>
  <c r="B572" i="1" s="1"/>
  <c r="BD48" i="1"/>
  <c r="BD62" i="1" s="1"/>
  <c r="G236" i="9" s="1"/>
  <c r="BW71" i="10"/>
  <c r="C643" i="10" s="1"/>
  <c r="AI71" i="10"/>
  <c r="B528" i="1" s="1"/>
  <c r="BT71" i="10"/>
  <c r="M802" i="10" s="1"/>
  <c r="AN71" i="10"/>
  <c r="C705" i="10" s="1"/>
  <c r="W71" i="10"/>
  <c r="C516" i="10" s="1"/>
  <c r="G516" i="10" s="1"/>
  <c r="X71" i="10"/>
  <c r="M754" i="10" s="1"/>
  <c r="AG71" i="10"/>
  <c r="M763" i="10" s="1"/>
  <c r="AK71" i="10"/>
  <c r="M767" i="10" s="1"/>
  <c r="I71" i="10"/>
  <c r="M739" i="10" s="1"/>
  <c r="BU71" i="10"/>
  <c r="M803" i="10" s="1"/>
  <c r="BF71" i="10"/>
  <c r="M788" i="10" s="1"/>
  <c r="K71" i="10"/>
  <c r="C676" i="10" s="1"/>
  <c r="AO71" i="10"/>
  <c r="B534" i="1" s="1"/>
  <c r="BA71" i="10"/>
  <c r="M783" i="10" s="1"/>
  <c r="H71" i="10"/>
  <c r="C501" i="10" s="1"/>
  <c r="G501" i="10" s="1"/>
  <c r="BH71" i="10"/>
  <c r="B553" i="1" s="1"/>
  <c r="BV71" i="10"/>
  <c r="M804" i="10" s="1"/>
  <c r="AX71" i="10"/>
  <c r="M780" i="10" s="1"/>
  <c r="M71" i="10"/>
  <c r="M743" i="10" s="1"/>
  <c r="BO71" i="10"/>
  <c r="C627" i="10" s="1"/>
  <c r="C465" i="10"/>
  <c r="BM48" i="1"/>
  <c r="BM62" i="1" s="1"/>
  <c r="I268" i="9" s="1"/>
  <c r="G10" i="4"/>
  <c r="F90" i="9"/>
  <c r="C469" i="1"/>
  <c r="AZ71" i="10"/>
  <c r="M782" i="10" s="1"/>
  <c r="AU71" i="10"/>
  <c r="B540" i="1" s="1"/>
  <c r="BX71" i="10"/>
  <c r="C569" i="10" s="1"/>
  <c r="D71" i="10"/>
  <c r="M734" i="10" s="1"/>
  <c r="G122" i="9"/>
  <c r="Y71" i="10"/>
  <c r="B518" i="1" s="1"/>
  <c r="V71" i="10"/>
  <c r="M752" i="10" s="1"/>
  <c r="G71" i="10"/>
  <c r="M737" i="10" s="1"/>
  <c r="AR71" i="10"/>
  <c r="M774" i="10" s="1"/>
  <c r="CC71" i="10"/>
  <c r="C620" i="10" s="1"/>
  <c r="BB71" i="10"/>
  <c r="M784" i="10" s="1"/>
  <c r="AV71" i="10"/>
  <c r="C713" i="10" s="1"/>
  <c r="R71" i="10"/>
  <c r="B511" i="1" s="1"/>
  <c r="AS71" i="10"/>
  <c r="M775" i="10" s="1"/>
  <c r="AB71" i="10"/>
  <c r="B521" i="1" s="1"/>
  <c r="BM71" i="10"/>
  <c r="M795" i="10" s="1"/>
  <c r="BE71" i="10"/>
  <c r="M787" i="10" s="1"/>
  <c r="BY71" i="10"/>
  <c r="M807" i="10" s="1"/>
  <c r="BC71" i="10"/>
  <c r="M785" i="10" s="1"/>
  <c r="N761" i="1"/>
  <c r="BJ71" i="10"/>
  <c r="M792" i="10" s="1"/>
  <c r="AQ71" i="10"/>
  <c r="M773" i="10" s="1"/>
  <c r="AP71" i="10"/>
  <c r="M772" i="10" s="1"/>
  <c r="AH71" i="10"/>
  <c r="C699" i="10" s="1"/>
  <c r="T71" i="10"/>
  <c r="B513" i="1" s="1"/>
  <c r="BI71" i="10"/>
  <c r="C634" i="10" s="1"/>
  <c r="Q71" i="10"/>
  <c r="C510" i="10" s="1"/>
  <c r="G510" i="10" s="1"/>
  <c r="F71" i="10"/>
  <c r="M736" i="10" s="1"/>
  <c r="AE71" i="10"/>
  <c r="B524" i="1" s="1"/>
  <c r="BL71" i="10"/>
  <c r="M794" i="10" s="1"/>
  <c r="AY71" i="10"/>
  <c r="M781" i="10" s="1"/>
  <c r="AF71" i="10"/>
  <c r="M762" i="10" s="1"/>
  <c r="BS71" i="10"/>
  <c r="C639" i="10" s="1"/>
  <c r="S71" i="10"/>
  <c r="C512" i="10" s="1"/>
  <c r="G512" i="10" s="1"/>
  <c r="AJ71" i="10"/>
  <c r="B529" i="1" s="1"/>
  <c r="AT71" i="10"/>
  <c r="B539" i="1" s="1"/>
  <c r="BR71" i="10"/>
  <c r="M800" i="10" s="1"/>
  <c r="BK71" i="10"/>
  <c r="C635" i="10" s="1"/>
  <c r="E71" i="10"/>
  <c r="C498" i="10" s="1"/>
  <c r="G498" i="10" s="1"/>
  <c r="AL71" i="10"/>
  <c r="M768" i="10" s="1"/>
  <c r="Z71" i="10"/>
  <c r="B519" i="1" s="1"/>
  <c r="AD71" i="10"/>
  <c r="M760" i="10" s="1"/>
  <c r="P71" i="10"/>
  <c r="C681" i="10" s="1"/>
  <c r="AC71" i="10"/>
  <c r="B522" i="1" s="1"/>
  <c r="AW71" i="10"/>
  <c r="B542" i="1" s="1"/>
  <c r="AM71" i="10"/>
  <c r="M769" i="10" s="1"/>
  <c r="F10" i="4"/>
  <c r="BZ71" i="10"/>
  <c r="M808" i="10" s="1"/>
  <c r="J71" i="10"/>
  <c r="M740" i="10" s="1"/>
  <c r="BR48" i="1"/>
  <c r="BR62" i="1" s="1"/>
  <c r="E801" i="1" s="1"/>
  <c r="R48" i="1"/>
  <c r="R62" i="1" s="1"/>
  <c r="D76" i="9" s="1"/>
  <c r="AL48" i="1"/>
  <c r="AL62" i="1" s="1"/>
  <c r="BW48" i="1"/>
  <c r="BW62" i="1" s="1"/>
  <c r="BS48" i="1"/>
  <c r="BS62" i="1" s="1"/>
  <c r="C430" i="1"/>
  <c r="I372" i="9"/>
  <c r="I380" i="9"/>
  <c r="C141" i="8"/>
  <c r="F26" i="9"/>
  <c r="C90" i="9"/>
  <c r="Z48" i="1"/>
  <c r="Z62" i="1" s="1"/>
  <c r="BF48" i="1"/>
  <c r="BF62" i="1" s="1"/>
  <c r="K48" i="1"/>
  <c r="K62" i="1" s="1"/>
  <c r="BU48" i="1"/>
  <c r="BU62" i="1" s="1"/>
  <c r="G48" i="1"/>
  <c r="G62" i="1" s="1"/>
  <c r="G12" i="9" s="1"/>
  <c r="N755" i="1"/>
  <c r="BN71" i="10"/>
  <c r="CE48" i="10"/>
  <c r="I366" i="9"/>
  <c r="G816" i="1"/>
  <c r="AD48" i="1"/>
  <c r="AD62" i="1" s="1"/>
  <c r="E761" i="1" s="1"/>
  <c r="AR48" i="1"/>
  <c r="AR62" i="1" s="1"/>
  <c r="E775" i="1" s="1"/>
  <c r="BJ48" i="1"/>
  <c r="BJ62" i="1" s="1"/>
  <c r="BX48" i="1"/>
  <c r="BX62" i="1" s="1"/>
  <c r="E807" i="1" s="1"/>
  <c r="AY48" i="1"/>
  <c r="AY62" i="1" s="1"/>
  <c r="AO48" i="1"/>
  <c r="AO62" i="1" s="1"/>
  <c r="BI48" i="1"/>
  <c r="BI62" i="1" s="1"/>
  <c r="E268" i="9" s="1"/>
  <c r="H58" i="9"/>
  <c r="D48" i="1"/>
  <c r="D62" i="1" s="1"/>
  <c r="B440" i="1"/>
  <c r="N777" i="1"/>
  <c r="Q48" i="1"/>
  <c r="Q62" i="1" s="1"/>
  <c r="E787" i="1"/>
  <c r="M816" i="1"/>
  <c r="B10" i="4"/>
  <c r="N48" i="1"/>
  <c r="N62" i="1" s="1"/>
  <c r="G44" i="9" s="1"/>
  <c r="AJ48" i="1"/>
  <c r="AJ62" i="1" s="1"/>
  <c r="AX48" i="1"/>
  <c r="AX62" i="1" s="1"/>
  <c r="E781" i="1" s="1"/>
  <c r="BP48" i="1"/>
  <c r="BP62" i="1" s="1"/>
  <c r="E300" i="9" s="1"/>
  <c r="N757" i="1"/>
  <c r="AW48" i="1"/>
  <c r="AW62" i="1" s="1"/>
  <c r="G204" i="9" s="1"/>
  <c r="AK48" i="1"/>
  <c r="AK62" i="1" s="1"/>
  <c r="AE48" i="1"/>
  <c r="AE62" i="1" s="1"/>
  <c r="N740" i="1"/>
  <c r="N769" i="1"/>
  <c r="L48" i="1"/>
  <c r="L62" i="1" s="1"/>
  <c r="E743" i="1" s="1"/>
  <c r="N736" i="1"/>
  <c r="G612" i="1"/>
  <c r="D330" i="1"/>
  <c r="C86" i="8" s="1"/>
  <c r="I370" i="9"/>
  <c r="Q816" i="1"/>
  <c r="I381" i="9"/>
  <c r="D815" i="1"/>
  <c r="H122" i="9"/>
  <c r="N760" i="1"/>
  <c r="G90" i="9"/>
  <c r="N752" i="1"/>
  <c r="D277" i="1"/>
  <c r="C35" i="8" s="1"/>
  <c r="C33" i="8"/>
  <c r="B465" i="1"/>
  <c r="C112" i="8"/>
  <c r="D368" i="1"/>
  <c r="C120" i="8" s="1"/>
  <c r="B476" i="1"/>
  <c r="F815" i="1"/>
  <c r="B19" i="4"/>
  <c r="C417" i="1"/>
  <c r="H90" i="9"/>
  <c r="N753" i="1"/>
  <c r="F48" i="1"/>
  <c r="F62" i="1" s="1"/>
  <c r="F12" i="9" s="1"/>
  <c r="V48" i="1"/>
  <c r="V62" i="1" s="1"/>
  <c r="AF48" i="1"/>
  <c r="AF62" i="1" s="1"/>
  <c r="E763" i="1" s="1"/>
  <c r="AN48" i="1"/>
  <c r="AN62" i="1" s="1"/>
  <c r="E172" i="9" s="1"/>
  <c r="AT48" i="1"/>
  <c r="AT62" i="1" s="1"/>
  <c r="E777" i="1" s="1"/>
  <c r="AZ48" i="1"/>
  <c r="AZ62" i="1" s="1"/>
  <c r="BL48" i="1"/>
  <c r="BL62" i="1" s="1"/>
  <c r="BT48" i="1"/>
  <c r="BT62" i="1" s="1"/>
  <c r="BY48" i="1"/>
  <c r="BY62" i="1" s="1"/>
  <c r="E808" i="1" s="1"/>
  <c r="K816" i="1"/>
  <c r="AA48" i="1"/>
  <c r="AA62" i="1" s="1"/>
  <c r="F108" i="9" s="1"/>
  <c r="BG48" i="1"/>
  <c r="BG62" i="1" s="1"/>
  <c r="CC48" i="1"/>
  <c r="CC62" i="1" s="1"/>
  <c r="E812" i="1" s="1"/>
  <c r="E48" i="1"/>
  <c r="E62" i="1" s="1"/>
  <c r="BA48" i="1"/>
  <c r="BA62" i="1" s="1"/>
  <c r="O48" i="1"/>
  <c r="O62" i="1" s="1"/>
  <c r="H44" i="9" s="1"/>
  <c r="AU48" i="1"/>
  <c r="AU62" i="1" s="1"/>
  <c r="N747" i="1"/>
  <c r="N743" i="1"/>
  <c r="X48" i="1"/>
  <c r="X62" i="1" s="1"/>
  <c r="D13" i="7"/>
  <c r="N773" i="1"/>
  <c r="N762" i="1"/>
  <c r="D816" i="1"/>
  <c r="AS48" i="1"/>
  <c r="AS62" i="1" s="1"/>
  <c r="C473" i="1"/>
  <c r="D186" i="9"/>
  <c r="K814" i="10"/>
  <c r="J48" i="1"/>
  <c r="J62" i="1" s="1"/>
  <c r="AH48" i="1"/>
  <c r="AH62" i="1" s="1"/>
  <c r="E765" i="1" s="1"/>
  <c r="AP48" i="1"/>
  <c r="AP62" i="1" s="1"/>
  <c r="AV48" i="1"/>
  <c r="AV62" i="1" s="1"/>
  <c r="E779" i="1" s="1"/>
  <c r="BB48" i="1"/>
  <c r="BB62" i="1" s="1"/>
  <c r="E785" i="1" s="1"/>
  <c r="BH48" i="1"/>
  <c r="BH62" i="1" s="1"/>
  <c r="BN48" i="1"/>
  <c r="BN62" i="1" s="1"/>
  <c r="BV48" i="1"/>
  <c r="BV62" i="1" s="1"/>
  <c r="E805" i="1" s="1"/>
  <c r="CA48" i="1"/>
  <c r="CA62" i="1" s="1"/>
  <c r="C48" i="1"/>
  <c r="AI48" i="1"/>
  <c r="AI62" i="1" s="1"/>
  <c r="E766" i="1" s="1"/>
  <c r="BO48" i="1"/>
  <c r="BO62" i="1" s="1"/>
  <c r="D300" i="9" s="1"/>
  <c r="I48" i="1"/>
  <c r="I62" i="1" s="1"/>
  <c r="AG48" i="1"/>
  <c r="AG62" i="1" s="1"/>
  <c r="BE48" i="1"/>
  <c r="BE62" i="1" s="1"/>
  <c r="U48" i="1"/>
  <c r="U62" i="1" s="1"/>
  <c r="BQ48" i="1"/>
  <c r="BQ62" i="1" s="1"/>
  <c r="AB48" i="1"/>
  <c r="AB62" i="1" s="1"/>
  <c r="N745" i="1"/>
  <c r="F814" i="10"/>
  <c r="C624" i="10"/>
  <c r="C549" i="10"/>
  <c r="B549" i="1"/>
  <c r="C573" i="10"/>
  <c r="C622" i="10"/>
  <c r="B573" i="1"/>
  <c r="C507" i="10"/>
  <c r="G507" i="10" s="1"/>
  <c r="C679" i="10"/>
  <c r="B507" i="1"/>
  <c r="C680" i="10"/>
  <c r="C508" i="10"/>
  <c r="G508" i="10" s="1"/>
  <c r="B508" i="1"/>
  <c r="T814" i="10"/>
  <c r="H814" i="10"/>
  <c r="R814" i="10"/>
  <c r="P814" i="10"/>
  <c r="M810" i="10"/>
  <c r="CE62" i="10"/>
  <c r="C67" i="10"/>
  <c r="CE67" i="10" s="1"/>
  <c r="C433" i="10" s="1"/>
  <c r="CE52" i="10"/>
  <c r="C562" i="10"/>
  <c r="C623" i="10"/>
  <c r="B562" i="1"/>
  <c r="M744" i="10"/>
  <c r="C686" i="10"/>
  <c r="C514" i="10"/>
  <c r="G514" i="10" s="1"/>
  <c r="B514" i="1"/>
  <c r="E373" i="9"/>
  <c r="C575" i="1"/>
  <c r="E752" i="10"/>
  <c r="C14" i="5"/>
  <c r="D428" i="1"/>
  <c r="D612" i="1"/>
  <c r="CF76" i="1"/>
  <c r="BT52" i="1" s="1"/>
  <c r="BT67" i="1" s="1"/>
  <c r="D436" i="1"/>
  <c r="C28" i="4"/>
  <c r="C421" i="1"/>
  <c r="C470" i="1"/>
  <c r="F9" i="6"/>
  <c r="I382" i="9"/>
  <c r="I612" i="1"/>
  <c r="E154" i="9"/>
  <c r="N764" i="1"/>
  <c r="H186" i="9"/>
  <c r="N774" i="1"/>
  <c r="I186" i="9"/>
  <c r="N775" i="1"/>
  <c r="I368" i="9"/>
  <c r="C432" i="1"/>
  <c r="I816" i="1"/>
  <c r="H612" i="1"/>
  <c r="BI730" i="1"/>
  <c r="I362" i="9"/>
  <c r="F11" i="6"/>
  <c r="C475" i="1"/>
  <c r="G19" i="4"/>
  <c r="F19" i="4"/>
  <c r="D463" i="1"/>
  <c r="E28" i="4"/>
  <c r="D32" i="6"/>
  <c r="D433" i="1"/>
  <c r="C26" i="9"/>
  <c r="N734" i="1"/>
  <c r="H26" i="9"/>
  <c r="N739" i="1"/>
  <c r="E186" i="9"/>
  <c r="N771" i="1"/>
  <c r="D154" i="9"/>
  <c r="N763" i="1"/>
  <c r="E218" i="9"/>
  <c r="N778" i="1"/>
  <c r="F816" i="1"/>
  <c r="I365" i="9"/>
  <c r="I815" i="10"/>
  <c r="G815" i="10"/>
  <c r="E753" i="10"/>
  <c r="Q815" i="10"/>
  <c r="E754" i="10"/>
  <c r="C815" i="1"/>
  <c r="H815" i="1"/>
  <c r="C415" i="1"/>
  <c r="C10" i="4"/>
  <c r="I371" i="9"/>
  <c r="C440" i="1"/>
  <c r="L816" i="1"/>
  <c r="N754" i="1"/>
  <c r="I90" i="9"/>
  <c r="BK48" i="1"/>
  <c r="BK62" i="1" s="1"/>
  <c r="I363" i="9"/>
  <c r="T48" i="1"/>
  <c r="T62" i="1" s="1"/>
  <c r="H48" i="1"/>
  <c r="H62" i="1" s="1"/>
  <c r="P48" i="1"/>
  <c r="P62" i="1" s="1"/>
  <c r="BZ48" i="1"/>
  <c r="BZ62" i="1" s="1"/>
  <c r="AC48" i="1"/>
  <c r="AC62" i="1" s="1"/>
  <c r="H108" i="9" s="1"/>
  <c r="M48" i="1"/>
  <c r="M62" i="1" s="1"/>
  <c r="F44" i="9" s="1"/>
  <c r="BC48" i="1"/>
  <c r="BC62" i="1" s="1"/>
  <c r="AM48" i="1"/>
  <c r="AM62" i="1" s="1"/>
  <c r="C427" i="1"/>
  <c r="Y48" i="1"/>
  <c r="Y62" i="1" s="1"/>
  <c r="AQ48" i="1"/>
  <c r="AQ62" i="1" s="1"/>
  <c r="S48" i="1"/>
  <c r="S62" i="1" s="1"/>
  <c r="CB48" i="1"/>
  <c r="CB62" i="1" s="1"/>
  <c r="C364" i="9" s="1"/>
  <c r="B444" i="1"/>
  <c r="D5" i="7"/>
  <c r="C815" i="10"/>
  <c r="I815" i="1"/>
  <c r="G815" i="1"/>
  <c r="P815" i="1"/>
  <c r="Q815" i="1"/>
  <c r="R815" i="1"/>
  <c r="S815" i="1"/>
  <c r="G28" i="4"/>
  <c r="C814" i="10"/>
  <c r="G814" i="10"/>
  <c r="L814" i="10"/>
  <c r="Q814" i="10"/>
  <c r="D814" i="10"/>
  <c r="I814" i="10"/>
  <c r="O814" i="10"/>
  <c r="S814" i="10"/>
  <c r="B446" i="1"/>
  <c r="D242" i="1"/>
  <c r="E779" i="10"/>
  <c r="E795" i="10"/>
  <c r="C418" i="1"/>
  <c r="D438" i="1"/>
  <c r="F14" i="6"/>
  <c r="O815" i="1"/>
  <c r="T815" i="1"/>
  <c r="C471" i="1"/>
  <c r="F10" i="6"/>
  <c r="D26" i="9"/>
  <c r="N735" i="1"/>
  <c r="CE75" i="1"/>
  <c r="J809" i="10"/>
  <c r="J740" i="10"/>
  <c r="J747" i="10"/>
  <c r="J739" i="10"/>
  <c r="J808" i="10"/>
  <c r="P815" i="10"/>
  <c r="J804" i="10"/>
  <c r="J772" i="10"/>
  <c r="J790" i="10"/>
  <c r="J774" i="10"/>
  <c r="J758" i="10"/>
  <c r="F7" i="6"/>
  <c r="E204" i="1"/>
  <c r="C468" i="1"/>
  <c r="I383" i="9"/>
  <c r="S816" i="1"/>
  <c r="D22" i="7"/>
  <c r="C40" i="5"/>
  <c r="N815" i="10"/>
  <c r="I76" i="9"/>
  <c r="E754" i="1"/>
  <c r="C420" i="1"/>
  <c r="B28" i="4"/>
  <c r="N772" i="1"/>
  <c r="F186" i="9"/>
  <c r="E763" i="10"/>
  <c r="I376" i="9"/>
  <c r="C463" i="1"/>
  <c r="D58" i="9"/>
  <c r="N742" i="1"/>
  <c r="G26" i="9"/>
  <c r="N738" i="1"/>
  <c r="E217" i="1"/>
  <c r="I384" i="9"/>
  <c r="T816" i="1"/>
  <c r="L612" i="1"/>
  <c r="F218" i="9"/>
  <c r="N779" i="1"/>
  <c r="D90" i="9"/>
  <c r="N749" i="1"/>
  <c r="E755" i="10"/>
  <c r="E759" i="10"/>
  <c r="E775" i="10"/>
  <c r="E791" i="10"/>
  <c r="E807" i="10"/>
  <c r="D464" i="1"/>
  <c r="K815" i="1"/>
  <c r="H154" i="9"/>
  <c r="N767" i="1"/>
  <c r="I367" i="9"/>
  <c r="H816" i="1"/>
  <c r="M815" i="1"/>
  <c r="E733" i="10"/>
  <c r="D434" i="1"/>
  <c r="L815" i="1"/>
  <c r="C58" i="9"/>
  <c r="N741" i="1"/>
  <c r="N744" i="1"/>
  <c r="N756" i="1"/>
  <c r="N750" i="1"/>
  <c r="L815" i="10"/>
  <c r="E747" i="10"/>
  <c r="E739" i="10"/>
  <c r="E741" i="10"/>
  <c r="E749" i="10"/>
  <c r="N814" i="10"/>
  <c r="E743" i="10"/>
  <c r="E751" i="10"/>
  <c r="E771" i="10"/>
  <c r="E803" i="10"/>
  <c r="E737" i="10"/>
  <c r="E745" i="10"/>
  <c r="E767" i="10"/>
  <c r="E783" i="10"/>
  <c r="E799" i="10"/>
  <c r="E740" i="10"/>
  <c r="E744" i="10"/>
  <c r="E746" i="10"/>
  <c r="E750" i="10"/>
  <c r="C552" i="10" l="1"/>
  <c r="C530" i="10"/>
  <c r="G530" i="10" s="1"/>
  <c r="M757" i="10"/>
  <c r="M789" i="10"/>
  <c r="C618" i="10"/>
  <c r="C692" i="10"/>
  <c r="B520" i="1"/>
  <c r="F520" i="1" s="1"/>
  <c r="E204" i="9"/>
  <c r="M798" i="10"/>
  <c r="C572" i="10"/>
  <c r="B561" i="1"/>
  <c r="C621" i="10"/>
  <c r="B515" i="1"/>
  <c r="C706" i="10"/>
  <c r="E12" i="9"/>
  <c r="C674" i="10"/>
  <c r="B531" i="1"/>
  <c r="C534" i="10"/>
  <c r="G534" i="10" s="1"/>
  <c r="C678" i="10"/>
  <c r="C647" i="10"/>
  <c r="M809" i="10"/>
  <c r="C703" i="10"/>
  <c r="C697" i="10"/>
  <c r="C541" i="10"/>
  <c r="C332" i="9"/>
  <c r="B567" i="1"/>
  <c r="C646" i="10"/>
  <c r="B558" i="1"/>
  <c r="C669" i="10"/>
  <c r="M805" i="10"/>
  <c r="M771" i="10"/>
  <c r="C502" i="10"/>
  <c r="G502" i="10" s="1"/>
  <c r="B500" i="1"/>
  <c r="B499" i="1"/>
  <c r="F499" i="1" s="1"/>
  <c r="M753" i="10"/>
  <c r="B568" i="1"/>
  <c r="C688" i="10"/>
  <c r="C625" i="10"/>
  <c r="B565" i="1"/>
  <c r="B526" i="1"/>
  <c r="B551" i="1"/>
  <c r="C565" i="10"/>
  <c r="M738" i="10"/>
  <c r="B538" i="1"/>
  <c r="M791" i="10"/>
  <c r="C574" i="10"/>
  <c r="C673" i="10"/>
  <c r="C690" i="10"/>
  <c r="B532" i="1"/>
  <c r="F532" i="1" s="1"/>
  <c r="C518" i="10"/>
  <c r="G518" i="10" s="1"/>
  <c r="E769" i="1"/>
  <c r="C567" i="10"/>
  <c r="B525" i="1"/>
  <c r="C500" i="10"/>
  <c r="G500" i="10" s="1"/>
  <c r="C558" i="10"/>
  <c r="C499" i="10"/>
  <c r="G499" i="10" s="1"/>
  <c r="B497" i="1"/>
  <c r="F497" i="1" s="1"/>
  <c r="B516" i="1"/>
  <c r="F516" i="1" s="1"/>
  <c r="C568" i="10"/>
  <c r="H76" i="9"/>
  <c r="C642" i="10"/>
  <c r="C525" i="10"/>
  <c r="G525" i="10" s="1"/>
  <c r="B502" i="1"/>
  <c r="C672" i="10"/>
  <c r="C638" i="10"/>
  <c r="C671" i="10"/>
  <c r="C497" i="10"/>
  <c r="G497" i="10" s="1"/>
  <c r="M778" i="10"/>
  <c r="B527" i="1"/>
  <c r="G300" i="9"/>
  <c r="C557" i="10"/>
  <c r="B536" i="1"/>
  <c r="H536" i="1" s="1"/>
  <c r="C532" i="10"/>
  <c r="G532" i="10" s="1"/>
  <c r="C637" i="10"/>
  <c r="C536" i="10"/>
  <c r="G536" i="10" s="1"/>
  <c r="B570" i="1"/>
  <c r="D332" i="9"/>
  <c r="B523" i="1"/>
  <c r="C684" i="10"/>
  <c r="D373" i="1"/>
  <c r="C126" i="8" s="1"/>
  <c r="F140" i="9"/>
  <c r="C633" i="10"/>
  <c r="C521" i="10"/>
  <c r="G521" i="10" s="1"/>
  <c r="C172" i="9"/>
  <c r="E753" i="1"/>
  <c r="C571" i="10"/>
  <c r="E736" i="1"/>
  <c r="B571" i="1"/>
  <c r="M758" i="10"/>
  <c r="C644" i="10"/>
  <c r="C553" i="10"/>
  <c r="C515" i="10"/>
  <c r="G515" i="10" s="1"/>
  <c r="C702" i="10"/>
  <c r="B547" i="1"/>
  <c r="M806" i="10"/>
  <c r="E789" i="1"/>
  <c r="C76" i="9"/>
  <c r="B506" i="1"/>
  <c r="C645" i="10"/>
  <c r="C687" i="10"/>
  <c r="B548" i="1"/>
  <c r="C523" i="10"/>
  <c r="G523" i="10" s="1"/>
  <c r="M749" i="10"/>
  <c r="B544" i="1"/>
  <c r="H544" i="1" s="1"/>
  <c r="C547" i="10"/>
  <c r="C708" i="10"/>
  <c r="C526" i="10"/>
  <c r="G526" i="10" s="1"/>
  <c r="M770" i="10"/>
  <c r="C533" i="10"/>
  <c r="G533" i="10" s="1"/>
  <c r="B569" i="1"/>
  <c r="C629" i="10"/>
  <c r="C704" i="10"/>
  <c r="C538" i="10"/>
  <c r="G538" i="10" s="1"/>
  <c r="B574" i="1"/>
  <c r="B554" i="1"/>
  <c r="C640" i="10"/>
  <c r="B501" i="1"/>
  <c r="F501" i="1" s="1"/>
  <c r="B533" i="1"/>
  <c r="C693" i="10"/>
  <c r="D364" i="9"/>
  <c r="E236" i="9"/>
  <c r="B557" i="1"/>
  <c r="C506" i="10"/>
  <c r="G506" i="10" s="1"/>
  <c r="C570" i="10"/>
  <c r="B530" i="1"/>
  <c r="C548" i="10"/>
  <c r="C695" i="10"/>
  <c r="C544" i="10"/>
  <c r="G544" i="10" s="1"/>
  <c r="C632" i="10"/>
  <c r="C698" i="10"/>
  <c r="M766" i="10"/>
  <c r="M735" i="10"/>
  <c r="C551" i="10"/>
  <c r="C710" i="10"/>
  <c r="M811" i="10"/>
  <c r="M755" i="10"/>
  <c r="B543" i="1"/>
  <c r="B510" i="1"/>
  <c r="B512" i="1"/>
  <c r="C554" i="10"/>
  <c r="M777" i="10"/>
  <c r="B556" i="1"/>
  <c r="C712" i="10"/>
  <c r="M793" i="10"/>
  <c r="E798" i="1"/>
  <c r="C556" i="10"/>
  <c r="C540" i="10"/>
  <c r="G540" i="10" s="1"/>
  <c r="E332" i="9"/>
  <c r="C524" i="10"/>
  <c r="G524" i="10" s="1"/>
  <c r="M801" i="10"/>
  <c r="C513" i="10"/>
  <c r="G513" i="10" s="1"/>
  <c r="M790" i="10"/>
  <c r="B560" i="1"/>
  <c r="M741" i="10"/>
  <c r="C670" i="10"/>
  <c r="C701" i="10"/>
  <c r="C560" i="10"/>
  <c r="C509" i="10"/>
  <c r="G509" i="10" s="1"/>
  <c r="B498" i="1"/>
  <c r="F498" i="1" s="1"/>
  <c r="C682" i="10"/>
  <c r="C504" i="10"/>
  <c r="G504" i="10" s="1"/>
  <c r="M747" i="10"/>
  <c r="M797" i="10"/>
  <c r="C636" i="10"/>
  <c r="B504" i="1"/>
  <c r="C529" i="10"/>
  <c r="G529" i="10" s="1"/>
  <c r="C535" i="10"/>
  <c r="G535" i="10" s="1"/>
  <c r="C545" i="10"/>
  <c r="G545" i="10" s="1"/>
  <c r="B517" i="1"/>
  <c r="C675" i="10"/>
  <c r="C511" i="10"/>
  <c r="G511" i="10" s="1"/>
  <c r="C542" i="10"/>
  <c r="B550" i="1"/>
  <c r="F550" i="1" s="1"/>
  <c r="C519" i="10"/>
  <c r="G519" i="10" s="1"/>
  <c r="E795" i="1"/>
  <c r="C709" i="10"/>
  <c r="B546" i="1"/>
  <c r="C528" i="10"/>
  <c r="G528" i="10" s="1"/>
  <c r="C505" i="10"/>
  <c r="G505" i="10" s="1"/>
  <c r="E796" i="1"/>
  <c r="C537" i="10"/>
  <c r="G537" i="10" s="1"/>
  <c r="C628" i="10"/>
  <c r="B566" i="1"/>
  <c r="C517" i="10"/>
  <c r="G517" i="10" s="1"/>
  <c r="B555" i="1"/>
  <c r="B563" i="1"/>
  <c r="C546" i="10"/>
  <c r="G546" i="10" s="1"/>
  <c r="C700" i="10"/>
  <c r="C696" i="10"/>
  <c r="C683" i="10"/>
  <c r="C691" i="10"/>
  <c r="C677" i="10"/>
  <c r="C685" i="10"/>
  <c r="C631" i="10"/>
  <c r="B564" i="1"/>
  <c r="C616" i="10"/>
  <c r="C550" i="10"/>
  <c r="G550" i="10" s="1"/>
  <c r="B535" i="1"/>
  <c r="C566" i="10"/>
  <c r="C689" i="10"/>
  <c r="B503" i="1"/>
  <c r="C617" i="10"/>
  <c r="C626" i="10"/>
  <c r="C630" i="10"/>
  <c r="M765" i="10"/>
  <c r="M761" i="10"/>
  <c r="M748" i="10"/>
  <c r="M756" i="10"/>
  <c r="M742" i="10"/>
  <c r="M750" i="10"/>
  <c r="M779" i="10"/>
  <c r="C564" i="10"/>
  <c r="C543" i="10"/>
  <c r="C614" i="10"/>
  <c r="D615" i="10" s="1"/>
  <c r="E806" i="1"/>
  <c r="B537" i="1"/>
  <c r="B545" i="1"/>
  <c r="C641" i="10"/>
  <c r="C503" i="10"/>
  <c r="G503" i="10" s="1"/>
  <c r="C555" i="10"/>
  <c r="C563" i="10"/>
  <c r="M746" i="10"/>
  <c r="C707" i="10"/>
  <c r="H300" i="9"/>
  <c r="E741" i="1"/>
  <c r="I332" i="9"/>
  <c r="C711" i="10"/>
  <c r="B541" i="1"/>
  <c r="C531" i="10"/>
  <c r="G531" i="10" s="1"/>
  <c r="C527" i="10"/>
  <c r="G527" i="10" s="1"/>
  <c r="B509" i="1"/>
  <c r="F332" i="9"/>
  <c r="M759" i="10"/>
  <c r="M764" i="10"/>
  <c r="C694" i="10"/>
  <c r="M776" i="10"/>
  <c r="C539" i="10"/>
  <c r="G539" i="10" s="1"/>
  <c r="D236" i="9"/>
  <c r="C522" i="10"/>
  <c r="G522" i="10" s="1"/>
  <c r="BQ52" i="1"/>
  <c r="BQ67" i="1" s="1"/>
  <c r="F305" i="9" s="1"/>
  <c r="E740" i="1"/>
  <c r="E802" i="1"/>
  <c r="E792" i="1"/>
  <c r="E749" i="1"/>
  <c r="E799" i="1"/>
  <c r="E738" i="1"/>
  <c r="C140" i="9"/>
  <c r="E108" i="9"/>
  <c r="E793" i="1"/>
  <c r="E757" i="1"/>
  <c r="E762" i="1"/>
  <c r="F268" i="9"/>
  <c r="E810" i="1"/>
  <c r="C44" i="9"/>
  <c r="D140" i="9"/>
  <c r="G332" i="9"/>
  <c r="D204" i="9"/>
  <c r="F172" i="9"/>
  <c r="E44" i="9"/>
  <c r="H204" i="9"/>
  <c r="E772" i="1"/>
  <c r="E804" i="1"/>
  <c r="F204" i="9"/>
  <c r="I172" i="9"/>
  <c r="D292" i="1"/>
  <c r="D341" i="1" s="1"/>
  <c r="C481" i="1" s="1"/>
  <c r="E778" i="1"/>
  <c r="G140" i="9"/>
  <c r="BV52" i="1"/>
  <c r="BV67" i="1" s="1"/>
  <c r="J805" i="1" s="1"/>
  <c r="CB52" i="1"/>
  <c r="CB67" i="1" s="1"/>
  <c r="C369" i="9" s="1"/>
  <c r="I12" i="9"/>
  <c r="G52" i="1"/>
  <c r="G67" i="1" s="1"/>
  <c r="J738" i="1" s="1"/>
  <c r="AA52" i="1"/>
  <c r="AA67" i="1" s="1"/>
  <c r="F113" i="9" s="1"/>
  <c r="BN52" i="1"/>
  <c r="BN67" i="1" s="1"/>
  <c r="C305" i="9" s="1"/>
  <c r="AY52" i="1"/>
  <c r="AY67" i="1" s="1"/>
  <c r="J782" i="1" s="1"/>
  <c r="BD52" i="1"/>
  <c r="BD67" i="1" s="1"/>
  <c r="G241" i="9" s="1"/>
  <c r="BR52" i="1"/>
  <c r="BR67" i="1" s="1"/>
  <c r="J801" i="1" s="1"/>
  <c r="D52" i="1"/>
  <c r="D67" i="1" s="1"/>
  <c r="J735" i="1" s="1"/>
  <c r="T52" i="1"/>
  <c r="T67" i="1" s="1"/>
  <c r="J751" i="1" s="1"/>
  <c r="F52" i="1"/>
  <c r="F67" i="1" s="1"/>
  <c r="F17" i="9" s="1"/>
  <c r="AJ52" i="1"/>
  <c r="AJ67" i="1" s="1"/>
  <c r="H145" i="9" s="1"/>
  <c r="AX52" i="1"/>
  <c r="AX67" i="1" s="1"/>
  <c r="J781" i="1" s="1"/>
  <c r="M52" i="1"/>
  <c r="M67" i="1" s="1"/>
  <c r="J744" i="1" s="1"/>
  <c r="BM52" i="1"/>
  <c r="BM67" i="1" s="1"/>
  <c r="I273" i="9" s="1"/>
  <c r="BF52" i="1"/>
  <c r="BF67" i="1" s="1"/>
  <c r="I241" i="9" s="1"/>
  <c r="G108" i="9"/>
  <c r="E759" i="1"/>
  <c r="C300" i="9"/>
  <c r="E773" i="1"/>
  <c r="E780" i="1"/>
  <c r="I108" i="9"/>
  <c r="M796" i="10"/>
  <c r="B559" i="1"/>
  <c r="C559" i="10"/>
  <c r="D339" i="1"/>
  <c r="C102" i="8" s="1"/>
  <c r="C619" i="10"/>
  <c r="E140" i="9"/>
  <c r="C108" i="9"/>
  <c r="E767" i="1"/>
  <c r="E735" i="1"/>
  <c r="E782" i="1"/>
  <c r="I204" i="9"/>
  <c r="E742" i="1"/>
  <c r="D12" i="9"/>
  <c r="H140" i="9"/>
  <c r="D44" i="9"/>
  <c r="E774" i="1"/>
  <c r="H172" i="9"/>
  <c r="E756" i="1"/>
  <c r="E758" i="1"/>
  <c r="E744" i="1"/>
  <c r="E745" i="1"/>
  <c r="I236" i="9"/>
  <c r="E748" i="1"/>
  <c r="BE52" i="1"/>
  <c r="BE67" i="1" s="1"/>
  <c r="H241" i="9" s="1"/>
  <c r="AK52" i="1"/>
  <c r="AK67" i="1" s="1"/>
  <c r="I145" i="9" s="1"/>
  <c r="AW52" i="1"/>
  <c r="AW67" i="1" s="1"/>
  <c r="G209" i="9" s="1"/>
  <c r="BY52" i="1"/>
  <c r="BY67" i="1" s="1"/>
  <c r="J808" i="1" s="1"/>
  <c r="AM52" i="1"/>
  <c r="AM67" i="1" s="1"/>
  <c r="D177" i="9" s="1"/>
  <c r="D108" i="9"/>
  <c r="E784" i="1"/>
  <c r="H268" i="9"/>
  <c r="E768" i="1"/>
  <c r="I140" i="9"/>
  <c r="AF52" i="1"/>
  <c r="AF67" i="1" s="1"/>
  <c r="D145" i="9" s="1"/>
  <c r="AB52" i="1"/>
  <c r="AB67" i="1" s="1"/>
  <c r="G113" i="9" s="1"/>
  <c r="H52" i="1"/>
  <c r="H67" i="1" s="1"/>
  <c r="H17" i="9" s="1"/>
  <c r="BP52" i="1"/>
  <c r="BP67" i="1" s="1"/>
  <c r="BP71" i="1" s="1"/>
  <c r="E309" i="9" s="1"/>
  <c r="AH52" i="1"/>
  <c r="AH67" i="1" s="1"/>
  <c r="F145" i="9" s="1"/>
  <c r="J52" i="1"/>
  <c r="J67" i="1" s="1"/>
  <c r="J71" i="1" s="1"/>
  <c r="AG52" i="1"/>
  <c r="AG67" i="1" s="1"/>
  <c r="AG71" i="1" s="1"/>
  <c r="C526" i="1" s="1"/>
  <c r="G526" i="1" s="1"/>
  <c r="V52" i="1"/>
  <c r="V67" i="1" s="1"/>
  <c r="J753" i="1" s="1"/>
  <c r="J803" i="1"/>
  <c r="I305" i="9"/>
  <c r="C62" i="1"/>
  <c r="CE48" i="1"/>
  <c r="E803" i="1"/>
  <c r="I300" i="9"/>
  <c r="BT71" i="1"/>
  <c r="E746" i="1"/>
  <c r="E755" i="1"/>
  <c r="G172" i="9"/>
  <c r="E797" i="1"/>
  <c r="AN52" i="1"/>
  <c r="AN67" i="1" s="1"/>
  <c r="J771" i="1" s="1"/>
  <c r="E764" i="1"/>
  <c r="E771" i="1"/>
  <c r="F300" i="9"/>
  <c r="E800" i="1"/>
  <c r="E791" i="1"/>
  <c r="D268" i="9"/>
  <c r="E811" i="1"/>
  <c r="BO52" i="1"/>
  <c r="BO67" i="1" s="1"/>
  <c r="D305" i="9" s="1"/>
  <c r="G76" i="9"/>
  <c r="E752" i="1"/>
  <c r="C236" i="9"/>
  <c r="E783" i="1"/>
  <c r="C268" i="9"/>
  <c r="E790" i="1"/>
  <c r="BX52" i="1"/>
  <c r="BX67" i="1" s="1"/>
  <c r="F337" i="9" s="1"/>
  <c r="P52" i="1"/>
  <c r="P67" i="1" s="1"/>
  <c r="I49" i="9" s="1"/>
  <c r="H236" i="9"/>
  <c r="E788" i="1"/>
  <c r="E776" i="1"/>
  <c r="C204" i="9"/>
  <c r="E737" i="1"/>
  <c r="C428" i="10"/>
  <c r="C441" i="10" s="1"/>
  <c r="CE71" i="10"/>
  <c r="C71" i="10"/>
  <c r="F76" i="9"/>
  <c r="E751" i="1"/>
  <c r="J806" i="10"/>
  <c r="J776" i="10"/>
  <c r="J755" i="10"/>
  <c r="N815" i="1"/>
  <c r="F511" i="1"/>
  <c r="E750" i="1"/>
  <c r="E76" i="9"/>
  <c r="D172" i="9"/>
  <c r="E770" i="1"/>
  <c r="H332" i="9"/>
  <c r="E809" i="1"/>
  <c r="BC52" i="1"/>
  <c r="BC67" i="1" s="1"/>
  <c r="BC71" i="1" s="1"/>
  <c r="AP52" i="1"/>
  <c r="AP67" i="1" s="1"/>
  <c r="AP71" i="1" s="1"/>
  <c r="G181" i="9" s="1"/>
  <c r="AU52" i="1"/>
  <c r="AU67" i="1" s="1"/>
  <c r="AU71" i="1" s="1"/>
  <c r="U52" i="1"/>
  <c r="U67" i="1" s="1"/>
  <c r="U71" i="1" s="1"/>
  <c r="Y52" i="1"/>
  <c r="Y67" i="1" s="1"/>
  <c r="Y71" i="1" s="1"/>
  <c r="S52" i="1"/>
  <c r="S67" i="1" s="1"/>
  <c r="S71" i="1" s="1"/>
  <c r="R52" i="1"/>
  <c r="R67" i="1" s="1"/>
  <c r="R71" i="1" s="1"/>
  <c r="D85" i="9" s="1"/>
  <c r="Z52" i="1"/>
  <c r="Z67" i="1" s="1"/>
  <c r="Z71" i="1" s="1"/>
  <c r="BB52" i="1"/>
  <c r="BB67" i="1" s="1"/>
  <c r="BB71" i="1" s="1"/>
  <c r="E245" i="9" s="1"/>
  <c r="L52" i="1"/>
  <c r="L67" i="1" s="1"/>
  <c r="L71" i="1" s="1"/>
  <c r="BA52" i="1"/>
  <c r="BA67" i="1" s="1"/>
  <c r="BA71" i="1" s="1"/>
  <c r="AV52" i="1"/>
  <c r="AV67" i="1" s="1"/>
  <c r="AV71" i="1" s="1"/>
  <c r="C713" i="1" s="1"/>
  <c r="AL52" i="1"/>
  <c r="AL67" i="1" s="1"/>
  <c r="AL71" i="1" s="1"/>
  <c r="CC52" i="1"/>
  <c r="CC67" i="1" s="1"/>
  <c r="CC71" i="1" s="1"/>
  <c r="C574" i="1" s="1"/>
  <c r="AC52" i="1"/>
  <c r="AC67" i="1" s="1"/>
  <c r="AC71" i="1" s="1"/>
  <c r="H117" i="9" s="1"/>
  <c r="BS52" i="1"/>
  <c r="BS67" i="1" s="1"/>
  <c r="BS71" i="1" s="1"/>
  <c r="AO52" i="1"/>
  <c r="AO67" i="1" s="1"/>
  <c r="AO71" i="1" s="1"/>
  <c r="AI52" i="1"/>
  <c r="AI67" i="1" s="1"/>
  <c r="AI71" i="1" s="1"/>
  <c r="G149" i="9" s="1"/>
  <c r="W52" i="1"/>
  <c r="W67" i="1" s="1"/>
  <c r="W71" i="1" s="1"/>
  <c r="C688" i="1" s="1"/>
  <c r="AS52" i="1"/>
  <c r="AS67" i="1" s="1"/>
  <c r="AS71" i="1" s="1"/>
  <c r="AQ52" i="1"/>
  <c r="AQ67" i="1" s="1"/>
  <c r="AQ71" i="1" s="1"/>
  <c r="AR52" i="1"/>
  <c r="AR67" i="1" s="1"/>
  <c r="AR71" i="1" s="1"/>
  <c r="C537" i="1" s="1"/>
  <c r="G537" i="1" s="1"/>
  <c r="AZ52" i="1"/>
  <c r="AZ67" i="1" s="1"/>
  <c r="AZ71" i="1" s="1"/>
  <c r="N52" i="1"/>
  <c r="N67" i="1" s="1"/>
  <c r="N71" i="1" s="1"/>
  <c r="G53" i="9" s="1"/>
  <c r="CA52" i="1"/>
  <c r="CA67" i="1" s="1"/>
  <c r="CA71" i="1" s="1"/>
  <c r="BU52" i="1"/>
  <c r="BU67" i="1" s="1"/>
  <c r="BU71" i="1" s="1"/>
  <c r="AD52" i="1"/>
  <c r="AD67" i="1" s="1"/>
  <c r="AD71" i="1" s="1"/>
  <c r="C523" i="1" s="1"/>
  <c r="G523" i="1" s="1"/>
  <c r="AT52" i="1"/>
  <c r="AT67" i="1" s="1"/>
  <c r="AT71" i="1" s="1"/>
  <c r="C711" i="1" s="1"/>
  <c r="E760" i="1"/>
  <c r="F236" i="9"/>
  <c r="E786" i="1"/>
  <c r="I44" i="9"/>
  <c r="E747" i="1"/>
  <c r="G268" i="9"/>
  <c r="E794" i="1"/>
  <c r="BG52" i="1"/>
  <c r="BG67" i="1" s="1"/>
  <c r="BG71" i="1" s="1"/>
  <c r="Q52" i="1"/>
  <c r="Q67" i="1" s="1"/>
  <c r="Q71" i="1" s="1"/>
  <c r="BK52" i="1"/>
  <c r="BK67" i="1" s="1"/>
  <c r="BK71" i="1" s="1"/>
  <c r="O52" i="1"/>
  <c r="O67" i="1" s="1"/>
  <c r="O71" i="1" s="1"/>
  <c r="C508" i="1" s="1"/>
  <c r="G508" i="1" s="1"/>
  <c r="BW52" i="1"/>
  <c r="BW67" i="1" s="1"/>
  <c r="BW71" i="1" s="1"/>
  <c r="BI52" i="1"/>
  <c r="BI67" i="1" s="1"/>
  <c r="BI71" i="1" s="1"/>
  <c r="C554" i="1" s="1"/>
  <c r="K52" i="1"/>
  <c r="K67" i="1" s="1"/>
  <c r="K71" i="1" s="1"/>
  <c r="D465" i="1"/>
  <c r="F505" i="1"/>
  <c r="H505" i="1"/>
  <c r="E739" i="1"/>
  <c r="H12" i="9"/>
  <c r="E52" i="1"/>
  <c r="E67" i="1" s="1"/>
  <c r="E71" i="1" s="1"/>
  <c r="X52" i="1"/>
  <c r="X67" i="1" s="1"/>
  <c r="X71" i="1" s="1"/>
  <c r="C689" i="1" s="1"/>
  <c r="BH52" i="1"/>
  <c r="BH67" i="1" s="1"/>
  <c r="BH71" i="1" s="1"/>
  <c r="I52" i="1"/>
  <c r="I67" i="1" s="1"/>
  <c r="I71" i="1" s="1"/>
  <c r="BJ52" i="1"/>
  <c r="BJ67" i="1" s="1"/>
  <c r="BJ71" i="1" s="1"/>
  <c r="BZ52" i="1"/>
  <c r="BZ67" i="1" s="1"/>
  <c r="BZ71" i="1" s="1"/>
  <c r="C52" i="1"/>
  <c r="AE52" i="1"/>
  <c r="AE67" i="1" s="1"/>
  <c r="AE71" i="1" s="1"/>
  <c r="BL52" i="1"/>
  <c r="BL67" i="1" s="1"/>
  <c r="BL71" i="1" s="1"/>
  <c r="E758" i="10"/>
  <c r="E774" i="10"/>
  <c r="E798" i="10"/>
  <c r="J779" i="10"/>
  <c r="J787" i="10"/>
  <c r="J803" i="10"/>
  <c r="J811" i="10"/>
  <c r="D27" i="7"/>
  <c r="B448" i="1"/>
  <c r="E768" i="10"/>
  <c r="E776" i="10"/>
  <c r="E784" i="10"/>
  <c r="E792" i="10"/>
  <c r="E800" i="10"/>
  <c r="E808" i="10"/>
  <c r="F528" i="1"/>
  <c r="H528" i="1"/>
  <c r="J762" i="10"/>
  <c r="J778" i="10"/>
  <c r="J794" i="10"/>
  <c r="J810" i="10"/>
  <c r="J780" i="10"/>
  <c r="J784" i="10"/>
  <c r="J741" i="10"/>
  <c r="J749" i="10"/>
  <c r="J734" i="10"/>
  <c r="J742" i="10"/>
  <c r="J750" i="10"/>
  <c r="J757" i="10"/>
  <c r="J765" i="10"/>
  <c r="J773" i="10"/>
  <c r="J781" i="10"/>
  <c r="J789" i="10"/>
  <c r="J797" i="10"/>
  <c r="J805" i="10"/>
  <c r="I378" i="9"/>
  <c r="K612" i="1"/>
  <c r="C465" i="1"/>
  <c r="N816" i="1"/>
  <c r="E766" i="10"/>
  <c r="E790" i="10"/>
  <c r="F32" i="6"/>
  <c r="C478" i="1"/>
  <c r="J748" i="10"/>
  <c r="J763" i="10"/>
  <c r="J795" i="10"/>
  <c r="E760" i="10"/>
  <c r="E770" i="10"/>
  <c r="E786" i="10"/>
  <c r="E802" i="10"/>
  <c r="E810" i="10"/>
  <c r="C476" i="1"/>
  <c r="F16" i="6"/>
  <c r="J766" i="10"/>
  <c r="J782" i="10"/>
  <c r="J798" i="10"/>
  <c r="J756" i="10"/>
  <c r="J788" i="10"/>
  <c r="J760" i="10"/>
  <c r="J792" i="10"/>
  <c r="J735" i="10"/>
  <c r="J743" i="10"/>
  <c r="J751" i="10"/>
  <c r="J736" i="10"/>
  <c r="J744" i="10"/>
  <c r="J752" i="10"/>
  <c r="J759" i="10"/>
  <c r="J767" i="10"/>
  <c r="J775" i="10"/>
  <c r="J783" i="10"/>
  <c r="J791" i="10"/>
  <c r="J799" i="10"/>
  <c r="J807" i="10"/>
  <c r="E782" i="10"/>
  <c r="E806" i="10"/>
  <c r="J771" i="10"/>
  <c r="E762" i="10"/>
  <c r="E778" i="10"/>
  <c r="E794" i="10"/>
  <c r="E756" i="10"/>
  <c r="E764" i="10"/>
  <c r="E772" i="10"/>
  <c r="E780" i="10"/>
  <c r="E788" i="10"/>
  <c r="E796" i="10"/>
  <c r="E804" i="10"/>
  <c r="E811" i="10"/>
  <c r="F540" i="1"/>
  <c r="H540" i="1"/>
  <c r="F524" i="1"/>
  <c r="E815" i="10"/>
  <c r="J770" i="10"/>
  <c r="J786" i="10"/>
  <c r="J802" i="10"/>
  <c r="J764" i="10"/>
  <c r="J796" i="10"/>
  <c r="J768" i="10"/>
  <c r="J800" i="10"/>
  <c r="J737" i="10"/>
  <c r="J745" i="10"/>
  <c r="J753" i="10"/>
  <c r="J738" i="10"/>
  <c r="J746" i="10"/>
  <c r="J754" i="10"/>
  <c r="J761" i="10"/>
  <c r="J769" i="10"/>
  <c r="J777" i="10"/>
  <c r="J785" i="10"/>
  <c r="J793" i="10"/>
  <c r="J801" i="10"/>
  <c r="CB71" i="1" l="1"/>
  <c r="C622" i="1" s="1"/>
  <c r="AJ71" i="1"/>
  <c r="C701" i="1" s="1"/>
  <c r="BN71" i="1"/>
  <c r="C619" i="1" s="1"/>
  <c r="D71" i="1"/>
  <c r="C497" i="1" s="1"/>
  <c r="G497" i="1" s="1"/>
  <c r="AA71" i="1"/>
  <c r="C520" i="1" s="1"/>
  <c r="G520" i="1" s="1"/>
  <c r="T71" i="1"/>
  <c r="C513" i="1" s="1"/>
  <c r="G513" i="1" s="1"/>
  <c r="AY71" i="1"/>
  <c r="I213" i="9" s="1"/>
  <c r="AB71" i="1"/>
  <c r="G117" i="9" s="1"/>
  <c r="M71" i="1"/>
  <c r="C506" i="1" s="1"/>
  <c r="G506" i="1" s="1"/>
  <c r="AK71" i="1"/>
  <c r="C702" i="1" s="1"/>
  <c r="I85" i="9"/>
  <c r="P71" i="1"/>
  <c r="C509" i="1" s="1"/>
  <c r="G509" i="1" s="1"/>
  <c r="BX71" i="1"/>
  <c r="C644" i="1" s="1"/>
  <c r="BO71" i="1"/>
  <c r="C560" i="1" s="1"/>
  <c r="AX71" i="1"/>
  <c r="C543" i="1" s="1"/>
  <c r="BR71" i="1"/>
  <c r="G309" i="9" s="1"/>
  <c r="AM71" i="1"/>
  <c r="C532" i="1" s="1"/>
  <c r="G532" i="1" s="1"/>
  <c r="BQ71" i="1"/>
  <c r="F309" i="9" s="1"/>
  <c r="C498" i="1"/>
  <c r="G498" i="1" s="1"/>
  <c r="E21" i="9"/>
  <c r="C670" i="1"/>
  <c r="C510" i="1"/>
  <c r="G510" i="1" s="1"/>
  <c r="C682" i="1"/>
  <c r="C85" i="9"/>
  <c r="F277" i="9"/>
  <c r="C555" i="1"/>
  <c r="C617" i="1"/>
  <c r="C524" i="1"/>
  <c r="C696" i="1"/>
  <c r="C149" i="9"/>
  <c r="I341" i="9"/>
  <c r="C647" i="1"/>
  <c r="C572" i="1"/>
  <c r="F181" i="9"/>
  <c r="C706" i="1"/>
  <c r="C534" i="1"/>
  <c r="G534" i="1" s="1"/>
  <c r="C181" i="9"/>
  <c r="C703" i="1"/>
  <c r="C531" i="1"/>
  <c r="G531" i="1" s="1"/>
  <c r="C690" i="1"/>
  <c r="C518" i="1"/>
  <c r="G518" i="1" s="1"/>
  <c r="D117" i="9"/>
  <c r="C675" i="1"/>
  <c r="C503" i="1"/>
  <c r="G503" i="1" s="1"/>
  <c r="C53" i="9"/>
  <c r="C545" i="1"/>
  <c r="G545" i="1" s="1"/>
  <c r="C245" i="9"/>
  <c r="C628" i="1"/>
  <c r="C546" i="1"/>
  <c r="G546" i="1" s="1"/>
  <c r="D245" i="9"/>
  <c r="C630" i="1"/>
  <c r="E213" i="9"/>
  <c r="C540" i="1"/>
  <c r="G540" i="1" s="1"/>
  <c r="C712" i="1"/>
  <c r="C557" i="1"/>
  <c r="H277" i="9"/>
  <c r="C637" i="1"/>
  <c r="C566" i="1"/>
  <c r="C341" i="9"/>
  <c r="C641" i="1"/>
  <c r="C674" i="1"/>
  <c r="I21" i="9"/>
  <c r="C502" i="1"/>
  <c r="G502" i="1" s="1"/>
  <c r="C643" i="1"/>
  <c r="E341" i="9"/>
  <c r="C568" i="1"/>
  <c r="C708" i="1"/>
  <c r="C536" i="1"/>
  <c r="G536" i="1" s="1"/>
  <c r="H181" i="9"/>
  <c r="C639" i="1"/>
  <c r="C564" i="1"/>
  <c r="H309" i="9"/>
  <c r="E117" i="9"/>
  <c r="C691" i="1"/>
  <c r="C519" i="1"/>
  <c r="G519" i="1" s="1"/>
  <c r="C516" i="1"/>
  <c r="G516" i="1" s="1"/>
  <c r="AF71" i="1"/>
  <c r="C697" i="1" s="1"/>
  <c r="G71" i="1"/>
  <c r="C500" i="1" s="1"/>
  <c r="G500" i="1" s="1"/>
  <c r="BD71" i="1"/>
  <c r="C549" i="1" s="1"/>
  <c r="BY71" i="1"/>
  <c r="C570" i="1" s="1"/>
  <c r="H71" i="1"/>
  <c r="AH71" i="1"/>
  <c r="C699" i="1" s="1"/>
  <c r="AW71" i="1"/>
  <c r="G213" i="9" s="1"/>
  <c r="BM71" i="1"/>
  <c r="I277" i="9" s="1"/>
  <c r="BF71" i="1"/>
  <c r="F71" i="1"/>
  <c r="C499" i="1" s="1"/>
  <c r="BE71" i="1"/>
  <c r="C550" i="1" s="1"/>
  <c r="AN71" i="1"/>
  <c r="E181" i="9" s="1"/>
  <c r="BV71" i="1"/>
  <c r="D341" i="9" s="1"/>
  <c r="V71" i="1"/>
  <c r="C616" i="1"/>
  <c r="C563" i="1"/>
  <c r="F544" i="1"/>
  <c r="C541" i="1"/>
  <c r="H532" i="1"/>
  <c r="F536" i="1"/>
  <c r="J768" i="1"/>
  <c r="D391" i="1"/>
  <c r="C142" i="8" s="1"/>
  <c r="C482" i="1"/>
  <c r="J787" i="1"/>
  <c r="J800" i="1"/>
  <c r="J796" i="1"/>
  <c r="C679" i="1"/>
  <c r="C507" i="1"/>
  <c r="G507" i="1" s="1"/>
  <c r="G305" i="9"/>
  <c r="H501" i="1"/>
  <c r="C680" i="1"/>
  <c r="C620" i="1"/>
  <c r="F49" i="9"/>
  <c r="C707" i="1"/>
  <c r="H53" i="9"/>
  <c r="C547" i="1"/>
  <c r="H209" i="9"/>
  <c r="F213" i="9"/>
  <c r="F81" i="9"/>
  <c r="E277" i="9"/>
  <c r="J737" i="1"/>
  <c r="C539" i="1"/>
  <c r="G539" i="1" s="1"/>
  <c r="D213" i="9"/>
  <c r="G17" i="9"/>
  <c r="J780" i="1"/>
  <c r="C700" i="1"/>
  <c r="D337" i="9"/>
  <c r="J788" i="1"/>
  <c r="C683" i="1"/>
  <c r="J758" i="1"/>
  <c r="C632" i="1"/>
  <c r="C528" i="1"/>
  <c r="G528" i="1" s="1"/>
  <c r="J789" i="1"/>
  <c r="C50" i="8"/>
  <c r="C535" i="1"/>
  <c r="G535" i="1" s="1"/>
  <c r="C695" i="1"/>
  <c r="J770" i="1"/>
  <c r="I209" i="9"/>
  <c r="C648" i="10"/>
  <c r="M716" i="10" s="1"/>
  <c r="I117" i="9"/>
  <c r="D17" i="9"/>
  <c r="C511" i="1"/>
  <c r="G511" i="1" s="1"/>
  <c r="I181" i="9"/>
  <c r="J811" i="1"/>
  <c r="J797" i="1"/>
  <c r="D373" i="9"/>
  <c r="C709" i="1"/>
  <c r="C698" i="1"/>
  <c r="C694" i="1"/>
  <c r="J767" i="1"/>
  <c r="C522" i="1"/>
  <c r="G522" i="1" s="1"/>
  <c r="E149" i="9"/>
  <c r="J798" i="1"/>
  <c r="J807" i="1"/>
  <c r="E177" i="9"/>
  <c r="J759" i="1"/>
  <c r="J763" i="1"/>
  <c r="J765" i="1"/>
  <c r="C561" i="1"/>
  <c r="C621" i="1"/>
  <c r="C634" i="1"/>
  <c r="E53" i="9"/>
  <c r="C677" i="1"/>
  <c r="C505" i="1"/>
  <c r="G505" i="1" s="1"/>
  <c r="G337" i="9"/>
  <c r="J739" i="1"/>
  <c r="C676" i="1"/>
  <c r="D53" i="9"/>
  <c r="C504" i="1"/>
  <c r="G504" i="1" s="1"/>
  <c r="C117" i="9"/>
  <c r="C517" i="1"/>
  <c r="G517" i="1" s="1"/>
  <c r="J799" i="1"/>
  <c r="E305" i="9"/>
  <c r="J764" i="1"/>
  <c r="E145" i="9"/>
  <c r="H81" i="9"/>
  <c r="C49" i="9"/>
  <c r="J741" i="1"/>
  <c r="C710" i="1"/>
  <c r="C213" i="9"/>
  <c r="C538" i="1"/>
  <c r="G538" i="1" s="1"/>
  <c r="G85" i="9"/>
  <c r="C514" i="1"/>
  <c r="G514" i="1" s="1"/>
  <c r="C686" i="1"/>
  <c r="C277" i="9"/>
  <c r="C552" i="1"/>
  <c r="C618" i="1"/>
  <c r="I309" i="9"/>
  <c r="C565" i="1"/>
  <c r="C640" i="1"/>
  <c r="E734" i="1"/>
  <c r="E815" i="1" s="1"/>
  <c r="CE62" i="1"/>
  <c r="C12" i="9"/>
  <c r="E814" i="10"/>
  <c r="J747" i="1"/>
  <c r="C636" i="1"/>
  <c r="D277" i="9"/>
  <c r="C553" i="1"/>
  <c r="C668" i="10"/>
  <c r="C715" i="10" s="1"/>
  <c r="C496" i="10"/>
  <c r="G496" i="10" s="1"/>
  <c r="B496" i="1"/>
  <c r="F496" i="1" s="1"/>
  <c r="M733" i="10"/>
  <c r="M814" i="10" s="1"/>
  <c r="C716" i="10"/>
  <c r="M815" i="10"/>
  <c r="D716" i="10"/>
  <c r="D712" i="10"/>
  <c r="D708" i="10"/>
  <c r="D704" i="10"/>
  <c r="D700" i="10"/>
  <c r="D696" i="10"/>
  <c r="D692" i="10"/>
  <c r="D688" i="10"/>
  <c r="D703" i="10"/>
  <c r="D702" i="10"/>
  <c r="D701" i="10"/>
  <c r="D687" i="10"/>
  <c r="D686" i="10"/>
  <c r="D685" i="10"/>
  <c r="D681" i="10"/>
  <c r="D677" i="10"/>
  <c r="D713" i="10"/>
  <c r="D699" i="10"/>
  <c r="D698" i="10"/>
  <c r="D697" i="10"/>
  <c r="D682" i="10"/>
  <c r="D711" i="10"/>
  <c r="D710" i="10"/>
  <c r="D709" i="10"/>
  <c r="D695" i="10"/>
  <c r="D694" i="10"/>
  <c r="D693" i="10"/>
  <c r="D683" i="10"/>
  <c r="D679" i="10"/>
  <c r="D691" i="10"/>
  <c r="D689" i="10"/>
  <c r="D678" i="10"/>
  <c r="D676" i="10"/>
  <c r="D672" i="10"/>
  <c r="D668" i="10"/>
  <c r="D628" i="10"/>
  <c r="D622" i="10"/>
  <c r="D620" i="10"/>
  <c r="D618" i="10"/>
  <c r="D616" i="10"/>
  <c r="D706" i="10"/>
  <c r="D673" i="10"/>
  <c r="D690" i="10"/>
  <c r="D680" i="10"/>
  <c r="D674" i="10"/>
  <c r="D670" i="10"/>
  <c r="D647" i="10"/>
  <c r="D646" i="10"/>
  <c r="D645" i="10"/>
  <c r="D629" i="10"/>
  <c r="D626" i="10"/>
  <c r="D623" i="10"/>
  <c r="D621" i="10"/>
  <c r="D619" i="10"/>
  <c r="D617" i="10"/>
  <c r="D705" i="10"/>
  <c r="D671" i="10"/>
  <c r="D644" i="10"/>
  <c r="D643" i="10"/>
  <c r="D642" i="10"/>
  <c r="D641" i="10"/>
  <c r="D640" i="10"/>
  <c r="D639" i="10"/>
  <c r="D638" i="10"/>
  <c r="D637" i="10"/>
  <c r="D636" i="10"/>
  <c r="D635" i="10"/>
  <c r="D634" i="10"/>
  <c r="D633" i="10"/>
  <c r="D632" i="10"/>
  <c r="D631" i="10"/>
  <c r="D630" i="10"/>
  <c r="D624" i="10"/>
  <c r="D675" i="10"/>
  <c r="D669" i="10"/>
  <c r="D627" i="10"/>
  <c r="D707" i="10"/>
  <c r="D625" i="10"/>
  <c r="D684" i="10"/>
  <c r="C145" i="9"/>
  <c r="J762" i="1"/>
  <c r="J740" i="1"/>
  <c r="I17" i="9"/>
  <c r="J806" i="1"/>
  <c r="E337" i="9"/>
  <c r="J790" i="1"/>
  <c r="C273" i="9"/>
  <c r="J810" i="1"/>
  <c r="I337" i="9"/>
  <c r="J774" i="1"/>
  <c r="H177" i="9"/>
  <c r="F177" i="9"/>
  <c r="J772" i="1"/>
  <c r="C177" i="9"/>
  <c r="J769" i="1"/>
  <c r="E241" i="9"/>
  <c r="J785" i="1"/>
  <c r="D113" i="9"/>
  <c r="J756" i="1"/>
  <c r="F241" i="9"/>
  <c r="J786" i="1"/>
  <c r="F517" i="1"/>
  <c r="E85" i="9"/>
  <c r="C512" i="1"/>
  <c r="G512" i="1" s="1"/>
  <c r="C684" i="1"/>
  <c r="C67" i="1"/>
  <c r="C71" i="1" s="1"/>
  <c r="CE52" i="1"/>
  <c r="D273" i="9"/>
  <c r="J791" i="1"/>
  <c r="J746" i="1"/>
  <c r="H49" i="9"/>
  <c r="G277" i="9"/>
  <c r="C556" i="1"/>
  <c r="C635" i="1"/>
  <c r="D209" i="9"/>
  <c r="J777" i="1"/>
  <c r="J745" i="1"/>
  <c r="G49" i="9"/>
  <c r="C209" i="9"/>
  <c r="J776" i="1"/>
  <c r="J802" i="1"/>
  <c r="H305" i="9"/>
  <c r="F209" i="9"/>
  <c r="J779" i="1"/>
  <c r="J757" i="1"/>
  <c r="E113" i="9"/>
  <c r="G81" i="9"/>
  <c r="J752" i="1"/>
  <c r="H337" i="9"/>
  <c r="J809" i="1"/>
  <c r="J755" i="1"/>
  <c r="C113" i="9"/>
  <c r="J742" i="1"/>
  <c r="D49" i="9"/>
  <c r="G273" i="9"/>
  <c r="J794" i="1"/>
  <c r="J761" i="1"/>
  <c r="I113" i="9"/>
  <c r="J783" i="1"/>
  <c r="C241" i="9"/>
  <c r="J754" i="1"/>
  <c r="I81" i="9"/>
  <c r="J760" i="1"/>
  <c r="H113" i="9"/>
  <c r="D241" i="9"/>
  <c r="J784" i="1"/>
  <c r="D81" i="9"/>
  <c r="J749" i="1"/>
  <c r="E209" i="9"/>
  <c r="J778" i="1"/>
  <c r="J795" i="1"/>
  <c r="H273" i="9"/>
  <c r="J793" i="1"/>
  <c r="F273" i="9"/>
  <c r="J736" i="1"/>
  <c r="E17" i="9"/>
  <c r="J792" i="1"/>
  <c r="E273" i="9"/>
  <c r="J748" i="1"/>
  <c r="C81" i="9"/>
  <c r="C633" i="1"/>
  <c r="F245" i="9"/>
  <c r="C548" i="1"/>
  <c r="J804" i="1"/>
  <c r="C337" i="9"/>
  <c r="J775" i="1"/>
  <c r="I177" i="9"/>
  <c r="G145" i="9"/>
  <c r="J766" i="1"/>
  <c r="J812" i="1"/>
  <c r="D369" i="9"/>
  <c r="J743" i="1"/>
  <c r="E49" i="9"/>
  <c r="E81" i="9"/>
  <c r="J750" i="1"/>
  <c r="J773" i="1"/>
  <c r="G177" i="9"/>
  <c r="C571" i="1"/>
  <c r="C646" i="1"/>
  <c r="H341" i="9"/>
  <c r="F515" i="1"/>
  <c r="F522" i="1"/>
  <c r="F510" i="1"/>
  <c r="F513" i="1"/>
  <c r="H513" i="1"/>
  <c r="F538" i="1"/>
  <c r="H538" i="1"/>
  <c r="F534" i="1"/>
  <c r="H534" i="1"/>
  <c r="H502" i="1"/>
  <c r="F502" i="1"/>
  <c r="H504" i="1"/>
  <c r="F504" i="1"/>
  <c r="H530" i="1"/>
  <c r="F530" i="1"/>
  <c r="F512" i="1"/>
  <c r="F526" i="1"/>
  <c r="H526" i="1" s="1"/>
  <c r="F503" i="1"/>
  <c r="H503" i="1"/>
  <c r="F508" i="1"/>
  <c r="H508" i="1" s="1"/>
  <c r="F514" i="1"/>
  <c r="F507" i="1"/>
  <c r="F518" i="1"/>
  <c r="F546" i="1"/>
  <c r="F506" i="1"/>
  <c r="F500" i="1"/>
  <c r="F509" i="1"/>
  <c r="F117" i="9" l="1"/>
  <c r="C573" i="1"/>
  <c r="C373" i="9"/>
  <c r="C559" i="1"/>
  <c r="C309" i="9"/>
  <c r="C614" i="1"/>
  <c r="D615" i="1" s="1"/>
  <c r="C542" i="1"/>
  <c r="C529" i="1"/>
  <c r="G529" i="1" s="1"/>
  <c r="H149" i="9"/>
  <c r="C692" i="1"/>
  <c r="H546" i="1"/>
  <c r="D181" i="9"/>
  <c r="H520" i="1"/>
  <c r="D21" i="9"/>
  <c r="C669" i="1"/>
  <c r="H497" i="1"/>
  <c r="H510" i="1"/>
  <c r="C685" i="1"/>
  <c r="C562" i="1"/>
  <c r="I149" i="9"/>
  <c r="F85" i="9"/>
  <c r="C671" i="1"/>
  <c r="C623" i="1"/>
  <c r="C530" i="1"/>
  <c r="G530" i="1" s="1"/>
  <c r="C521" i="1"/>
  <c r="G521" i="1" s="1"/>
  <c r="I53" i="9"/>
  <c r="C704" i="1"/>
  <c r="F341" i="9"/>
  <c r="C567" i="1"/>
  <c r="H506" i="1"/>
  <c r="C569" i="1"/>
  <c r="C525" i="1"/>
  <c r="G525" i="1" s="1"/>
  <c r="C678" i="1"/>
  <c r="H518" i="1"/>
  <c r="H245" i="9"/>
  <c r="C544" i="1"/>
  <c r="G544" i="1" s="1"/>
  <c r="C631" i="1"/>
  <c r="C625" i="1"/>
  <c r="C681" i="1"/>
  <c r="D149" i="9"/>
  <c r="F53" i="9"/>
  <c r="C693" i="1"/>
  <c r="D309" i="9"/>
  <c r="C626" i="1"/>
  <c r="G21" i="9"/>
  <c r="C627" i="1"/>
  <c r="C642" i="1"/>
  <c r="H498" i="1"/>
  <c r="C705" i="1"/>
  <c r="H516" i="1"/>
  <c r="C624" i="1"/>
  <c r="G341" i="9"/>
  <c r="C533" i="1"/>
  <c r="G533" i="1" s="1"/>
  <c r="G245" i="9"/>
  <c r="C645" i="1"/>
  <c r="H213" i="9"/>
  <c r="C515" i="1"/>
  <c r="H85" i="9"/>
  <c r="C687" i="1"/>
  <c r="F21" i="9"/>
  <c r="C527" i="1"/>
  <c r="G527" i="1" s="1"/>
  <c r="F149" i="9"/>
  <c r="C629" i="1"/>
  <c r="C551" i="1"/>
  <c r="I245" i="9"/>
  <c r="H21" i="9"/>
  <c r="C673" i="1"/>
  <c r="C501" i="1"/>
  <c r="G501" i="1" s="1"/>
  <c r="C672" i="1"/>
  <c r="C638" i="1"/>
  <c r="C558" i="1"/>
  <c r="G524" i="1"/>
  <c r="H524" i="1" s="1"/>
  <c r="H500" i="1"/>
  <c r="H507" i="1"/>
  <c r="D393" i="1"/>
  <c r="C146" i="8" s="1"/>
  <c r="H522" i="1"/>
  <c r="H511" i="1"/>
  <c r="H512" i="1"/>
  <c r="H514" i="1"/>
  <c r="H517" i="1"/>
  <c r="I364" i="9"/>
  <c r="C428" i="1"/>
  <c r="E816" i="1"/>
  <c r="H509" i="1"/>
  <c r="C496" i="1"/>
  <c r="C21" i="9"/>
  <c r="C668" i="1"/>
  <c r="G550" i="1"/>
  <c r="H550" i="1" s="1"/>
  <c r="G499" i="1"/>
  <c r="H499" i="1"/>
  <c r="E612" i="10"/>
  <c r="D715" i="10"/>
  <c r="E623" i="10"/>
  <c r="J734" i="1"/>
  <c r="J815" i="1" s="1"/>
  <c r="CE67" i="1"/>
  <c r="CE71" i="1" s="1"/>
  <c r="C17" i="9"/>
  <c r="J733" i="10"/>
  <c r="J814" i="10" s="1"/>
  <c r="F545" i="1"/>
  <c r="H545" i="1" s="1"/>
  <c r="H525" i="1"/>
  <c r="F525" i="1"/>
  <c r="F529" i="1"/>
  <c r="F521" i="1"/>
  <c r="F535" i="1"/>
  <c r="H535" i="1" s="1"/>
  <c r="H533" i="1"/>
  <c r="F533" i="1"/>
  <c r="Z733" i="10"/>
  <c r="H527" i="1"/>
  <c r="F527" i="1"/>
  <c r="F539" i="1"/>
  <c r="H539" i="1"/>
  <c r="F519" i="1"/>
  <c r="H519" i="1" s="1"/>
  <c r="F523" i="1"/>
  <c r="H523" i="1"/>
  <c r="F537" i="1"/>
  <c r="H537" i="1"/>
  <c r="F531" i="1"/>
  <c r="H531" i="1"/>
  <c r="H529" i="1" l="1"/>
  <c r="H521" i="1"/>
  <c r="C648" i="1"/>
  <c r="M716" i="1" s="1"/>
  <c r="Y816" i="1" s="1"/>
  <c r="G515" i="1"/>
  <c r="H515" i="1"/>
  <c r="D396" i="1"/>
  <c r="C151" i="8" s="1"/>
  <c r="D629" i="1"/>
  <c r="D671" i="1"/>
  <c r="D620" i="1"/>
  <c r="D634" i="1"/>
  <c r="D669" i="1"/>
  <c r="D638" i="1"/>
  <c r="D691" i="1"/>
  <c r="D703" i="1"/>
  <c r="D673" i="1"/>
  <c r="D670" i="1"/>
  <c r="D677" i="1"/>
  <c r="D627" i="1"/>
  <c r="D640" i="1"/>
  <c r="D621" i="1"/>
  <c r="D689" i="1"/>
  <c r="D712" i="1"/>
  <c r="D701" i="1"/>
  <c r="D678" i="1"/>
  <c r="D696" i="1"/>
  <c r="D647" i="1"/>
  <c r="D672" i="1"/>
  <c r="D710" i="1"/>
  <c r="D626" i="1"/>
  <c r="D668" i="1"/>
  <c r="D641" i="1"/>
  <c r="D680" i="1"/>
  <c r="D633" i="1"/>
  <c r="D643" i="1"/>
  <c r="D646" i="1"/>
  <c r="D619" i="1"/>
  <c r="D708" i="1"/>
  <c r="D695" i="1"/>
  <c r="D688" i="1"/>
  <c r="D683" i="1"/>
  <c r="D679" i="1"/>
  <c r="D624" i="1"/>
  <c r="D693" i="1"/>
  <c r="D625" i="1"/>
  <c r="D618" i="1"/>
  <c r="D681" i="1"/>
  <c r="D687" i="1"/>
  <c r="D644" i="1"/>
  <c r="D692" i="1"/>
  <c r="D645" i="1"/>
  <c r="D622" i="1"/>
  <c r="D704" i="1"/>
  <c r="D700" i="1"/>
  <c r="D639" i="1"/>
  <c r="D623" i="1"/>
  <c r="D628" i="1"/>
  <c r="D686" i="1"/>
  <c r="D705" i="1"/>
  <c r="D699" i="1"/>
  <c r="D711" i="1"/>
  <c r="D675" i="1"/>
  <c r="D631" i="1"/>
  <c r="D630" i="1"/>
  <c r="D706" i="1"/>
  <c r="D682" i="1"/>
  <c r="D676" i="1"/>
  <c r="D637" i="1"/>
  <c r="D684" i="1"/>
  <c r="D632" i="1"/>
  <c r="D642" i="1"/>
  <c r="D617" i="1"/>
  <c r="D674" i="1"/>
  <c r="D697" i="1"/>
  <c r="D716" i="1"/>
  <c r="D685" i="1"/>
  <c r="D709" i="1"/>
  <c r="D690" i="1"/>
  <c r="D636" i="1"/>
  <c r="D707" i="1"/>
  <c r="D702" i="1"/>
  <c r="D713" i="1"/>
  <c r="D694" i="1"/>
  <c r="D698" i="1"/>
  <c r="D616" i="1"/>
  <c r="D635" i="1"/>
  <c r="C716" i="1"/>
  <c r="I373" i="9"/>
  <c r="C715" i="1"/>
  <c r="G496" i="1"/>
  <c r="H496" i="1" s="1"/>
  <c r="E716" i="10"/>
  <c r="E713" i="10"/>
  <c r="E709" i="10"/>
  <c r="E705" i="10"/>
  <c r="E701" i="10"/>
  <c r="E697" i="10"/>
  <c r="E693" i="10"/>
  <c r="E689" i="10"/>
  <c r="E685" i="10"/>
  <c r="E700" i="10"/>
  <c r="E699" i="10"/>
  <c r="E698" i="10"/>
  <c r="E682" i="10"/>
  <c r="E678" i="10"/>
  <c r="E712" i="10"/>
  <c r="E711" i="10"/>
  <c r="E710" i="10"/>
  <c r="E696" i="10"/>
  <c r="E695" i="10"/>
  <c r="E694" i="10"/>
  <c r="E683" i="10"/>
  <c r="E708" i="10"/>
  <c r="E707" i="10"/>
  <c r="E706" i="10"/>
  <c r="E692" i="10"/>
  <c r="E691" i="10"/>
  <c r="E690" i="10"/>
  <c r="E684" i="10"/>
  <c r="E680" i="10"/>
  <c r="E676" i="10"/>
  <c r="E687" i="10"/>
  <c r="E673" i="10"/>
  <c r="E669" i="10"/>
  <c r="E627" i="10"/>
  <c r="E704" i="10"/>
  <c r="E702" i="10"/>
  <c r="E677" i="10"/>
  <c r="E674" i="10"/>
  <c r="E688" i="10"/>
  <c r="E686" i="10"/>
  <c r="E679" i="10"/>
  <c r="E675" i="10"/>
  <c r="E671" i="10"/>
  <c r="E644" i="10"/>
  <c r="E643" i="10"/>
  <c r="E642" i="10"/>
  <c r="E641" i="10"/>
  <c r="E640" i="10"/>
  <c r="E639" i="10"/>
  <c r="E638" i="10"/>
  <c r="E637" i="10"/>
  <c r="E636" i="10"/>
  <c r="E635" i="10"/>
  <c r="E634" i="10"/>
  <c r="E633" i="10"/>
  <c r="E632" i="10"/>
  <c r="E631" i="10"/>
  <c r="E630" i="10"/>
  <c r="E625" i="10"/>
  <c r="E624" i="10"/>
  <c r="E670" i="10"/>
  <c r="E647" i="10"/>
  <c r="E646" i="10"/>
  <c r="E645" i="10"/>
  <c r="E629" i="10"/>
  <c r="E626" i="10"/>
  <c r="E703" i="10"/>
  <c r="E681" i="10"/>
  <c r="E672" i="10"/>
  <c r="E668" i="10"/>
  <c r="E628" i="10"/>
  <c r="C433" i="1"/>
  <c r="C441" i="1" s="1"/>
  <c r="J816" i="1"/>
  <c r="I369" i="9"/>
  <c r="J815" i="10"/>
  <c r="E623" i="1" l="1"/>
  <c r="E716" i="1" s="1"/>
  <c r="E612" i="1"/>
  <c r="D715" i="1"/>
  <c r="E715" i="10"/>
  <c r="F624" i="10"/>
  <c r="E638" i="1" l="1"/>
  <c r="E669" i="1"/>
  <c r="E706" i="1"/>
  <c r="E680" i="1"/>
  <c r="E640" i="1"/>
  <c r="E641" i="1"/>
  <c r="E702" i="1"/>
  <c r="E677" i="1"/>
  <c r="E690" i="1"/>
  <c r="E711" i="1"/>
  <c r="E647" i="1"/>
  <c r="E630" i="1"/>
  <c r="E709" i="1"/>
  <c r="E634" i="1"/>
  <c r="E684" i="1"/>
  <c r="E683" i="1"/>
  <c r="E627" i="1"/>
  <c r="E703" i="1"/>
  <c r="E674" i="1"/>
  <c r="E626" i="1"/>
  <c r="E642" i="1"/>
  <c r="E695" i="1"/>
  <c r="E681" i="1"/>
  <c r="E692" i="1"/>
  <c r="E686" i="1"/>
  <c r="E685" i="1"/>
  <c r="E646" i="1"/>
  <c r="E705" i="1"/>
  <c r="E688" i="1"/>
  <c r="E698" i="1"/>
  <c r="E697" i="1"/>
  <c r="E701" i="1"/>
  <c r="E707" i="1"/>
  <c r="E673" i="1"/>
  <c r="E628" i="1"/>
  <c r="E694" i="1"/>
  <c r="E668" i="1"/>
  <c r="E639" i="1"/>
  <c r="E625" i="1"/>
  <c r="E689" i="1"/>
  <c r="E676" i="1"/>
  <c r="E700" i="1"/>
  <c r="E643" i="1"/>
  <c r="E710" i="1"/>
  <c r="E713" i="1"/>
  <c r="E671" i="1"/>
  <c r="E675" i="1"/>
  <c r="E687" i="1"/>
  <c r="E645" i="1"/>
  <c r="E624" i="1"/>
  <c r="F624" i="1" s="1"/>
  <c r="E693" i="1"/>
  <c r="E679" i="1"/>
  <c r="E629" i="1"/>
  <c r="E636" i="1"/>
  <c r="E670" i="1"/>
  <c r="E644" i="1"/>
  <c r="E672" i="1"/>
  <c r="E699" i="1"/>
  <c r="E637" i="1"/>
  <c r="E678" i="1"/>
  <c r="E635" i="1"/>
  <c r="E691" i="1"/>
  <c r="E632" i="1"/>
  <c r="E708" i="1"/>
  <c r="E704" i="1"/>
  <c r="E696" i="1"/>
  <c r="E631" i="1"/>
  <c r="E633" i="1"/>
  <c r="E682" i="1"/>
  <c r="E712" i="1"/>
  <c r="F710" i="10"/>
  <c r="F706" i="10"/>
  <c r="F702" i="10"/>
  <c r="F698" i="10"/>
  <c r="F694" i="10"/>
  <c r="F690" i="10"/>
  <c r="F686" i="10"/>
  <c r="F713" i="10"/>
  <c r="F712" i="10"/>
  <c r="F711" i="10"/>
  <c r="F697" i="10"/>
  <c r="F696" i="10"/>
  <c r="F695" i="10"/>
  <c r="F683" i="10"/>
  <c r="F679" i="10"/>
  <c r="F716" i="10"/>
  <c r="F709" i="10"/>
  <c r="F708" i="10"/>
  <c r="F707" i="10"/>
  <c r="F693" i="10"/>
  <c r="F692" i="10"/>
  <c r="F691" i="10"/>
  <c r="F684" i="10"/>
  <c r="F680" i="10"/>
  <c r="F705" i="10"/>
  <c r="F704" i="10"/>
  <c r="F703" i="10"/>
  <c r="F689" i="10"/>
  <c r="F688" i="10"/>
  <c r="F687" i="10"/>
  <c r="F681" i="10"/>
  <c r="F677" i="10"/>
  <c r="F685" i="10"/>
  <c r="F682" i="10"/>
  <c r="F674" i="10"/>
  <c r="F670" i="10"/>
  <c r="F647" i="10"/>
  <c r="F646" i="10"/>
  <c r="F645" i="10"/>
  <c r="F629" i="10"/>
  <c r="F626" i="10"/>
  <c r="F700" i="10"/>
  <c r="F675" i="10"/>
  <c r="F671" i="10"/>
  <c r="F672" i="10"/>
  <c r="F668" i="10"/>
  <c r="F628" i="10"/>
  <c r="F678" i="10"/>
  <c r="F644" i="10"/>
  <c r="F643" i="10"/>
  <c r="F642" i="10"/>
  <c r="F641" i="10"/>
  <c r="F640" i="10"/>
  <c r="F639" i="10"/>
  <c r="F638" i="10"/>
  <c r="F637" i="10"/>
  <c r="F636" i="10"/>
  <c r="F635" i="10"/>
  <c r="F634" i="10"/>
  <c r="F633" i="10"/>
  <c r="F632" i="10"/>
  <c r="F631" i="10"/>
  <c r="F630" i="10"/>
  <c r="F669" i="10"/>
  <c r="F627" i="10"/>
  <c r="F701" i="10"/>
  <c r="F625" i="10"/>
  <c r="F699" i="10"/>
  <c r="F676" i="10"/>
  <c r="F673" i="10"/>
  <c r="F696" i="1" l="1"/>
  <c r="F695" i="1"/>
  <c r="F638" i="1"/>
  <c r="F697" i="1"/>
  <c r="F641" i="1"/>
  <c r="F626" i="1"/>
  <c r="F678" i="1"/>
  <c r="F635" i="1"/>
  <c r="F716" i="1"/>
  <c r="F700" i="1"/>
  <c r="F680" i="1"/>
  <c r="F625" i="1"/>
  <c r="F679" i="1"/>
  <c r="F690" i="1"/>
  <c r="F627" i="1"/>
  <c r="F708" i="1"/>
  <c r="F702" i="1"/>
  <c r="F640" i="1"/>
  <c r="F706" i="1"/>
  <c r="F710" i="1"/>
  <c r="F668" i="1"/>
  <c r="F693" i="1"/>
  <c r="F672" i="1"/>
  <c r="F694" i="1"/>
  <c r="F673" i="1"/>
  <c r="F675" i="1"/>
  <c r="F713" i="1"/>
  <c r="F689" i="1"/>
  <c r="F703" i="1"/>
  <c r="F630" i="1"/>
  <c r="F647" i="1"/>
  <c r="F709" i="1"/>
  <c r="F692" i="1"/>
  <c r="F699" i="1"/>
  <c r="F631" i="1"/>
  <c r="F646" i="1"/>
  <c r="F691" i="1"/>
  <c r="F670" i="1"/>
  <c r="F628" i="1"/>
  <c r="F629" i="1"/>
  <c r="F637" i="1"/>
  <c r="F677" i="1"/>
  <c r="F705" i="1"/>
  <c r="F634" i="1"/>
  <c r="F683" i="1"/>
  <c r="F676" i="1"/>
  <c r="F707" i="1"/>
  <c r="F712" i="1"/>
  <c r="F669" i="1"/>
  <c r="F681" i="1"/>
  <c r="F701" i="1"/>
  <c r="F682" i="1"/>
  <c r="F687" i="1"/>
  <c r="F632" i="1"/>
  <c r="F685" i="1"/>
  <c r="F688" i="1"/>
  <c r="F686" i="1"/>
  <c r="F674" i="1"/>
  <c r="F645" i="1"/>
  <c r="F642" i="1"/>
  <c r="F704" i="1"/>
  <c r="F633" i="1"/>
  <c r="F698" i="1"/>
  <c r="F684" i="1"/>
  <c r="F671" i="1"/>
  <c r="F636" i="1"/>
  <c r="F644" i="1"/>
  <c r="F643" i="1"/>
  <c r="F711" i="1"/>
  <c r="F639" i="1"/>
  <c r="E715" i="1"/>
  <c r="F715" i="10"/>
  <c r="G625" i="10"/>
  <c r="F715" i="1" l="1"/>
  <c r="G625" i="1"/>
  <c r="G716" i="10"/>
  <c r="G711" i="10"/>
  <c r="G707" i="10"/>
  <c r="G703" i="10"/>
  <c r="G699" i="10"/>
  <c r="G695" i="10"/>
  <c r="G691" i="10"/>
  <c r="G687" i="10"/>
  <c r="G710" i="10"/>
  <c r="G709" i="10"/>
  <c r="G708" i="10"/>
  <c r="G694" i="10"/>
  <c r="G693" i="10"/>
  <c r="G692" i="10"/>
  <c r="G684" i="10"/>
  <c r="G680" i="10"/>
  <c r="G706" i="10"/>
  <c r="G705" i="10"/>
  <c r="G704" i="10"/>
  <c r="G690" i="10"/>
  <c r="G689" i="10"/>
  <c r="G688" i="10"/>
  <c r="G681" i="10"/>
  <c r="G702" i="10"/>
  <c r="G701" i="10"/>
  <c r="G700" i="10"/>
  <c r="G686" i="10"/>
  <c r="G685" i="10"/>
  <c r="G682" i="10"/>
  <c r="G678" i="10"/>
  <c r="G712" i="10"/>
  <c r="G677" i="10"/>
  <c r="G675" i="10"/>
  <c r="G671" i="10"/>
  <c r="G644" i="10"/>
  <c r="G643" i="10"/>
  <c r="G642" i="10"/>
  <c r="G641" i="10"/>
  <c r="G640" i="10"/>
  <c r="G639" i="10"/>
  <c r="G638" i="10"/>
  <c r="G637" i="10"/>
  <c r="G636" i="10"/>
  <c r="G635" i="10"/>
  <c r="G634" i="10"/>
  <c r="G633" i="10"/>
  <c r="G632" i="10"/>
  <c r="G631" i="10"/>
  <c r="G630" i="10"/>
  <c r="G698" i="10"/>
  <c r="G696" i="10"/>
  <c r="G683" i="10"/>
  <c r="G679" i="10"/>
  <c r="G672" i="10"/>
  <c r="G713" i="10"/>
  <c r="G676" i="10"/>
  <c r="G673" i="10"/>
  <c r="G669" i="10"/>
  <c r="G627" i="10"/>
  <c r="G697" i="10"/>
  <c r="G674" i="10"/>
  <c r="G668" i="10"/>
  <c r="G628" i="10"/>
  <c r="G645" i="10"/>
  <c r="G670" i="10"/>
  <c r="G647" i="10"/>
  <c r="G626" i="10"/>
  <c r="G646" i="10"/>
  <c r="G629" i="10"/>
  <c r="G647" i="1" l="1"/>
  <c r="G676" i="1"/>
  <c r="G638" i="1"/>
  <c r="G712" i="1"/>
  <c r="G696" i="1"/>
  <c r="G635" i="1"/>
  <c r="G672" i="1"/>
  <c r="G682" i="1"/>
  <c r="G630" i="1"/>
  <c r="G691" i="1"/>
  <c r="G695" i="1"/>
  <c r="G694" i="1"/>
  <c r="G626" i="1"/>
  <c r="G713" i="1"/>
  <c r="G631" i="1"/>
  <c r="G687" i="1"/>
  <c r="G645" i="1"/>
  <c r="G675" i="1"/>
  <c r="G700" i="1"/>
  <c r="G699" i="1"/>
  <c r="G677" i="1"/>
  <c r="G706" i="1"/>
  <c r="G637" i="1"/>
  <c r="G642" i="1"/>
  <c r="G681" i="1"/>
  <c r="G671" i="1"/>
  <c r="G707" i="1"/>
  <c r="G680" i="1"/>
  <c r="G679" i="1"/>
  <c r="G709" i="1"/>
  <c r="G670" i="1"/>
  <c r="G690" i="1"/>
  <c r="G640" i="1"/>
  <c r="G641" i="1"/>
  <c r="G704" i="1"/>
  <c r="G628" i="1"/>
  <c r="G633" i="1"/>
  <c r="G673" i="1"/>
  <c r="G636" i="1"/>
  <c r="G708" i="1"/>
  <c r="G639" i="1"/>
  <c r="G644" i="1"/>
  <c r="G697" i="1"/>
  <c r="G683" i="1"/>
  <c r="G634" i="1"/>
  <c r="G678" i="1"/>
  <c r="G703" i="1"/>
  <c r="G668" i="1"/>
  <c r="G669" i="1"/>
  <c r="G711" i="1"/>
  <c r="G627" i="1"/>
  <c r="G701" i="1"/>
  <c r="G632" i="1"/>
  <c r="G686" i="1"/>
  <c r="G684" i="1"/>
  <c r="G688" i="1"/>
  <c r="G710" i="1"/>
  <c r="G716" i="1"/>
  <c r="G674" i="1"/>
  <c r="G698" i="1"/>
  <c r="G693" i="1"/>
  <c r="G643" i="1"/>
  <c r="G692" i="1"/>
  <c r="G705" i="1"/>
  <c r="G689" i="1"/>
  <c r="G629" i="1"/>
  <c r="G646" i="1"/>
  <c r="G702" i="1"/>
  <c r="G685" i="1"/>
  <c r="G715" i="10"/>
  <c r="H628" i="10"/>
  <c r="G715" i="1" l="1"/>
  <c r="H628" i="1"/>
  <c r="H716" i="10"/>
  <c r="H712" i="10"/>
  <c r="H708" i="10"/>
  <c r="H704" i="10"/>
  <c r="H700" i="10"/>
  <c r="H696" i="10"/>
  <c r="H692" i="10"/>
  <c r="H688" i="10"/>
  <c r="H707" i="10"/>
  <c r="H706" i="10"/>
  <c r="H705" i="10"/>
  <c r="H691" i="10"/>
  <c r="H690" i="10"/>
  <c r="H689" i="10"/>
  <c r="H681" i="10"/>
  <c r="H677" i="10"/>
  <c r="H703" i="10"/>
  <c r="H702" i="10"/>
  <c r="H701" i="10"/>
  <c r="H687" i="10"/>
  <c r="H686" i="10"/>
  <c r="H685" i="10"/>
  <c r="H682" i="10"/>
  <c r="H713" i="10"/>
  <c r="H699" i="10"/>
  <c r="H698" i="10"/>
  <c r="H697" i="10"/>
  <c r="H683" i="10"/>
  <c r="H679" i="10"/>
  <c r="H710" i="10"/>
  <c r="H672" i="10"/>
  <c r="H668" i="10"/>
  <c r="H694" i="10"/>
  <c r="H680" i="10"/>
  <c r="H676" i="10"/>
  <c r="H673" i="10"/>
  <c r="H711" i="10"/>
  <c r="H709" i="10"/>
  <c r="H684" i="10"/>
  <c r="H678" i="10"/>
  <c r="H674" i="10"/>
  <c r="H670" i="10"/>
  <c r="H647" i="10"/>
  <c r="H646" i="10"/>
  <c r="H645" i="10"/>
  <c r="H629" i="10"/>
  <c r="H671" i="10"/>
  <c r="H669" i="10"/>
  <c r="H695" i="10"/>
  <c r="H675" i="10"/>
  <c r="H693" i="10"/>
  <c r="H644" i="10"/>
  <c r="H640" i="10"/>
  <c r="H636" i="10"/>
  <c r="H632" i="10"/>
  <c r="H643" i="10"/>
  <c r="H639" i="10"/>
  <c r="H635" i="10"/>
  <c r="H631" i="10"/>
  <c r="H637" i="10"/>
  <c r="H642" i="10"/>
  <c r="H638" i="10"/>
  <c r="H634" i="10"/>
  <c r="H630" i="10"/>
  <c r="H641" i="10"/>
  <c r="H633" i="10"/>
  <c r="H671" i="1" l="1"/>
  <c r="H646" i="1"/>
  <c r="H707" i="1"/>
  <c r="H695" i="1"/>
  <c r="H681" i="1"/>
  <c r="H642" i="1"/>
  <c r="H678" i="1"/>
  <c r="H639" i="1"/>
  <c r="H698" i="1"/>
  <c r="H644" i="1"/>
  <c r="H694" i="1"/>
  <c r="H670" i="1"/>
  <c r="H672" i="1"/>
  <c r="H669" i="1"/>
  <c r="H632" i="1"/>
  <c r="H699" i="1"/>
  <c r="H713" i="1"/>
  <c r="H686" i="1"/>
  <c r="H712" i="1"/>
  <c r="H690" i="1"/>
  <c r="H638" i="1"/>
  <c r="H710" i="1"/>
  <c r="H641" i="1"/>
  <c r="H676" i="1"/>
  <c r="H636" i="1"/>
  <c r="H637" i="1"/>
  <c r="H682" i="1"/>
  <c r="H680" i="1"/>
  <c r="H677" i="1"/>
  <c r="H635" i="1"/>
  <c r="H675" i="1"/>
  <c r="H674" i="1"/>
  <c r="H684" i="1"/>
  <c r="H711" i="1"/>
  <c r="H689" i="1"/>
  <c r="H679" i="1"/>
  <c r="H697" i="1"/>
  <c r="H630" i="1"/>
  <c r="H687" i="1"/>
  <c r="H631" i="1"/>
  <c r="H706" i="1"/>
  <c r="H716" i="1"/>
  <c r="H705" i="1"/>
  <c r="H633" i="1"/>
  <c r="H629" i="1"/>
  <c r="H647" i="1"/>
  <c r="H701" i="1"/>
  <c r="H693" i="1"/>
  <c r="H703" i="1"/>
  <c r="H709" i="1"/>
  <c r="H702" i="1"/>
  <c r="H673" i="1"/>
  <c r="H704" i="1"/>
  <c r="H692" i="1"/>
  <c r="H640" i="1"/>
  <c r="H634" i="1"/>
  <c r="H696" i="1"/>
  <c r="H643" i="1"/>
  <c r="H688" i="1"/>
  <c r="H708" i="1"/>
  <c r="H645" i="1"/>
  <c r="H683" i="1"/>
  <c r="H700" i="1"/>
  <c r="H685" i="1"/>
  <c r="H668" i="1"/>
  <c r="H691" i="1"/>
  <c r="H715" i="10"/>
  <c r="I629" i="10"/>
  <c r="H715" i="1" l="1"/>
  <c r="I629" i="1"/>
  <c r="I716" i="10"/>
  <c r="I713" i="10"/>
  <c r="I709" i="10"/>
  <c r="I705" i="10"/>
  <c r="I701" i="10"/>
  <c r="I697" i="10"/>
  <c r="I693" i="10"/>
  <c r="I689" i="10"/>
  <c r="I685" i="10"/>
  <c r="I704" i="10"/>
  <c r="I703" i="10"/>
  <c r="I702" i="10"/>
  <c r="I688" i="10"/>
  <c r="I687" i="10"/>
  <c r="I686" i="10"/>
  <c r="I682" i="10"/>
  <c r="I678" i="10"/>
  <c r="I700" i="10"/>
  <c r="I699" i="10"/>
  <c r="I698" i="10"/>
  <c r="I683" i="10"/>
  <c r="I712" i="10"/>
  <c r="I711" i="10"/>
  <c r="I710" i="10"/>
  <c r="I696" i="10"/>
  <c r="I695" i="10"/>
  <c r="I694" i="10"/>
  <c r="I684" i="10"/>
  <c r="I680" i="10"/>
  <c r="I676" i="10"/>
  <c r="I708" i="10"/>
  <c r="I706" i="10"/>
  <c r="I679" i="10"/>
  <c r="I673" i="10"/>
  <c r="I669" i="10"/>
  <c r="I692" i="10"/>
  <c r="I690" i="10"/>
  <c r="I674" i="10"/>
  <c r="I670" i="10"/>
  <c r="I707" i="10"/>
  <c r="I681" i="10"/>
  <c r="I675" i="10"/>
  <c r="I671" i="10"/>
  <c r="I644" i="10"/>
  <c r="I643" i="10"/>
  <c r="I642" i="10"/>
  <c r="I641" i="10"/>
  <c r="I640" i="10"/>
  <c r="I639" i="10"/>
  <c r="I638" i="10"/>
  <c r="I637" i="10"/>
  <c r="I636" i="10"/>
  <c r="I635" i="10"/>
  <c r="I634" i="10"/>
  <c r="I633" i="10"/>
  <c r="I632" i="10"/>
  <c r="I631" i="10"/>
  <c r="I630" i="10"/>
  <c r="I677" i="10"/>
  <c r="I672" i="10"/>
  <c r="I668" i="10"/>
  <c r="I647" i="10"/>
  <c r="I646" i="10"/>
  <c r="I645" i="10"/>
  <c r="I691" i="10"/>
  <c r="I699" i="1" l="1"/>
  <c r="I688" i="1"/>
  <c r="I701" i="1"/>
  <c r="I632" i="1"/>
  <c r="I703" i="1"/>
  <c r="I687" i="1"/>
  <c r="I671" i="1"/>
  <c r="I707" i="1"/>
  <c r="I674" i="1"/>
  <c r="I708" i="1"/>
  <c r="I692" i="1"/>
  <c r="I676" i="1"/>
  <c r="I640" i="1"/>
  <c r="I630" i="1"/>
  <c r="I683" i="1"/>
  <c r="I702" i="1"/>
  <c r="I646" i="1"/>
  <c r="I675" i="1"/>
  <c r="I686" i="1"/>
  <c r="I631" i="1"/>
  <c r="I635" i="1"/>
  <c r="I644" i="1"/>
  <c r="I695" i="1"/>
  <c r="I643" i="1"/>
  <c r="I633" i="1"/>
  <c r="I689" i="1"/>
  <c r="I645" i="1"/>
  <c r="I642" i="1"/>
  <c r="I684" i="1"/>
  <c r="I693" i="1"/>
  <c r="I636" i="1"/>
  <c r="I697" i="1"/>
  <c r="I673" i="1"/>
  <c r="I700" i="1"/>
  <c r="I691" i="1"/>
  <c r="I698" i="1"/>
  <c r="I679" i="1"/>
  <c r="I668" i="1"/>
  <c r="I682" i="1"/>
  <c r="I710" i="1"/>
  <c r="I706" i="1"/>
  <c r="I669" i="1"/>
  <c r="I704" i="1"/>
  <c r="I637" i="1"/>
  <c r="I647" i="1"/>
  <c r="I672" i="1"/>
  <c r="I709" i="1"/>
  <c r="I716" i="1"/>
  <c r="I641" i="1"/>
  <c r="I638" i="1"/>
  <c r="I678" i="1"/>
  <c r="I681" i="1"/>
  <c r="I694" i="1"/>
  <c r="I685" i="1"/>
  <c r="I696" i="1"/>
  <c r="I705" i="1"/>
  <c r="I711" i="1"/>
  <c r="I690" i="1"/>
  <c r="I680" i="1"/>
  <c r="I712" i="1"/>
  <c r="I634" i="1"/>
  <c r="I713" i="1"/>
  <c r="I670" i="1"/>
  <c r="I639" i="1"/>
  <c r="I677" i="1"/>
  <c r="I715" i="10"/>
  <c r="J630" i="10"/>
  <c r="I715" i="1" l="1"/>
  <c r="J630" i="1"/>
  <c r="J710" i="10"/>
  <c r="J706" i="10"/>
  <c r="J702" i="10"/>
  <c r="J698" i="10"/>
  <c r="J694" i="10"/>
  <c r="J690" i="10"/>
  <c r="J686" i="10"/>
  <c r="J716" i="10"/>
  <c r="J701" i="10"/>
  <c r="J700" i="10"/>
  <c r="J699" i="10"/>
  <c r="J685" i="10"/>
  <c r="J683" i="10"/>
  <c r="J679" i="10"/>
  <c r="J713" i="10"/>
  <c r="J712" i="10"/>
  <c r="J711" i="10"/>
  <c r="J697" i="10"/>
  <c r="J696" i="10"/>
  <c r="J695" i="10"/>
  <c r="J684" i="10"/>
  <c r="J680" i="10"/>
  <c r="J709" i="10"/>
  <c r="J708" i="10"/>
  <c r="J707" i="10"/>
  <c r="J693" i="10"/>
  <c r="J692" i="10"/>
  <c r="J691" i="10"/>
  <c r="J681" i="10"/>
  <c r="J677" i="10"/>
  <c r="J704" i="10"/>
  <c r="J676" i="10"/>
  <c r="J674" i="10"/>
  <c r="J670" i="10"/>
  <c r="J647" i="10"/>
  <c r="J646" i="10"/>
  <c r="J645" i="10"/>
  <c r="J688" i="10"/>
  <c r="J678" i="10"/>
  <c r="J675" i="10"/>
  <c r="J671" i="10"/>
  <c r="J705" i="10"/>
  <c r="J703" i="10"/>
  <c r="J672" i="10"/>
  <c r="J668" i="10"/>
  <c r="J689" i="10"/>
  <c r="J682" i="10"/>
  <c r="J687" i="10"/>
  <c r="J673" i="10"/>
  <c r="J644" i="10"/>
  <c r="J643" i="10"/>
  <c r="J642" i="10"/>
  <c r="J641" i="10"/>
  <c r="J640" i="10"/>
  <c r="J639" i="10"/>
  <c r="J638" i="10"/>
  <c r="J637" i="10"/>
  <c r="J636" i="10"/>
  <c r="J635" i="10"/>
  <c r="J634" i="10"/>
  <c r="J633" i="10"/>
  <c r="J632" i="10"/>
  <c r="J631" i="10"/>
  <c r="J669" i="10"/>
  <c r="J632" i="1" l="1"/>
  <c r="J701" i="1"/>
  <c r="J647" i="1"/>
  <c r="J642" i="1"/>
  <c r="J716" i="1"/>
  <c r="J695" i="1"/>
  <c r="J645" i="1"/>
  <c r="J690" i="1"/>
  <c r="J674" i="1"/>
  <c r="J687" i="1"/>
  <c r="J684" i="1"/>
  <c r="J635" i="1"/>
  <c r="J698" i="1"/>
  <c r="J639" i="1"/>
  <c r="J680" i="1"/>
  <c r="J681" i="1"/>
  <c r="J644" i="1"/>
  <c r="J707" i="1"/>
  <c r="J685" i="1"/>
  <c r="J675" i="1"/>
  <c r="J703" i="1"/>
  <c r="J641" i="1"/>
  <c r="J693" i="1"/>
  <c r="J706" i="1"/>
  <c r="J679" i="1"/>
  <c r="J682" i="1"/>
  <c r="J688" i="1"/>
  <c r="J697" i="1"/>
  <c r="J646" i="1"/>
  <c r="J692" i="1"/>
  <c r="J633" i="1"/>
  <c r="J709" i="1"/>
  <c r="J694" i="1"/>
  <c r="J686" i="1"/>
  <c r="J704" i="1"/>
  <c r="J637" i="1"/>
  <c r="J676" i="1"/>
  <c r="J677" i="1"/>
  <c r="J710" i="1"/>
  <c r="J643" i="1"/>
  <c r="J683" i="1"/>
  <c r="J713" i="1"/>
  <c r="J669" i="1"/>
  <c r="J711" i="1"/>
  <c r="J696" i="1"/>
  <c r="J702" i="1"/>
  <c r="J700" i="1"/>
  <c r="J672" i="1"/>
  <c r="J691" i="1"/>
  <c r="J636" i="1"/>
  <c r="J631" i="1"/>
  <c r="J638" i="1"/>
  <c r="J708" i="1"/>
  <c r="J689" i="1"/>
  <c r="J712" i="1"/>
  <c r="J699" i="1"/>
  <c r="J678" i="1"/>
  <c r="J668" i="1"/>
  <c r="J670" i="1"/>
  <c r="J671" i="1"/>
  <c r="J705" i="1"/>
  <c r="J673" i="1"/>
  <c r="J640" i="1"/>
  <c r="J634" i="1"/>
  <c r="K644" i="10"/>
  <c r="K707" i="10" s="1"/>
  <c r="J715" i="10"/>
  <c r="L647" i="10"/>
  <c r="L647" i="1" l="1"/>
  <c r="L697" i="1" s="1"/>
  <c r="K644" i="1"/>
  <c r="K687" i="1" s="1"/>
  <c r="J715" i="1"/>
  <c r="K671" i="10"/>
  <c r="K712" i="10"/>
  <c r="K674" i="10"/>
  <c r="K702" i="10"/>
  <c r="K699" i="10"/>
  <c r="K685" i="10"/>
  <c r="K704" i="10"/>
  <c r="K677" i="10"/>
  <c r="K676" i="10"/>
  <c r="K693" i="10"/>
  <c r="K675" i="10"/>
  <c r="K705" i="10"/>
  <c r="K694" i="10"/>
  <c r="K684" i="10"/>
  <c r="K713" i="10"/>
  <c r="K711" i="10"/>
  <c r="K668" i="10"/>
  <c r="K669" i="10"/>
  <c r="K706" i="10"/>
  <c r="K687" i="10"/>
  <c r="K701" i="10"/>
  <c r="K682" i="10"/>
  <c r="K670" i="10"/>
  <c r="K672" i="10"/>
  <c r="K683" i="10"/>
  <c r="K688" i="10"/>
  <c r="K709" i="10"/>
  <c r="K696" i="10"/>
  <c r="K679" i="10"/>
  <c r="K673" i="10"/>
  <c r="K686" i="10"/>
  <c r="K700" i="10"/>
  <c r="K689" i="10"/>
  <c r="K692" i="10"/>
  <c r="K710" i="10"/>
  <c r="K697" i="10"/>
  <c r="K695" i="10"/>
  <c r="K716" i="10"/>
  <c r="K703" i="10"/>
  <c r="K678" i="10"/>
  <c r="K690" i="10"/>
  <c r="K681" i="10"/>
  <c r="K708" i="10"/>
  <c r="K680" i="10"/>
  <c r="K698" i="10"/>
  <c r="K691" i="10"/>
  <c r="L716" i="10"/>
  <c r="L712" i="10"/>
  <c r="L708" i="10"/>
  <c r="L704" i="10"/>
  <c r="L700" i="10"/>
  <c r="L696" i="10"/>
  <c r="M696" i="10" s="1"/>
  <c r="Z762" i="10" s="1"/>
  <c r="L692" i="10"/>
  <c r="L688" i="10"/>
  <c r="L711" i="10"/>
  <c r="L710" i="10"/>
  <c r="L709" i="10"/>
  <c r="L695" i="10"/>
  <c r="L694" i="10"/>
  <c r="L693" i="10"/>
  <c r="L681" i="10"/>
  <c r="L677" i="10"/>
  <c r="L707" i="10"/>
  <c r="M707" i="10" s="1"/>
  <c r="Z773" i="10" s="1"/>
  <c r="L706" i="10"/>
  <c r="L705" i="10"/>
  <c r="L691" i="10"/>
  <c r="M691" i="10" s="1"/>
  <c r="Z757" i="10" s="1"/>
  <c r="L690" i="10"/>
  <c r="L689" i="10"/>
  <c r="L682" i="10"/>
  <c r="L703" i="10"/>
  <c r="L702" i="10"/>
  <c r="L701" i="10"/>
  <c r="L687" i="10"/>
  <c r="L686" i="10"/>
  <c r="L685" i="10"/>
  <c r="L683" i="10"/>
  <c r="L679" i="10"/>
  <c r="L698" i="10"/>
  <c r="L680" i="10"/>
  <c r="L678" i="10"/>
  <c r="M678" i="10" s="1"/>
  <c r="Z744" i="10" s="1"/>
  <c r="L672" i="10"/>
  <c r="L668" i="10"/>
  <c r="L713" i="10"/>
  <c r="M713" i="10" s="1"/>
  <c r="L684" i="10"/>
  <c r="L673" i="10"/>
  <c r="L699" i="10"/>
  <c r="L697" i="10"/>
  <c r="L674" i="10"/>
  <c r="L670" i="10"/>
  <c r="L675" i="10"/>
  <c r="L676" i="10"/>
  <c r="L669" i="10"/>
  <c r="L671" i="10"/>
  <c r="M671" i="10" s="1"/>
  <c r="Z737" i="10" s="1"/>
  <c r="L696" i="1" l="1"/>
  <c r="L706" i="1"/>
  <c r="M679" i="10"/>
  <c r="Z745" i="10" s="1"/>
  <c r="K680" i="1"/>
  <c r="K700" i="1"/>
  <c r="L679" i="1"/>
  <c r="L709" i="1"/>
  <c r="K676" i="1"/>
  <c r="L713" i="1"/>
  <c r="L700" i="1"/>
  <c r="L716" i="1"/>
  <c r="K705" i="1"/>
  <c r="L698" i="1"/>
  <c r="K672" i="1"/>
  <c r="K685" i="1"/>
  <c r="K704" i="1"/>
  <c r="K692" i="1"/>
  <c r="K694" i="1"/>
  <c r="L675" i="1"/>
  <c r="L701" i="1"/>
  <c r="K682" i="1"/>
  <c r="K686" i="1"/>
  <c r="K710" i="1"/>
  <c r="K716" i="1"/>
  <c r="K707" i="1"/>
  <c r="L688" i="1"/>
  <c r="K697" i="1"/>
  <c r="M697" i="1" s="1"/>
  <c r="K668" i="1"/>
  <c r="K679" i="1"/>
  <c r="K681" i="1"/>
  <c r="K698" i="1"/>
  <c r="L710" i="1"/>
  <c r="L678" i="1"/>
  <c r="L671" i="1"/>
  <c r="K699" i="1"/>
  <c r="L674" i="1"/>
  <c r="L682" i="1"/>
  <c r="M682" i="1" s="1"/>
  <c r="Y748" i="1" s="1"/>
  <c r="L685" i="1"/>
  <c r="K688" i="1"/>
  <c r="K708" i="1"/>
  <c r="K712" i="1"/>
  <c r="K683" i="1"/>
  <c r="K673" i="1"/>
  <c r="K696" i="1"/>
  <c r="L686" i="1"/>
  <c r="L712" i="1"/>
  <c r="L687" i="1"/>
  <c r="M687" i="1" s="1"/>
  <c r="H87" i="9" s="1"/>
  <c r="L711" i="1"/>
  <c r="L669" i="1"/>
  <c r="L693" i="1"/>
  <c r="K684" i="1"/>
  <c r="K702" i="1"/>
  <c r="K695" i="1"/>
  <c r="K674" i="1"/>
  <c r="K671" i="1"/>
  <c r="K689" i="1"/>
  <c r="K691" i="1"/>
  <c r="K693" i="1"/>
  <c r="M693" i="1" s="1"/>
  <c r="K675" i="1"/>
  <c r="L695" i="1"/>
  <c r="L702" i="1"/>
  <c r="L694" i="1"/>
  <c r="M694" i="1" s="1"/>
  <c r="H119" i="9" s="1"/>
  <c r="L691" i="1"/>
  <c r="L670" i="1"/>
  <c r="L676" i="1"/>
  <c r="L680" i="1"/>
  <c r="L672" i="1"/>
  <c r="K703" i="1"/>
  <c r="K690" i="1"/>
  <c r="K669" i="1"/>
  <c r="K701" i="1"/>
  <c r="K678" i="1"/>
  <c r="K713" i="1"/>
  <c r="K670" i="1"/>
  <c r="K711" i="1"/>
  <c r="K709" i="1"/>
  <c r="K706" i="1"/>
  <c r="K677" i="1"/>
  <c r="L703" i="1"/>
  <c r="L708" i="1"/>
  <c r="M708" i="1" s="1"/>
  <c r="H183" i="9" s="1"/>
  <c r="L677" i="1"/>
  <c r="L704" i="1"/>
  <c r="L673" i="1"/>
  <c r="L668" i="1"/>
  <c r="L707" i="1"/>
  <c r="M707" i="1" s="1"/>
  <c r="G183" i="9" s="1"/>
  <c r="L690" i="1"/>
  <c r="L705" i="1"/>
  <c r="L692" i="1"/>
  <c r="L699" i="1"/>
  <c r="L689" i="1"/>
  <c r="L683" i="1"/>
  <c r="L681" i="1"/>
  <c r="L684" i="1"/>
  <c r="M688" i="10"/>
  <c r="Z754" i="10" s="1"/>
  <c r="M674" i="10"/>
  <c r="Z740" i="10" s="1"/>
  <c r="M685" i="10"/>
  <c r="Z751" i="10" s="1"/>
  <c r="M712" i="10"/>
  <c r="Z778" i="10" s="1"/>
  <c r="M672" i="10"/>
  <c r="Z738" i="10" s="1"/>
  <c r="M687" i="10"/>
  <c r="Z753" i="10" s="1"/>
  <c r="M704" i="10"/>
  <c r="Z770" i="10" s="1"/>
  <c r="M676" i="10"/>
  <c r="Z742" i="10" s="1"/>
  <c r="M702" i="10"/>
  <c r="Z768" i="10" s="1"/>
  <c r="M699" i="10"/>
  <c r="Z765" i="10" s="1"/>
  <c r="M677" i="10"/>
  <c r="Z743" i="10" s="1"/>
  <c r="M698" i="10"/>
  <c r="Z764" i="10" s="1"/>
  <c r="M682" i="10"/>
  <c r="Z748" i="10" s="1"/>
  <c r="M681" i="10"/>
  <c r="Z747" i="10" s="1"/>
  <c r="M673" i="10"/>
  <c r="Z739" i="10" s="1"/>
  <c r="M684" i="10"/>
  <c r="Z750" i="10" s="1"/>
  <c r="M693" i="10"/>
  <c r="Z759" i="10" s="1"/>
  <c r="M669" i="10"/>
  <c r="Z735" i="10" s="1"/>
  <c r="K715" i="10"/>
  <c r="M675" i="10"/>
  <c r="Z741" i="10" s="1"/>
  <c r="M686" i="10"/>
  <c r="Z752" i="10" s="1"/>
  <c r="M703" i="10"/>
  <c r="Z769" i="10" s="1"/>
  <c r="M709" i="10"/>
  <c r="Z775" i="10" s="1"/>
  <c r="M670" i="10"/>
  <c r="Z736" i="10" s="1"/>
  <c r="M706" i="10"/>
  <c r="Z772" i="10" s="1"/>
  <c r="M710" i="10"/>
  <c r="Z776" i="10" s="1"/>
  <c r="M695" i="10"/>
  <c r="Z761" i="10" s="1"/>
  <c r="M701" i="10"/>
  <c r="Z767" i="10" s="1"/>
  <c r="M683" i="10"/>
  <c r="Z749" i="10" s="1"/>
  <c r="M689" i="10"/>
  <c r="Z755" i="10" s="1"/>
  <c r="M690" i="10"/>
  <c r="Z756" i="10" s="1"/>
  <c r="M705" i="10"/>
  <c r="Z771" i="10" s="1"/>
  <c r="M697" i="10"/>
  <c r="Z763" i="10" s="1"/>
  <c r="M680" i="10"/>
  <c r="Z746" i="10" s="1"/>
  <c r="M694" i="10"/>
  <c r="Z760" i="10" s="1"/>
  <c r="M711" i="10"/>
  <c r="Z777" i="10" s="1"/>
  <c r="M692" i="10"/>
  <c r="Z758" i="10" s="1"/>
  <c r="M700" i="10"/>
  <c r="Z766" i="10" s="1"/>
  <c r="M708" i="10"/>
  <c r="Z774" i="10" s="1"/>
  <c r="L715" i="10"/>
  <c r="M668" i="10"/>
  <c r="Y760" i="1" l="1"/>
  <c r="L715" i="1"/>
  <c r="M670" i="1"/>
  <c r="Y736" i="1" s="1"/>
  <c r="M696" i="1"/>
  <c r="Y762" i="1" s="1"/>
  <c r="M674" i="1"/>
  <c r="Y740" i="1" s="1"/>
  <c r="M681" i="1"/>
  <c r="I55" i="9" s="1"/>
  <c r="M683" i="1"/>
  <c r="D87" i="9" s="1"/>
  <c r="M672" i="1"/>
  <c r="G23" i="9" s="1"/>
  <c r="M671" i="1"/>
  <c r="F23" i="9" s="1"/>
  <c r="M703" i="1"/>
  <c r="C183" i="9" s="1"/>
  <c r="M710" i="1"/>
  <c r="C215" i="9" s="1"/>
  <c r="M684" i="1"/>
  <c r="E87" i="9" s="1"/>
  <c r="M676" i="1"/>
  <c r="D55" i="9" s="1"/>
  <c r="M695" i="1"/>
  <c r="I119" i="9" s="1"/>
  <c r="M705" i="1"/>
  <c r="E183" i="9" s="1"/>
  <c r="M711" i="1"/>
  <c r="D215" i="9" s="1"/>
  <c r="M702" i="1"/>
  <c r="Y768" i="1" s="1"/>
  <c r="M689" i="1"/>
  <c r="C119" i="9" s="1"/>
  <c r="M690" i="1"/>
  <c r="Y756" i="1" s="1"/>
  <c r="M704" i="1"/>
  <c r="Y770" i="1" s="1"/>
  <c r="M669" i="1"/>
  <c r="D23" i="9" s="1"/>
  <c r="M712" i="1"/>
  <c r="E215" i="9" s="1"/>
  <c r="Y763" i="1"/>
  <c r="D151" i="9"/>
  <c r="K715" i="1"/>
  <c r="M668" i="1"/>
  <c r="M701" i="1"/>
  <c r="H151" i="9" s="1"/>
  <c r="M680" i="1"/>
  <c r="M673" i="1"/>
  <c r="M699" i="1"/>
  <c r="M675" i="1"/>
  <c r="Y741" i="1" s="1"/>
  <c r="M685" i="1"/>
  <c r="M709" i="1"/>
  <c r="I183" i="9" s="1"/>
  <c r="G119" i="9"/>
  <c r="Y759" i="1"/>
  <c r="M688" i="1"/>
  <c r="Y754" i="1" s="1"/>
  <c r="M686" i="1"/>
  <c r="M706" i="1"/>
  <c r="M677" i="1"/>
  <c r="E55" i="9" s="1"/>
  <c r="M691" i="1"/>
  <c r="M678" i="1"/>
  <c r="F55" i="9" s="1"/>
  <c r="M679" i="1"/>
  <c r="M692" i="1"/>
  <c r="M698" i="1"/>
  <c r="E151" i="9" s="1"/>
  <c r="M713" i="1"/>
  <c r="M700" i="1"/>
  <c r="Y776" i="1"/>
  <c r="Y753" i="1"/>
  <c r="C87" i="9"/>
  <c r="Y774" i="1"/>
  <c r="Y773" i="1"/>
  <c r="M715" i="10"/>
  <c r="Z815" i="10" s="1"/>
  <c r="Z734" i="10"/>
  <c r="Z814" i="10" s="1"/>
  <c r="Y769" i="1" l="1"/>
  <c r="Y749" i="1"/>
  <c r="Y737" i="1"/>
  <c r="I23" i="9"/>
  <c r="Y742" i="1"/>
  <c r="C151" i="9"/>
  <c r="I87" i="9"/>
  <c r="Y743" i="1"/>
  <c r="Y747" i="1"/>
  <c r="E23" i="9"/>
  <c r="Y778" i="1"/>
  <c r="Y761" i="1"/>
  <c r="Y755" i="1"/>
  <c r="D183" i="9"/>
  <c r="Y738" i="1"/>
  <c r="D119" i="9"/>
  <c r="Y750" i="1"/>
  <c r="Y777" i="1"/>
  <c r="Y764" i="1"/>
  <c r="Y735" i="1"/>
  <c r="Y767" i="1"/>
  <c r="I151" i="9"/>
  <c r="C55" i="9"/>
  <c r="Y744" i="1"/>
  <c r="Y771" i="1"/>
  <c r="Y775" i="1"/>
  <c r="Y766" i="1"/>
  <c r="G151" i="9"/>
  <c r="Y745" i="1"/>
  <c r="G55" i="9"/>
  <c r="Y772" i="1"/>
  <c r="F183" i="9"/>
  <c r="Y751" i="1"/>
  <c r="F87" i="9"/>
  <c r="H55" i="9"/>
  <c r="Y746" i="1"/>
  <c r="Y779" i="1"/>
  <c r="F215" i="9"/>
  <c r="Y752" i="1"/>
  <c r="G87" i="9"/>
  <c r="Y757" i="1"/>
  <c r="E119" i="9"/>
  <c r="F151" i="9"/>
  <c r="Y765" i="1"/>
  <c r="C23" i="9"/>
  <c r="Y734" i="1"/>
  <c r="M715" i="1"/>
  <c r="Y758" i="1"/>
  <c r="F119" i="9"/>
  <c r="H23" i="9"/>
  <c r="Y739" i="1"/>
  <c r="Y815" i="1" l="1"/>
</calcChain>
</file>

<file path=xl/sharedStrings.xml><?xml version="1.0" encoding="utf-8"?>
<sst xmlns="http://schemas.openxmlformats.org/spreadsheetml/2006/main" count="4972" uniqueCount="1280">
  <si>
    <t xml:space="preserve">B thru G.  Increases or decreases in operating expenses per unit of measure exceeding 25% are stated in column H.  Please submit an </t>
  </si>
  <si>
    <t>attachment with the report that addresses why those changes took place.  Also please provide any corrections that might be in order.</t>
  </si>
  <si>
    <t>If you want to review what you reported for the prior year you can click on the tab titled prior year.</t>
  </si>
  <si>
    <t>Employee Benefits</t>
  </si>
  <si>
    <t>1)    Enter the amount of employee benefits directly recorded in cell B47.</t>
  </si>
  <si>
    <t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</si>
  <si>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</si>
  <si>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</si>
  <si>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>1)    Enter the total amount of depreciation directly assigned in cell B51.</t>
  </si>
  <si>
    <t xml:space="preserve">3)    Enter the amount of depreciation that will be assigned by square footage in cell B52.  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</si>
  <si>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</si>
  <si>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</si>
  <si>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</si>
  <si>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</si>
  <si>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</si>
  <si>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</si>
  <si>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</si>
  <si>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</si>
  <si>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</si>
  <si>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</si>
  <si>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</si>
  <si>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</si>
  <si>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</si>
  <si>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</si>
  <si>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</si>
  <si>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</si>
  <si>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</si>
  <si>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</si>
  <si>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</si>
  <si>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</si>
  <si>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</si>
  <si>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</si>
  <si>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</si>
  <si>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</si>
  <si>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</si>
  <si>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</si>
  <si>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</si>
  <si>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</si>
  <si>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</si>
  <si>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</si>
  <si>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</si>
  <si>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</si>
  <si>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</si>
  <si>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</si>
  <si>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</si>
  <si>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</si>
  <si>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</si>
  <si>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</si>
  <si>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</si>
  <si>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</si>
  <si>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</si>
  <si>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</si>
  <si>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</si>
  <si>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</si>
  <si>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</si>
  <si>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</si>
  <si>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</si>
  <si>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</si>
  <si>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</si>
  <si>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</si>
  <si>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</si>
  <si>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</si>
  <si>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</si>
  <si>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</si>
  <si>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</si>
  <si>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</si>
  <si>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</si>
  <si>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</si>
  <si>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</si>
  <si>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</si>
  <si>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</si>
  <si>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</si>
  <si>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</si>
  <si>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</si>
  <si>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</si>
  <si>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</si>
  <si>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</si>
  <si>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</si>
  <si>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</si>
  <si>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</si>
  <si>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</si>
  <si>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</si>
  <si>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</si>
  <si>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</si>
  <si>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</si>
  <si>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</si>
  <si>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</si>
  <si>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</si>
  <si>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</si>
  <si>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</si>
  <si>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</si>
  <si>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</si>
  <si>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</si>
  <si>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</si>
  <si>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</si>
  <si>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</si>
  <si>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</si>
  <si>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</si>
  <si>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</si>
  <si>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</si>
  <si>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</si>
  <si>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</si>
  <si>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</si>
  <si>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</si>
  <si>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</si>
  <si>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</si>
  <si>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</si>
  <si>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</si>
  <si>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</si>
  <si>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</si>
  <si>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</si>
  <si>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</si>
  <si>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</si>
  <si>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</si>
  <si>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</si>
  <si>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</si>
  <si>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</si>
  <si>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</si>
  <si>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</si>
  <si>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</si>
  <si>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</si>
  <si>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</si>
  <si>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</si>
  <si>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</si>
  <si>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</si>
  <si>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</si>
  <si>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</si>
  <si>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</si>
  <si>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</si>
  <si>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</si>
  <si>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</si>
  <si>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</si>
  <si>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</si>
  <si>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</si>
  <si>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</si>
  <si>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</si>
  <si>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</si>
  <si>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</si>
  <si>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</si>
  <si>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</si>
  <si>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</si>
  <si>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</si>
  <si>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</si>
  <si>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</si>
  <si>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</si>
  <si>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</si>
  <si>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</si>
  <si>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</si>
  <si>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</si>
  <si>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</si>
  <si>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</si>
  <si>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</si>
  <si>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</si>
  <si>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</si>
  <si>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</si>
  <si>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</si>
  <si>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</si>
  <si>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</si>
  <si>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</si>
  <si>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</si>
  <si>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</si>
  <si>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</si>
  <si>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</si>
  <si>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</si>
  <si>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</si>
  <si>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</si>
  <si>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</si>
  <si>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</si>
  <si>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</si>
  <si>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</si>
  <si>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</si>
  <si>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</si>
  <si>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</si>
  <si>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</si>
  <si>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</si>
  <si>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</si>
  <si>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</si>
  <si>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</si>
  <si>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</si>
  <si>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</si>
  <si>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</si>
  <si>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</si>
  <si>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</si>
  <si>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</si>
  <si>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</si>
  <si>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</si>
  <si>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</si>
  <si>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</si>
  <si>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</si>
  <si>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</si>
  <si>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</si>
  <si>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</si>
  <si>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</si>
  <si>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</si>
  <si>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</si>
  <si>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</si>
  <si>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</si>
  <si>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</si>
  <si>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</si>
  <si>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</si>
  <si>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</si>
  <si>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</si>
  <si>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</si>
  <si>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</si>
  <si>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</si>
  <si>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</si>
  <si>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</si>
  <si>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</si>
  <si>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</si>
  <si>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</si>
  <si>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</si>
  <si>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</si>
  <si>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</si>
  <si>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</si>
  <si>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</si>
  <si>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</si>
  <si>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</si>
  <si>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</si>
  <si>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</si>
  <si>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</si>
  <si>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</si>
  <si>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</si>
  <si>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</si>
  <si>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</si>
  <si>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</si>
  <si>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</si>
  <si>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</si>
  <si>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</si>
  <si>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</si>
  <si>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</si>
  <si>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</si>
  <si>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</si>
  <si>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</si>
  <si>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</si>
  <si>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</si>
  <si>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</si>
  <si>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</si>
  <si>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</si>
  <si>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</si>
  <si>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</si>
  <si>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</si>
  <si>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</si>
  <si>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</si>
  <si>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</si>
  <si>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</si>
  <si>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</si>
  <si>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</si>
  <si>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</si>
  <si>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</si>
  <si>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</si>
  <si>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</si>
  <si>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</si>
  <si>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</si>
  <si>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</si>
  <si>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</si>
  <si>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>License Number</t>
  </si>
  <si>
    <t>:</t>
  </si>
  <si>
    <t>Hospital Name</t>
  </si>
  <si>
    <t>City, State, Zip</t>
  </si>
  <si>
    <t>County</t>
  </si>
  <si>
    <t>Chief Executive Officer</t>
  </si>
  <si>
    <t>Chief Financial Officer</t>
  </si>
  <si>
    <t>Chair of Governing Board</t>
  </si>
  <si>
    <t>Telephone Number</t>
  </si>
  <si>
    <t>Facsimile Number</t>
  </si>
  <si>
    <t>TYPE OF ORGANIZATION  (If applies enter 1)</t>
  </si>
  <si>
    <t>Governmental</t>
  </si>
  <si>
    <t>State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</si>
  <si>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</si>
  <si>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</si>
  <si>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</si>
  <si>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</si>
  <si>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</si>
  <si>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</si>
  <si>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</si>
  <si>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</si>
  <si>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</si>
  <si>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</si>
  <si>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</si>
  <si>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</si>
  <si>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</si>
  <si>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</si>
  <si>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</si>
  <si>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</si>
  <si>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</si>
  <si>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</si>
  <si>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</si>
  <si>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</si>
  <si>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</si>
  <si>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</si>
  <si>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</si>
  <si>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</si>
  <si>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</si>
  <si>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</si>
  <si>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</si>
  <si>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</si>
  <si>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</si>
  <si>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</si>
  <si>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</si>
  <si>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</si>
  <si>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</si>
  <si>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</si>
  <si>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</si>
  <si>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</si>
  <si>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</si>
  <si>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</si>
  <si>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</si>
  <si>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</si>
  <si>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</si>
  <si>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</si>
  <si>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</si>
  <si>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</si>
  <si>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</si>
  <si>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</si>
  <si>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</si>
  <si>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</si>
  <si>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</si>
  <si>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</si>
  <si>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</si>
  <si>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</si>
  <si>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</si>
  <si>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</si>
  <si>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</si>
  <si>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</si>
  <si>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</si>
  <si>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</si>
  <si>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</si>
  <si>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</si>
  <si>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</si>
  <si>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</si>
  <si>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</si>
  <si>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</si>
  <si>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</si>
  <si>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</si>
  <si>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</si>
  <si>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</si>
  <si>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</si>
  <si>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</si>
  <si>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</si>
  <si>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</si>
  <si>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</si>
  <si>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</si>
  <si>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</si>
  <si>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</si>
  <si>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</si>
  <si>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</si>
  <si>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</si>
  <si>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</si>
  <si>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</si>
  <si>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</si>
  <si>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</si>
  <si>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</si>
  <si>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</si>
  <si>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</si>
  <si>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</si>
  <si>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</si>
  <si>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</si>
  <si>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</si>
  <si>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</si>
  <si>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</si>
  <si>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</si>
  <si>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</si>
  <si>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</si>
  <si>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</si>
  <si>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</si>
  <si>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</si>
  <si>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</si>
  <si>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</si>
  <si>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</si>
  <si>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</si>
  <si>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</si>
  <si>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</si>
  <si>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</si>
  <si>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</si>
  <si>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</si>
  <si>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</si>
  <si>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</si>
  <si>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</si>
  <si>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</si>
  <si>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</si>
  <si>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</si>
  <si>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</si>
  <si>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</si>
  <si>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</si>
  <si>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</si>
  <si>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</si>
  <si>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</si>
  <si>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</si>
  <si>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</si>
  <si>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</si>
  <si>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</si>
  <si>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</si>
  <si>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</si>
  <si>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</si>
  <si>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</si>
  <si>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</si>
  <si>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</si>
  <si>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</si>
  <si>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</si>
  <si>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</si>
  <si>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</si>
  <si>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</si>
  <si>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</si>
  <si>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</si>
  <si>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</si>
  <si>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</si>
  <si>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</si>
  <si>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</si>
  <si>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</si>
  <si>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</si>
  <si>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</si>
  <si>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</si>
  <si>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</si>
  <si>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</si>
  <si>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</si>
  <si>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</si>
  <si>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</si>
  <si>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</si>
  <si>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Noncurrent Liabilities</t>
  </si>
  <si>
    <t>Less Current Maturities LTD</t>
  </si>
  <si>
    <t>Total Long Term Debt</t>
  </si>
  <si>
    <t>Unrestricted Fund Balance</t>
  </si>
  <si>
    <t>Retained Earnings</t>
  </si>
  <si>
    <t>Additional Paid In Capital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</si>
  <si>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</si>
  <si>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</si>
  <si>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</si>
  <si>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</si>
  <si>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</si>
  <si>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</si>
  <si>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</si>
  <si>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</si>
  <si>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</si>
  <si>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</si>
  <si>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</si>
  <si>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</si>
  <si>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</si>
  <si>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</si>
  <si>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</si>
  <si>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</si>
  <si>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</si>
  <si>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</si>
  <si>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</si>
  <si>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</si>
  <si>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</si>
  <si>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</si>
  <si>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</si>
  <si>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</si>
  <si>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</si>
  <si>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</si>
  <si>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Provision for Bad Debts</t>
  </si>
  <si>
    <t>Other Direct Expense</t>
  </si>
  <si>
    <t>Total Operating Expenses</t>
  </si>
  <si>
    <t>Net Operating Revenue</t>
  </si>
  <si>
    <t>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</si>
  <si>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</si>
  <si>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</si>
  <si>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</si>
  <si>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</si>
  <si>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EDIT</t>
  </si>
  <si>
    <t>VOLUME:</t>
  </si>
  <si>
    <t>Info Page</t>
  </si>
  <si>
    <t>CC Detail</t>
  </si>
  <si>
    <t>Hospital Admissions</t>
  </si>
  <si>
    <t>Hospital Patient Days</t>
  </si>
  <si>
    <t>SNF/Swing Admissions</t>
  </si>
  <si>
    <t>SNF/Swing Patient Days</t>
  </si>
  <si>
    <t>ATC Admissions</t>
  </si>
  <si>
    <t>ATC Patient Days</t>
  </si>
  <si>
    <t>Newborn Admissions</t>
  </si>
  <si>
    <t>OPERATING EXPENSES:</t>
  </si>
  <si>
    <t>FS-3</t>
  </si>
  <si>
    <t>Support Sched.</t>
  </si>
  <si>
    <t>Salaries</t>
  </si>
  <si>
    <t>Leases/Rentals</t>
  </si>
  <si>
    <t>Licenses &amp; Taxes</t>
  </si>
  <si>
    <t>Ins, Lic. &amp; Taxes, and Interest</t>
  </si>
  <si>
    <t>Total Other Direct Expense</t>
  </si>
  <si>
    <t>Total Expenses</t>
  </si>
  <si>
    <t>DEDUCTIONS:</t>
  </si>
  <si>
    <t>SS-8</t>
  </si>
  <si>
    <t>CHARITY CARE</t>
  </si>
  <si>
    <t>Deductions</t>
  </si>
  <si>
    <t>From Revenue</t>
  </si>
  <si>
    <t># Of Patients</t>
  </si>
  <si>
    <t>OTHER REVENUES:</t>
  </si>
  <si>
    <t>CC-DETAIL</t>
  </si>
  <si>
    <t>Other Revenue</t>
  </si>
  <si>
    <t>PATIENT SERVICE REVENUE:</t>
  </si>
  <si>
    <t>PAYOR</t>
  </si>
  <si>
    <t>INFO</t>
  </si>
  <si>
    <t>FIXED ASSET ENDING BALANCES:</t>
  </si>
  <si>
    <t>FS-1</t>
  </si>
  <si>
    <t>SS-4</t>
  </si>
  <si>
    <t>Fixed Equip - Bldg Serv</t>
  </si>
  <si>
    <t>Equipment (Moveable)</t>
  </si>
  <si>
    <t>Accum Depre Ending Balance</t>
  </si>
  <si>
    <t>Balance Sheet</t>
  </si>
  <si>
    <t>FS-1   Assets</t>
  </si>
  <si>
    <t>FS-1  Liabilities &amp; Fund Balance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</si>
  <si>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</si>
  <si>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</si>
  <si>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varies by more or less than 25 %, the variance appears in column H.</t>
  </si>
  <si>
    <t>If the percentage change is more or less than 25%., please provide an explanation that is provided as an attachment with your</t>
  </si>
  <si>
    <t>year end report submittal.  Also please provide any corrections required to the prior years information.</t>
  </si>
  <si>
    <t>Operating</t>
  </si>
  <si>
    <t xml:space="preserve">Units of </t>
  </si>
  <si>
    <t>Op Exp /</t>
  </si>
  <si>
    <t xml:space="preserve">% chg </t>
  </si>
  <si>
    <t>Measure</t>
  </si>
  <si>
    <t>U O M</t>
  </si>
  <si>
    <t>&lt;&gt; 25%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</si>
  <si>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</si>
  <si>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</si>
  <si>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</si>
  <si>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</si>
  <si>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</si>
  <si>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</si>
  <si>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</si>
  <si>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</si>
  <si>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</si>
  <si>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</si>
  <si>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</si>
  <si>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</si>
  <si>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</si>
  <si>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</si>
  <si>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</si>
  <si>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</si>
  <si>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</si>
  <si>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</si>
  <si>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</si>
  <si>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</si>
  <si>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</si>
  <si>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</si>
  <si>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</si>
  <si>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</si>
  <si>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</si>
  <si>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</si>
  <si>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</si>
  <si>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</si>
  <si>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</si>
  <si>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</si>
  <si>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</si>
  <si>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</si>
  <si>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</si>
  <si>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</si>
  <si>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</si>
  <si>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</si>
  <si>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</si>
  <si>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</si>
  <si>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</si>
  <si>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</si>
  <si>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</si>
  <si>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</si>
  <si>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</si>
  <si>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</si>
  <si>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</si>
  <si>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</si>
  <si>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</si>
  <si>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</si>
  <si>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</si>
  <si>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</si>
  <si>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</si>
  <si>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</si>
  <si>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</si>
  <si>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</si>
  <si>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</si>
  <si>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</si>
  <si>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</si>
  <si>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</si>
  <si>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</si>
  <si>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</si>
  <si>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</si>
  <si>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</si>
  <si>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</si>
  <si>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</si>
  <si>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</si>
  <si>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</si>
  <si>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</si>
  <si>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</si>
  <si>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</si>
  <si>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</si>
  <si>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</si>
  <si>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</si>
  <si>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</si>
  <si>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</si>
  <si>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</si>
  <si>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</si>
  <si>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</si>
  <si>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</si>
  <si>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</si>
  <si>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</si>
  <si>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</si>
  <si>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</si>
  <si>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</si>
  <si>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</si>
  <si>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</si>
  <si>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</si>
  <si>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</si>
  <si>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</si>
  <si>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</si>
  <si>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</si>
  <si>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</si>
  <si>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</si>
  <si>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</si>
  <si>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</si>
  <si>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</si>
  <si>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</si>
  <si>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</si>
  <si>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</si>
  <si>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</si>
  <si>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</si>
  <si>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</si>
  <si>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</si>
  <si>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</si>
  <si>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</si>
  <si>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</si>
  <si>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</si>
  <si>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</si>
  <si>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</si>
  <si>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</si>
  <si>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</si>
  <si>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</si>
  <si>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</si>
  <si>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</si>
  <si>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</si>
  <si>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</si>
  <si>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</si>
  <si>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</si>
  <si>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</si>
  <si>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</si>
  <si>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</si>
  <si>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</si>
  <si>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</si>
  <si>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</si>
  <si>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</si>
  <si>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</si>
  <si>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</si>
  <si>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</si>
  <si>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</si>
  <si>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</si>
  <si>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</si>
  <si>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</si>
  <si>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</si>
  <si>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</si>
  <si>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</si>
  <si>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</si>
  <si>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</si>
  <si>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</si>
  <si>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</si>
  <si>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</si>
  <si>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</si>
  <si>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</si>
  <si>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</si>
  <si>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</si>
  <si>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</si>
  <si>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</si>
  <si>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</si>
  <si>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</si>
  <si>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</si>
  <si>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</si>
  <si>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</si>
  <si>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</si>
  <si>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</si>
  <si>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</si>
  <si>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</si>
  <si>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</si>
  <si>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</si>
  <si>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</si>
  <si>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</si>
  <si>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</si>
  <si>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</si>
  <si>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</si>
  <si>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</si>
  <si>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</si>
  <si>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</si>
  <si>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</si>
  <si>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</si>
  <si>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</si>
  <si>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</si>
  <si>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</si>
  <si>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</si>
  <si>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</si>
  <si>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</si>
  <si>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</si>
  <si>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</si>
  <si>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</si>
  <si>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</si>
  <si>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</si>
  <si>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</si>
  <si>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</si>
  <si>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</si>
  <si>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</si>
  <si>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</si>
  <si>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</si>
  <si>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</si>
  <si>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</si>
  <si>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</si>
  <si>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</si>
  <si>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</si>
  <si>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</si>
  <si>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</si>
  <si>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</si>
  <si>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</si>
  <si>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</si>
  <si>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</si>
  <si>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</si>
  <si>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</si>
  <si>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</si>
  <si>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</si>
  <si>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</si>
  <si>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</si>
  <si>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</si>
  <si>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</si>
  <si>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</si>
  <si>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</si>
  <si>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</si>
  <si>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</si>
  <si>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</si>
  <si>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</si>
  <si>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</si>
  <si>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</si>
  <si>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</si>
  <si>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</si>
  <si>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</si>
  <si>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</si>
  <si>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</si>
  <si>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</si>
  <si>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</si>
  <si>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</si>
  <si>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</si>
  <si>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</si>
  <si>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</si>
  <si>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</si>
  <si>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</si>
  <si>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</si>
  <si>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</si>
  <si>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</si>
  <si>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</si>
  <si>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</si>
  <si>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</si>
  <si>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</si>
  <si>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</si>
  <si>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</si>
  <si>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Support</t>
  </si>
  <si>
    <t>@ID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</si>
  <si>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</si>
  <si>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</si>
  <si>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</si>
  <si>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</si>
  <si>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</si>
  <si>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</si>
  <si>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</si>
  <si>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</si>
  <si>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</si>
  <si>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</si>
  <si>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</si>
  <si>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</si>
  <si>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</si>
  <si>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</si>
  <si>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</si>
  <si>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</si>
  <si>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</si>
  <si>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</si>
  <si>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</si>
  <si>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</si>
  <si>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</si>
  <si>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</si>
  <si>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</si>
  <si>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</si>
  <si>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</si>
  <si>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</si>
  <si>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</si>
  <si>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</si>
  <si>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</si>
  <si>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</si>
  <si>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</si>
  <si>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</si>
  <si>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</si>
  <si>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</si>
  <si>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</si>
  <si>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</si>
  <si>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</si>
  <si>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</si>
  <si>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</si>
  <si>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</si>
  <si>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</si>
  <si>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</si>
  <si>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</si>
  <si>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</si>
  <si>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</si>
  <si>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</si>
  <si>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</si>
  <si>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</si>
  <si>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</si>
  <si>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</si>
  <si>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</si>
  <si>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</si>
  <si>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</si>
  <si>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</si>
  <si>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</si>
  <si>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</si>
  <si>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</si>
  <si>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</si>
  <si>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</si>
  <si>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</si>
  <si>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</si>
  <si>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</si>
  <si>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</si>
  <si>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</si>
  <si>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</si>
  <si>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</si>
  <si>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</si>
  <si>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</si>
  <si>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</si>
  <si>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</si>
  <si>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</si>
  <si>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</si>
  <si>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</si>
  <si>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</si>
  <si>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</si>
  <si>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</si>
  <si>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</si>
  <si>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</si>
  <si>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</si>
  <si>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</si>
  <si>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</si>
  <si>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</si>
  <si>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</si>
  <si>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</si>
  <si>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</si>
  <si>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</si>
  <si>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</si>
  <si>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</si>
  <si>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</si>
  <si>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</si>
  <si>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</si>
  <si>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</si>
  <si>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</si>
  <si>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</si>
  <si>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</si>
  <si>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</si>
  <si>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</si>
  <si>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</si>
  <si>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YICF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</si>
  <si>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</si>
  <si>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</si>
  <si>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</si>
  <si>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</si>
  <si>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</si>
  <si>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</si>
  <si>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</si>
  <si>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</si>
  <si>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</si>
  <si>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</si>
  <si>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</si>
  <si>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</si>
  <si>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</si>
  <si>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</si>
  <si>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</si>
  <si>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</si>
  <si>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</si>
  <si>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</si>
  <si>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</si>
  <si>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</si>
  <si>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</si>
  <si>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</si>
  <si>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</si>
  <si>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</si>
  <si>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</si>
  <si>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</si>
  <si>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</si>
  <si>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</si>
  <si>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</si>
  <si>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</si>
  <si>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</si>
  <si>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</si>
  <si>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</si>
  <si>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</si>
  <si>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</si>
  <si>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</si>
  <si>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</si>
  <si>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</si>
  <si>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</si>
  <si>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</si>
  <si>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</si>
  <si>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</si>
  <si>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</si>
  <si>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</si>
  <si>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</si>
  <si>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</si>
  <si>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</si>
  <si>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</si>
  <si>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</si>
  <si>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</si>
  <si>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Funds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</si>
  <si>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</si>
  <si>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</si>
  <si>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</si>
  <si>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</si>
  <si>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</si>
  <si>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</si>
  <si>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</si>
  <si>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</si>
  <si>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</si>
  <si>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</si>
  <si>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</si>
  <si>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</si>
  <si>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</si>
  <si>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</si>
  <si>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</si>
  <si>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</si>
  <si>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</si>
  <si>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</si>
  <si>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</si>
  <si>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</si>
  <si>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</si>
  <si>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</si>
  <si>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</si>
  <si>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</si>
  <si>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</si>
  <si>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</si>
  <si>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</si>
  <si>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</si>
  <si>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</si>
  <si>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</si>
  <si>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</si>
  <si>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</si>
  <si>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</si>
  <si>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</si>
  <si>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</si>
  <si>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</si>
  <si>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</si>
  <si>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</si>
  <si>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</si>
  <si>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</si>
  <si>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</si>
  <si>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</si>
  <si>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</si>
  <si>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</si>
  <si>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</si>
  <si>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</si>
  <si>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</si>
  <si>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</si>
  <si>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</si>
  <si>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</si>
  <si>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</si>
  <si>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</si>
  <si>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</si>
  <si>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</si>
  <si>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</si>
  <si>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</si>
  <si>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</si>
  <si>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</si>
  <si>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YBSEOE</t>
  </si>
  <si>
    <t>YCSFTE</t>
  </si>
  <si>
    <t>YCSIPR</t>
  </si>
  <si>
    <t>YCSOPR</t>
  </si>
  <si>
    <t>YCSCA</t>
  </si>
  <si>
    <t>YCSCUC</t>
  </si>
  <si>
    <t>YCSOAA</t>
  </si>
  <si>
    <t>YCSOOR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</si>
  <si>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</si>
  <si>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</si>
  <si>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</si>
  <si>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</si>
  <si>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</si>
  <si>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</si>
  <si>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</si>
  <si>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</si>
  <si>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</si>
  <si>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</si>
  <si>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</si>
  <si>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</si>
  <si>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</si>
  <si>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</si>
  <si>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YCSNORNE</t>
  </si>
  <si>
    <t>YCSEI</t>
  </si>
  <si>
    <t>YCSFIT</t>
  </si>
  <si>
    <t>Costcenter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</si>
  <si>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</si>
  <si>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</si>
  <si>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</si>
  <si>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</si>
  <si>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</si>
  <si>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</si>
  <si>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</si>
  <si>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</si>
  <si>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</si>
  <si>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</si>
  <si>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</si>
  <si>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</si>
  <si>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</si>
  <si>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</si>
  <si>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</si>
  <si>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</si>
  <si>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</si>
  <si>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</si>
  <si>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</si>
  <si>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t>YUNAS</t>
  </si>
  <si>
    <t>YUNAREC</t>
  </si>
  <si>
    <t>YTAX</t>
  </si>
  <si>
    <t>SNAR</t>
  </si>
  <si>
    <t>YCAS</t>
  </si>
  <si>
    <t>Upload Costcenter</t>
  </si>
  <si>
    <t>CC's</t>
  </si>
  <si>
    <t>NA</t>
  </si>
  <si>
    <t xml:space="preserve">  ----------------</t>
  </si>
  <si>
    <t>Page 1 of 21</t>
  </si>
  <si>
    <t>TRANSMITTAL AND CERTIFICATION</t>
  </si>
  <si>
    <t>HOSPITAL'S YEAR END REPORT</t>
  </si>
  <si>
    <t>TO</t>
  </si>
  <si>
    <t>The Department of Health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</si>
  <si>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</si>
  <si>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</si>
  <si>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</si>
  <si>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</si>
  <si>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</si>
  <si>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</si>
  <si>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</si>
  <si>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</si>
  <si>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</si>
  <si>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</si>
  <si>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</si>
  <si>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</si>
  <si>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</si>
  <si>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</si>
  <si>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</si>
  <si>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</si>
  <si>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</si>
  <si>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</si>
  <si>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</si>
  <si>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</si>
  <si>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</si>
  <si>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</si>
  <si>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</si>
  <si>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</si>
  <si>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</si>
  <si>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</si>
  <si>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</si>
  <si>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</si>
  <si>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</si>
  <si>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</si>
  <si>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</si>
  <si>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</si>
  <si>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</si>
  <si>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</si>
  <si>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</si>
  <si>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</si>
  <si>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</si>
  <si>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</si>
  <si>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</si>
  <si>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</si>
  <si>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</si>
  <si>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</si>
  <si>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</si>
  <si>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</si>
  <si>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</si>
  <si>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</si>
  <si>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</si>
  <si>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</si>
  <si>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</si>
  <si>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</si>
  <si>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</si>
  <si>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</si>
  <si>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</si>
  <si>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</si>
  <si>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</si>
  <si>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</si>
  <si>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</si>
  <si>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</si>
  <si>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</si>
  <si>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</si>
  <si>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</si>
  <si>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</si>
  <si>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</si>
  <si>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</si>
  <si>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</si>
  <si>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</si>
  <si>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</si>
  <si>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</si>
  <si>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</si>
  <si>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</si>
  <si>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</si>
  <si>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</si>
  <si>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</si>
  <si>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</si>
  <si>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</si>
  <si>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</si>
  <si>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</si>
  <si>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</si>
  <si>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</si>
  <si>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</si>
  <si>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</si>
  <si>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</si>
  <si>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</si>
  <si>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</si>
  <si>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</si>
  <si>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</si>
  <si>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</si>
  <si>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</si>
  <si>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</si>
  <si>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</si>
  <si>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</si>
  <si>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</si>
  <si>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</si>
  <si>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</si>
  <si>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</si>
  <si>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</si>
  <si>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</si>
  <si>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</si>
  <si>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</si>
  <si>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</si>
  <si>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</si>
  <si>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</si>
  <si>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</si>
  <si>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</si>
  <si>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</si>
  <si>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</si>
  <si>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</si>
  <si>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</si>
  <si>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</si>
  <si>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</si>
  <si>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</si>
  <si>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</si>
  <si>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</si>
  <si>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</si>
  <si>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</si>
  <si>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</si>
  <si>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</si>
  <si>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</si>
  <si>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</si>
  <si>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</si>
  <si>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</si>
  <si>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</si>
  <si>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</si>
  <si>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</si>
  <si>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</si>
  <si>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</si>
  <si>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</si>
  <si>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</si>
  <si>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</si>
  <si>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Preferred Stock</t>
  </si>
  <si>
    <t>Common Stock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</si>
  <si>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</si>
  <si>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</si>
  <si>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</si>
  <si>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</si>
  <si>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</si>
  <si>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</si>
  <si>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</si>
  <si>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</si>
  <si>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</si>
  <si>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</si>
  <si>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</si>
  <si>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Charity and Uncompensated Care</t>
  </si>
  <si>
    <t>Other Adjustments and Allowances</t>
  </si>
  <si>
    <t>NET PATIENT SERVICE REVENUE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</si>
  <si>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</si>
  <si>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</si>
  <si>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</si>
  <si>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</si>
  <si>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</si>
  <si>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</si>
  <si>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</si>
  <si>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</si>
  <si>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</si>
  <si>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</si>
  <si>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</si>
  <si>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</si>
  <si>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</si>
  <si>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</si>
  <si>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</si>
  <si>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</si>
  <si>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</si>
  <si>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</si>
  <si>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</si>
  <si>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</si>
  <si>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</si>
  <si>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</si>
  <si>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</si>
  <si>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</si>
  <si>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</si>
  <si>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</si>
  <si>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</si>
  <si>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</si>
  <si>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</si>
  <si>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</si>
  <si>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</si>
  <si>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</si>
  <si>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</si>
  <si>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</si>
  <si>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</si>
  <si>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</si>
  <si>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Intravenous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</si>
  <si>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</si>
  <si>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</si>
  <si>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</si>
  <si>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</si>
  <si>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</si>
  <si>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</si>
  <si>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</si>
  <si>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</si>
  <si>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</si>
  <si>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</si>
  <si>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</si>
  <si>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</si>
  <si>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</si>
  <si>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</si>
  <si>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</si>
  <si>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</si>
  <si>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</si>
  <si>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Acquisitions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</si>
  <si>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</si>
  <si>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</si>
  <si>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</si>
  <si>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</si>
  <si>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</si>
  <si>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</si>
  <si>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</si>
  <si>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</si>
  <si>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</si>
  <si>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</si>
  <si>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</si>
  <si>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</si>
  <si>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</si>
  <si>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</si>
  <si>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</si>
  <si>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Your hospital license number and fiscal year end have already been entered. These items need to be in alpha format rather</t>
  </si>
  <si>
    <t>calculated on lines 48 and 52, respectively.</t>
  </si>
  <si>
    <t>than numeric format in order to pick up correctly for upload to the year end report database.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</si>
  <si>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</si>
  <si>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</si>
  <si>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Please remember to send a signed certification page and an audited financial statement by regular mail when they are available.</t>
  </si>
  <si>
    <t>The employee benefits can be entered directly, assigned to the cost centers based on a percentage of salaries, or a combination of the two.</t>
  </si>
  <si>
    <t>2)    Enter the employee benefits directly recorded by cost center in cells C47..CC47.</t>
  </si>
  <si>
    <t>2)    Enter the amount of depreciation directly recorded by cost center in cells C51..CC51.</t>
  </si>
  <si>
    <t xml:space="preserve">After the salaries and the departmental square footage statistics are entered, the departmental employee benefits and depreciation will be </t>
  </si>
  <si>
    <t>Acute Care - Med/Surg</t>
  </si>
  <si>
    <t>PAYER UNITS OF SERVICE AND REVENUE</t>
  </si>
  <si>
    <t>Rec. From 3rd Party Payers</t>
  </si>
  <si>
    <t>Payables to 3rd Party Payers</t>
  </si>
  <si>
    <t>Payer</t>
  </si>
  <si>
    <t>Newborn Patient Days</t>
  </si>
  <si>
    <t>PAYER</t>
  </si>
  <si>
    <t>7060  Intravenous Therapy</t>
  </si>
  <si>
    <t>7340  Electromyography</t>
  </si>
  <si>
    <t>8200  Research / Education</t>
  </si>
  <si>
    <t>8660  Auxiliary Groups</t>
  </si>
  <si>
    <t>Radiology - Diagnostic</t>
  </si>
  <si>
    <t>Street Address</t>
  </si>
  <si>
    <t>Mailing Address</t>
  </si>
  <si>
    <t>Less: Treasury Stock</t>
  </si>
  <si>
    <t>It is only necessary to enter data on this page. Items will automatically transfer from this page to the report pages.</t>
  </si>
  <si>
    <t>Provision for Bad Debt</t>
  </si>
  <si>
    <t>YDRTBD</t>
  </si>
  <si>
    <t>Bad Debt</t>
  </si>
  <si>
    <t>The operating expenses, the units of measure and the operating expenses per unit of measure are stated on line 496 thru line 575 in columns</t>
  </si>
  <si>
    <t>The operating expenses, the units of measure and the operating expenses per unit of measure are stated on line 484 thru line 568 in columns</t>
  </si>
  <si>
    <t>YUNABD</t>
  </si>
  <si>
    <t>Office of Community Health Systems</t>
  </si>
  <si>
    <t>P.O. Box 47853</t>
  </si>
  <si>
    <t>Olympia, Washington 98504-7853</t>
  </si>
  <si>
    <t>DOH FORM 689-182 (Rev 12/05/2017)</t>
  </si>
  <si>
    <r>
      <t xml:space="preserve">To submit your report by electronic mail, please send to: </t>
    </r>
    <r>
      <rPr>
        <sz val="11"/>
        <color theme="3"/>
        <rFont val="Arial"/>
        <family val="2"/>
      </rPr>
      <t>hos@doh.wa.gov</t>
    </r>
  </si>
  <si>
    <r>
      <t xml:space="preserve">If you have any questions or concerns please call Carrie Baranowski at 360-236-4210 or send an e-mail to </t>
    </r>
    <r>
      <rPr>
        <sz val="11"/>
        <color theme="3"/>
        <rFont val="Arial"/>
        <family val="2"/>
      </rPr>
      <t>hos@doh.wa.gov</t>
    </r>
    <r>
      <rPr>
        <sz val="11"/>
        <rFont val="Arial"/>
        <family val="2"/>
      </rPr>
      <t>.</t>
    </r>
  </si>
  <si>
    <r>
      <t xml:space="preserve">If you have any questions or concerns please call Communty Health Systems at 360-236-4210 or send an e-mail to: </t>
    </r>
    <r>
      <rPr>
        <sz val="11"/>
        <color theme="3"/>
        <rFont val="Arial"/>
        <family val="2"/>
      </rPr>
      <t>hos@doh.wa.gov</t>
    </r>
  </si>
  <si>
    <t>12/31/2020</t>
  </si>
  <si>
    <t>164</t>
  </si>
  <si>
    <t>EvergreenHealth Kirkland / King Country Public Hos #2</t>
  </si>
  <si>
    <t>12040 NE 128th Street</t>
  </si>
  <si>
    <t>Kirkland, WA 98034</t>
  </si>
  <si>
    <t>King</t>
  </si>
  <si>
    <t>Jeff Tomlin, MD</t>
  </si>
  <si>
    <t>Tina Mycroft</t>
  </si>
  <si>
    <t>Tim McLaughlin</t>
  </si>
  <si>
    <t>425-899-1000</t>
  </si>
  <si>
    <t>425-899-1684</t>
  </si>
  <si>
    <t>X</t>
  </si>
  <si>
    <t>12/31/2021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</si>
</sst>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_)"/>
    <numFmt numFmtId="165" formatCode="_(* #,##0_);_(* \(#,##0\);_(* &quot;-&quot;??_);_(@_)"/>
    <numFmt numFmtId="166" formatCode="0_);\(0\)"/>
  </numFmts>
  <fonts count="16" x14ac:knownFonts="1">
    <font>
      <sz val="12"/>
      <name val="Courier"/>
    </font>
    <font>
      <sz val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8"/>
      <name val="Arial"/>
      <family val="2"/>
    </font>
    <font>
      <sz val="6"/>
      <name val="Arial"/>
      <family val="2"/>
    </font>
    <font>
      <sz val="11"/>
      <color indexed="12"/>
      <name val="Arial"/>
      <family val="2"/>
    </font>
    <font>
      <sz val="11"/>
      <name val="Courier"/>
      <family val="3"/>
    </font>
    <font>
      <u/>
      <sz val="9"/>
      <color indexed="12"/>
      <name val="Courier"/>
      <family val="3"/>
    </font>
    <font>
      <u/>
      <sz val="11"/>
      <color indexed="12"/>
      <name val="Arial"/>
      <family val="2"/>
    </font>
    <font>
      <sz val="9"/>
      <name val="Arial"/>
      <family val="2"/>
    </font>
    <font>
      <sz val="11"/>
      <color theme="3"/>
      <name val="Arial"/>
      <family val="2"/>
    </font>
    <font>
      <sz val="11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4">
    <xf numFmtId="37" fontId="0" fillId="0" borderId="0"/>
    <xf numFmtId="43" fontId="1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</cellStyleXfs>
  <cellXfs count="344">
    <xf numFmtId="37" fontId="0" fillId="0" borderId="0" xfId="0"/>
    <xf numFmtId="37" fontId="3" fillId="0" borderId="0" xfId="0" applyFont="1" applyBorder="1"/>
    <xf numFmtId="37" fontId="3" fillId="0" borderId="0" xfId="0" applyFont="1"/>
    <xf numFmtId="37" fontId="2" fillId="0" borderId="0" xfId="0" applyFont="1" applyFill="1" applyBorder="1"/>
    <xf numFmtId="37" fontId="4" fillId="0" borderId="0" xfId="0" applyNumberFormat="1" applyFont="1" applyFill="1" applyBorder="1" applyAlignment="1" applyProtection="1">
      <alignment horizontal="centerContinuous"/>
    </xf>
    <xf numFmtId="37" fontId="5" fillId="0" borderId="0" xfId="0" applyFont="1" applyBorder="1" applyAlignment="1">
      <alignment horizontal="centerContinuous"/>
    </xf>
    <xf numFmtId="37" fontId="5" fillId="0" borderId="0" xfId="0" applyFont="1" applyAlignment="1">
      <alignment horizontal="centerContinuous"/>
    </xf>
    <xf numFmtId="37" fontId="5" fillId="0" borderId="0" xfId="0" applyFont="1"/>
    <xf numFmtId="37" fontId="5" fillId="0" borderId="0" xfId="0" applyFont="1" applyBorder="1"/>
    <xf numFmtId="37" fontId="4" fillId="0" borderId="0" xfId="0" applyNumberFormat="1" applyFont="1" applyFill="1" applyBorder="1" applyAlignment="1" applyProtection="1">
      <alignment horizontal="center"/>
    </xf>
    <xf numFmtId="37" fontId="5" fillId="0" borderId="0" xfId="0" quotePrefix="1" applyNumberFormat="1" applyFont="1" applyBorder="1" applyAlignment="1" applyProtection="1">
      <alignment horizontal="left"/>
    </xf>
    <xf numFmtId="37" fontId="6" fillId="0" borderId="0" xfId="0" applyFont="1"/>
    <xf numFmtId="37" fontId="5" fillId="0" borderId="0" xfId="0" quotePrefix="1" applyNumberFormat="1" applyFont="1" applyBorder="1" applyAlignment="1" applyProtection="1">
      <alignment horizontal="center"/>
    </xf>
    <xf numFmtId="37" fontId="4" fillId="0" borderId="1" xfId="0" applyNumberFormat="1" applyFont="1" applyFill="1" applyBorder="1" applyProtection="1"/>
    <xf numFmtId="37" fontId="4" fillId="0" borderId="2" xfId="0" applyNumberFormat="1" applyFont="1" applyFill="1" applyBorder="1" applyAlignment="1" applyProtection="1"/>
    <xf numFmtId="37" fontId="4" fillId="0" borderId="2" xfId="0" applyNumberFormat="1" applyFont="1" applyFill="1" applyBorder="1" applyAlignment="1" applyProtection="1">
      <alignment horizontal="center"/>
    </xf>
    <xf numFmtId="37" fontId="4" fillId="0" borderId="3" xfId="0" applyNumberFormat="1" applyFont="1" applyFill="1" applyBorder="1" applyProtection="1"/>
    <xf numFmtId="37" fontId="4" fillId="0" borderId="4" xfId="0" applyNumberFormat="1" applyFont="1" applyFill="1" applyBorder="1" applyAlignment="1" applyProtection="1"/>
    <xf numFmtId="37" fontId="4" fillId="0" borderId="4" xfId="0" applyNumberFormat="1" applyFont="1" applyFill="1" applyBorder="1" applyAlignment="1" applyProtection="1">
      <alignment horizontal="center"/>
    </xf>
    <xf numFmtId="37" fontId="4" fillId="0" borderId="3" xfId="0" applyFont="1" applyFill="1" applyBorder="1"/>
    <xf numFmtId="37" fontId="4" fillId="0" borderId="4" xfId="0" applyFont="1" applyFill="1" applyBorder="1"/>
    <xf numFmtId="37" fontId="4" fillId="0" borderId="2" xfId="0" applyNumberFormat="1" applyFont="1" applyFill="1" applyBorder="1" applyProtection="1"/>
    <xf numFmtId="37" fontId="4" fillId="0" borderId="2" xfId="0" quotePrefix="1" applyNumberFormat="1" applyFont="1" applyFill="1" applyBorder="1" applyAlignment="1" applyProtection="1">
      <alignment horizontal="left"/>
    </xf>
    <xf numFmtId="37" fontId="4" fillId="0" borderId="1" xfId="0" applyNumberFormat="1" applyFont="1" applyFill="1" applyBorder="1" applyAlignment="1" applyProtection="1"/>
    <xf numFmtId="37" fontId="4" fillId="0" borderId="2" xfId="0" applyFont="1" applyFill="1" applyBorder="1"/>
    <xf numFmtId="37" fontId="4" fillId="0" borderId="4" xfId="0" applyFont="1" applyFill="1" applyBorder="1" applyAlignment="1">
      <alignment horizontal="center"/>
    </xf>
    <xf numFmtId="39" fontId="4" fillId="0" borderId="2" xfId="0" applyNumberFormat="1" applyFont="1" applyFill="1" applyBorder="1" applyAlignment="1" applyProtection="1"/>
    <xf numFmtId="37" fontId="5" fillId="0" borderId="2" xfId="0" applyFont="1" applyBorder="1"/>
    <xf numFmtId="37" fontId="5" fillId="0" borderId="4" xfId="0" applyFont="1" applyBorder="1"/>
    <xf numFmtId="37" fontId="4" fillId="0" borderId="0" xfId="0" quotePrefix="1" applyNumberFormat="1" applyFont="1" applyFill="1" applyBorder="1" applyAlignment="1" applyProtection="1">
      <alignment horizontal="left"/>
    </xf>
    <xf numFmtId="37" fontId="4" fillId="0" borderId="0" xfId="0" applyFont="1" applyFill="1" applyBorder="1"/>
    <xf numFmtId="37" fontId="4" fillId="0" borderId="0" xfId="0" quotePrefix="1" applyNumberFormat="1" applyFont="1" applyFill="1" applyBorder="1" applyAlignment="1" applyProtection="1">
      <alignment horizontal="center"/>
    </xf>
    <xf numFmtId="37" fontId="4" fillId="0" borderId="5" xfId="0" applyFont="1" applyFill="1" applyBorder="1"/>
    <xf numFmtId="37" fontId="4" fillId="0" borderId="6" xfId="0" quotePrefix="1" applyNumberFormat="1" applyFont="1" applyFill="1" applyBorder="1" applyAlignment="1" applyProtection="1">
      <alignment horizontal="centerContinuous"/>
    </xf>
    <xf numFmtId="37" fontId="4" fillId="0" borderId="7" xfId="0" applyFont="1" applyFill="1" applyBorder="1" applyAlignment="1">
      <alignment horizontal="centerContinuous"/>
    </xf>
    <xf numFmtId="37" fontId="4" fillId="0" borderId="2" xfId="0" applyNumberFormat="1" applyFont="1" applyFill="1" applyBorder="1" applyAlignment="1" applyProtection="1">
      <alignment horizontal="centerContinuous"/>
    </xf>
    <xf numFmtId="37" fontId="4" fillId="0" borderId="2" xfId="0" applyFont="1" applyFill="1" applyBorder="1" applyAlignment="1">
      <alignment horizontal="centerContinuous"/>
    </xf>
    <xf numFmtId="37" fontId="4" fillId="0" borderId="8" xfId="0" applyNumberFormat="1" applyFont="1" applyFill="1" applyBorder="1" applyAlignment="1" applyProtection="1">
      <alignment horizontal="centerContinuous"/>
    </xf>
    <xf numFmtId="37" fontId="4" fillId="0" borderId="8" xfId="0" applyFont="1" applyFill="1" applyBorder="1"/>
    <xf numFmtId="37" fontId="4" fillId="0" borderId="1" xfId="0" applyNumberFormat="1" applyFont="1" applyFill="1" applyBorder="1" applyAlignment="1" applyProtection="1">
      <alignment horizontal="centerContinuous"/>
    </xf>
    <xf numFmtId="37" fontId="4" fillId="0" borderId="9" xfId="0" applyNumberFormat="1" applyFont="1" applyFill="1" applyBorder="1" applyProtection="1"/>
    <xf numFmtId="37" fontId="4" fillId="0" borderId="10" xfId="0" applyNumberFormat="1" applyFont="1" applyFill="1" applyBorder="1" applyAlignment="1" applyProtection="1"/>
    <xf numFmtId="37" fontId="4" fillId="0" borderId="11" xfId="0" applyFont="1" applyFill="1" applyBorder="1"/>
    <xf numFmtId="37" fontId="4" fillId="0" borderId="6" xfId="0" applyNumberFormat="1" applyFont="1" applyFill="1" applyBorder="1" applyAlignment="1" applyProtection="1">
      <alignment horizontal="centerContinuous"/>
    </xf>
    <xf numFmtId="37" fontId="4" fillId="0" borderId="4" xfId="0" applyFont="1" applyFill="1" applyBorder="1" applyAlignment="1">
      <alignment horizontal="centerContinuous"/>
    </xf>
    <xf numFmtId="37" fontId="4" fillId="0" borderId="0" xfId="0" applyNumberFormat="1" applyFont="1" applyFill="1" applyBorder="1" applyAlignment="1" applyProtection="1"/>
    <xf numFmtId="37" fontId="4" fillId="0" borderId="6" xfId="0" applyFont="1" applyFill="1" applyBorder="1" applyAlignment="1">
      <alignment horizontal="center"/>
    </xf>
    <xf numFmtId="37" fontId="4" fillId="0" borderId="7" xfId="0" applyFont="1" applyFill="1" applyBorder="1" applyAlignment="1">
      <alignment horizontal="center"/>
    </xf>
    <xf numFmtId="37" fontId="4" fillId="0" borderId="2" xfId="0" quotePrefix="1" applyNumberFormat="1" applyFont="1" applyFill="1" applyBorder="1" applyAlignment="1" applyProtection="1"/>
    <xf numFmtId="37" fontId="4" fillId="0" borderId="8" xfId="0" applyNumberFormat="1" applyFont="1" applyFill="1" applyBorder="1" applyAlignment="1" applyProtection="1"/>
    <xf numFmtId="37" fontId="4" fillId="0" borderId="12" xfId="0" applyFont="1" applyFill="1" applyBorder="1"/>
    <xf numFmtId="37" fontId="4" fillId="0" borderId="10" xfId="0" applyFont="1" applyFill="1" applyBorder="1"/>
    <xf numFmtId="37" fontId="4" fillId="0" borderId="7" xfId="0" applyFont="1" applyFill="1" applyBorder="1"/>
    <xf numFmtId="37" fontId="4" fillId="0" borderId="9" xfId="0" applyFont="1" applyFill="1" applyBorder="1"/>
    <xf numFmtId="37" fontId="4" fillId="0" borderId="10" xfId="0" applyFont="1" applyFill="1" applyBorder="1" applyAlignment="1">
      <alignment horizontal="center"/>
    </xf>
    <xf numFmtId="164" fontId="4" fillId="0" borderId="2" xfId="0" applyNumberFormat="1" applyFont="1" applyFill="1" applyBorder="1" applyProtection="1"/>
    <xf numFmtId="37" fontId="4" fillId="0" borderId="2" xfId="0" applyFont="1" applyFill="1" applyBorder="1" applyAlignment="1">
      <alignment horizontal="center"/>
    </xf>
    <xf numFmtId="37" fontId="4" fillId="0" borderId="13" xfId="0" applyNumberFormat="1" applyFont="1" applyFill="1" applyBorder="1" applyProtection="1"/>
    <xf numFmtId="37" fontId="4" fillId="0" borderId="0" xfId="0" applyFont="1" applyFill="1" applyBorder="1" applyAlignment="1">
      <alignment horizontal="center"/>
    </xf>
    <xf numFmtId="164" fontId="4" fillId="0" borderId="2" xfId="0" applyNumberFormat="1" applyFont="1" applyFill="1" applyBorder="1" applyAlignment="1" applyProtection="1">
      <alignment horizontal="right"/>
    </xf>
    <xf numFmtId="37" fontId="4" fillId="0" borderId="2" xfId="0" applyFont="1" applyFill="1" applyBorder="1" applyAlignment="1"/>
    <xf numFmtId="164" fontId="4" fillId="0" borderId="1" xfId="0" applyNumberFormat="1" applyFont="1" applyFill="1" applyBorder="1" applyProtection="1"/>
    <xf numFmtId="164" fontId="4" fillId="0" borderId="1" xfId="0" applyNumberFormat="1" applyFont="1" applyFill="1" applyBorder="1" applyAlignment="1" applyProtection="1"/>
    <xf numFmtId="164" fontId="4" fillId="0" borderId="2" xfId="0" quotePrefix="1" applyNumberFormat="1" applyFont="1" applyFill="1" applyBorder="1" applyAlignment="1" applyProtection="1">
      <alignment horizontal="left"/>
    </xf>
    <xf numFmtId="37" fontId="4" fillId="0" borderId="9" xfId="0" applyNumberFormat="1" applyFont="1" applyFill="1" applyBorder="1" applyAlignment="1" applyProtection="1"/>
    <xf numFmtId="37" fontId="4" fillId="0" borderId="12" xfId="0" quotePrefix="1" applyNumberFormat="1" applyFont="1" applyFill="1" applyBorder="1" applyAlignment="1" applyProtection="1">
      <alignment horizontal="left"/>
    </xf>
    <xf numFmtId="37" fontId="4" fillId="0" borderId="14" xfId="0" applyFont="1" applyFill="1" applyBorder="1" applyAlignment="1">
      <alignment horizontal="center"/>
    </xf>
    <xf numFmtId="37" fontId="4" fillId="0" borderId="8" xfId="0" applyFont="1" applyFill="1" applyBorder="1" applyAlignment="1">
      <alignment horizontal="center"/>
    </xf>
    <xf numFmtId="37" fontId="4" fillId="0" borderId="14" xfId="0" applyFont="1" applyFill="1" applyBorder="1"/>
    <xf numFmtId="37" fontId="5" fillId="0" borderId="14" xfId="0" applyFont="1" applyBorder="1"/>
    <xf numFmtId="37" fontId="5" fillId="0" borderId="8" xfId="0" applyFont="1" applyBorder="1"/>
    <xf numFmtId="37" fontId="4" fillId="0" borderId="8" xfId="0" applyFont="1" applyFill="1" applyBorder="1" applyAlignment="1">
      <alignment horizontal="centerContinuous"/>
    </xf>
    <xf numFmtId="37" fontId="4" fillId="0" borderId="7" xfId="0" applyNumberFormat="1" applyFont="1" applyFill="1" applyBorder="1" applyAlignment="1" applyProtection="1">
      <alignment horizontal="center"/>
    </xf>
    <xf numFmtId="37" fontId="4" fillId="0" borderId="13" xfId="0" applyFont="1" applyFill="1" applyBorder="1"/>
    <xf numFmtId="37" fontId="5" fillId="0" borderId="13" xfId="0" applyFont="1" applyBorder="1"/>
    <xf numFmtId="37" fontId="4" fillId="0" borderId="3" xfId="0" applyFont="1" applyFill="1" applyBorder="1" applyAlignment="1">
      <alignment horizontal="centerContinuous"/>
    </xf>
    <xf numFmtId="37" fontId="5" fillId="0" borderId="0" xfId="0" applyFont="1" applyBorder="1" applyAlignment="1">
      <alignment horizontal="center"/>
    </xf>
    <xf numFmtId="37" fontId="5" fillId="0" borderId="0" xfId="0" applyFont="1" applyBorder="1" applyAlignment="1"/>
    <xf numFmtId="37" fontId="5" fillId="0" borderId="0" xfId="0" applyFont="1" applyAlignment="1"/>
    <xf numFmtId="37" fontId="5" fillId="0" borderId="0" xfId="0" quotePrefix="1" applyNumberFormat="1" applyFont="1" applyBorder="1" applyAlignment="1" applyProtection="1"/>
    <xf numFmtId="37" fontId="6" fillId="0" borderId="0" xfId="0" applyFont="1" applyAlignment="1"/>
    <xf numFmtId="37" fontId="4" fillId="0" borderId="3" xfId="0" applyNumberFormat="1" applyFont="1" applyFill="1" applyBorder="1" applyAlignment="1" applyProtection="1"/>
    <xf numFmtId="37" fontId="4" fillId="0" borderId="3" xfId="0" applyFont="1" applyFill="1" applyBorder="1" applyAlignment="1"/>
    <xf numFmtId="37" fontId="4" fillId="0" borderId="4" xfId="0" applyFont="1" applyFill="1" applyBorder="1" applyAlignment="1"/>
    <xf numFmtId="4" fontId="4" fillId="0" borderId="2" xfId="0" applyNumberFormat="1" applyFont="1" applyFill="1" applyBorder="1" applyAlignment="1" applyProtection="1"/>
    <xf numFmtId="37" fontId="5" fillId="0" borderId="10" xfId="0" applyFont="1" applyBorder="1" applyAlignment="1"/>
    <xf numFmtId="3" fontId="4" fillId="0" borderId="2" xfId="0" applyNumberFormat="1" applyFont="1" applyFill="1" applyBorder="1" applyAlignment="1" applyProtection="1"/>
    <xf numFmtId="2" fontId="4" fillId="0" borderId="2" xfId="0" applyNumberFormat="1" applyFont="1" applyFill="1" applyBorder="1" applyAlignment="1" applyProtection="1"/>
    <xf numFmtId="37" fontId="4" fillId="0" borderId="4" xfId="0" quotePrefix="1" applyNumberFormat="1" applyFont="1" applyFill="1" applyBorder="1" applyAlignment="1" applyProtection="1">
      <alignment horizontal="center"/>
    </xf>
    <xf numFmtId="37" fontId="4" fillId="0" borderId="2" xfId="0" quotePrefix="1" applyNumberFormat="1" applyFont="1" applyFill="1" applyBorder="1" applyAlignment="1" applyProtection="1">
      <alignment horizontal="center"/>
    </xf>
    <xf numFmtId="37" fontId="5" fillId="0" borderId="2" xfId="0" applyFont="1" applyBorder="1" applyAlignment="1">
      <alignment horizontal="center"/>
    </xf>
    <xf numFmtId="37" fontId="5" fillId="0" borderId="4" xfId="0" applyFont="1" applyBorder="1" applyAlignment="1">
      <alignment horizontal="center"/>
    </xf>
    <xf numFmtId="37" fontId="4" fillId="2" borderId="2" xfId="0" applyNumberFormat="1" applyFont="1" applyFill="1" applyBorder="1" applyProtection="1"/>
    <xf numFmtId="37" fontId="4" fillId="2" borderId="2" xfId="0" applyNumberFormat="1" applyFont="1" applyFill="1" applyBorder="1" applyAlignment="1" applyProtection="1"/>
    <xf numFmtId="37" fontId="4" fillId="0" borderId="0" xfId="0" applyNumberFormat="1" applyFont="1" applyFill="1" applyBorder="1" applyAlignment="1" applyProtection="1">
      <alignment horizontal="left"/>
    </xf>
    <xf numFmtId="37" fontId="5" fillId="0" borderId="7" xfId="0" applyFont="1" applyBorder="1" applyAlignment="1">
      <alignment horizontal="centerContinuous"/>
    </xf>
    <xf numFmtId="37" fontId="4" fillId="0" borderId="9" xfId="0" quotePrefix="1" applyNumberFormat="1" applyFont="1" applyFill="1" applyBorder="1" applyAlignment="1" applyProtection="1"/>
    <xf numFmtId="37" fontId="4" fillId="0" borderId="8" xfId="0" quotePrefix="1" applyNumberFormat="1" applyFont="1" applyFill="1" applyBorder="1" applyAlignment="1" applyProtection="1">
      <alignment horizontal="left"/>
    </xf>
    <xf numFmtId="37" fontId="4" fillId="0" borderId="4" xfId="0" applyNumberFormat="1" applyFont="1" applyFill="1" applyBorder="1" applyProtection="1"/>
    <xf numFmtId="37" fontId="5" fillId="0" borderId="1" xfId="0" applyFont="1" applyBorder="1"/>
    <xf numFmtId="37" fontId="5" fillId="0" borderId="8" xfId="0" applyFont="1" applyBorder="1" applyAlignment="1">
      <alignment horizontal="centerContinuous"/>
    </xf>
    <xf numFmtId="37" fontId="5" fillId="0" borderId="2" xfId="0" applyFont="1" applyBorder="1" applyAlignment="1">
      <alignment horizontal="centerContinuous"/>
    </xf>
    <xf numFmtId="37" fontId="4" fillId="0" borderId="11" xfId="0" applyNumberFormat="1" applyFont="1" applyFill="1" applyBorder="1" applyProtection="1"/>
    <xf numFmtId="37" fontId="4" fillId="0" borderId="6" xfId="0" applyFont="1" applyFill="1" applyBorder="1" applyAlignment="1">
      <alignment horizontal="centerContinuous"/>
    </xf>
    <xf numFmtId="37" fontId="4" fillId="0" borderId="1" xfId="0" applyFont="1" applyFill="1" applyBorder="1" applyAlignment="1">
      <alignment horizontal="centerContinuous"/>
    </xf>
    <xf numFmtId="37" fontId="5" fillId="0" borderId="0" xfId="0" applyNumberFormat="1" applyFont="1" applyBorder="1" applyProtection="1"/>
    <xf numFmtId="37" fontId="5" fillId="0" borderId="0" xfId="0" applyNumberFormat="1" applyFont="1" applyBorder="1" applyAlignment="1" applyProtection="1">
      <alignment horizontal="center"/>
    </xf>
    <xf numFmtId="37" fontId="4" fillId="0" borderId="5" xfId="0" applyNumberFormat="1" applyFont="1" applyFill="1" applyBorder="1" applyAlignment="1" applyProtection="1">
      <alignment horizontal="centerContinuous"/>
    </xf>
    <xf numFmtId="37" fontId="5" fillId="0" borderId="6" xfId="0" applyFont="1" applyBorder="1" applyAlignment="1">
      <alignment horizontal="centerContinuous"/>
    </xf>
    <xf numFmtId="37" fontId="4" fillId="0" borderId="2" xfId="0" quotePrefix="1" applyNumberFormat="1" applyFont="1" applyFill="1" applyBorder="1" applyAlignment="1" applyProtection="1">
      <alignment horizontal="centerContinuous"/>
    </xf>
    <xf numFmtId="37" fontId="4" fillId="0" borderId="3" xfId="0" applyNumberFormat="1" applyFont="1" applyFill="1" applyBorder="1" applyAlignment="1" applyProtection="1">
      <alignment horizontal="center"/>
    </xf>
    <xf numFmtId="37" fontId="4" fillId="0" borderId="1" xfId="0" applyNumberFormat="1" applyFont="1" applyFill="1" applyBorder="1" applyAlignment="1" applyProtection="1">
      <alignment horizontal="center"/>
    </xf>
    <xf numFmtId="37" fontId="4" fillId="0" borderId="13" xfId="0" applyNumberFormat="1" applyFont="1" applyFill="1" applyBorder="1" applyAlignment="1" applyProtection="1">
      <alignment horizontal="center"/>
    </xf>
    <xf numFmtId="37" fontId="4" fillId="0" borderId="0" xfId="0" quotePrefix="1" applyNumberFormat="1" applyFont="1" applyFill="1" applyBorder="1" applyAlignment="1" applyProtection="1"/>
    <xf numFmtId="37" fontId="4" fillId="0" borderId="4" xfId="0" quotePrefix="1" applyNumberFormat="1" applyFont="1" applyFill="1" applyBorder="1" applyAlignment="1" applyProtection="1"/>
    <xf numFmtId="37" fontId="4" fillId="0" borderId="13" xfId="0" applyNumberFormat="1" applyFont="1" applyFill="1" applyBorder="1" applyAlignment="1" applyProtection="1">
      <alignment horizontal="centerContinuous"/>
    </xf>
    <xf numFmtId="37" fontId="5" fillId="0" borderId="4" xfId="0" applyFont="1" applyBorder="1" applyAlignment="1">
      <alignment horizontal="centerContinuous"/>
    </xf>
    <xf numFmtId="37" fontId="4" fillId="0" borderId="7" xfId="0" applyNumberFormat="1" applyFont="1" applyFill="1" applyBorder="1" applyAlignment="1" applyProtection="1">
      <alignment horizontal="centerContinuous"/>
    </xf>
    <xf numFmtId="37" fontId="4" fillId="0" borderId="14" xfId="0" applyNumberFormat="1" applyFont="1" applyFill="1" applyBorder="1" applyAlignment="1" applyProtection="1">
      <alignment horizontal="left"/>
    </xf>
    <xf numFmtId="37" fontId="5" fillId="0" borderId="12" xfId="0" applyFont="1" applyBorder="1"/>
    <xf numFmtId="37" fontId="5" fillId="0" borderId="6" xfId="0" applyFont="1" applyBorder="1"/>
    <xf numFmtId="37" fontId="5" fillId="0" borderId="7" xfId="0" applyFont="1" applyBorder="1"/>
    <xf numFmtId="37" fontId="5" fillId="0" borderId="15" xfId="0" applyFont="1" applyBorder="1"/>
    <xf numFmtId="37" fontId="5" fillId="0" borderId="12" xfId="0" quotePrefix="1" applyNumberFormat="1" applyFont="1" applyBorder="1" applyAlignment="1" applyProtection="1"/>
    <xf numFmtId="37" fontId="5" fillId="0" borderId="12" xfId="0" quotePrefix="1" applyNumberFormat="1" applyFont="1" applyBorder="1" applyAlignment="1" applyProtection="1">
      <alignment horizontal="left"/>
    </xf>
    <xf numFmtId="37" fontId="5" fillId="0" borderId="12" xfId="0" applyNumberFormat="1" applyFont="1" applyBorder="1" applyAlignment="1" applyProtection="1"/>
    <xf numFmtId="37" fontId="5" fillId="0" borderId="10" xfId="0" applyFont="1" applyBorder="1"/>
    <xf numFmtId="37" fontId="4" fillId="0" borderId="8" xfId="0" applyNumberFormat="1" applyFont="1" applyFill="1" applyBorder="1" applyProtection="1"/>
    <xf numFmtId="37" fontId="4" fillId="0" borderId="14" xfId="0" applyFont="1" applyFill="1" applyBorder="1" applyAlignment="1">
      <alignment horizontal="centerContinuous"/>
    </xf>
    <xf numFmtId="37" fontId="4" fillId="0" borderId="12" xfId="0" applyNumberFormat="1" applyFont="1" applyFill="1" applyBorder="1" applyAlignment="1" applyProtection="1"/>
    <xf numFmtId="37" fontId="4" fillId="0" borderId="1" xfId="0" applyFont="1" applyFill="1" applyBorder="1"/>
    <xf numFmtId="37" fontId="5" fillId="0" borderId="3" xfId="0" applyNumberFormat="1" applyFont="1" applyBorder="1" applyProtection="1"/>
    <xf numFmtId="37" fontId="5" fillId="2" borderId="0" xfId="0" applyFont="1" applyFill="1" applyBorder="1"/>
    <xf numFmtId="37" fontId="5" fillId="2" borderId="4" xfId="0" applyFont="1" applyFill="1" applyBorder="1"/>
    <xf numFmtId="37" fontId="5" fillId="0" borderId="9" xfId="0" applyFont="1" applyBorder="1"/>
    <xf numFmtId="37" fontId="4" fillId="0" borderId="12" xfId="0" applyNumberFormat="1" applyFont="1" applyFill="1" applyBorder="1" applyAlignment="1" applyProtection="1">
      <alignment horizontal="left"/>
    </xf>
    <xf numFmtId="37" fontId="4" fillId="0" borderId="10" xfId="0" applyNumberFormat="1" applyFont="1" applyFill="1" applyBorder="1" applyAlignment="1" applyProtection="1">
      <alignment horizontal="right"/>
    </xf>
    <xf numFmtId="37" fontId="5" fillId="0" borderId="10" xfId="0" applyNumberFormat="1" applyFont="1" applyBorder="1" applyProtection="1"/>
    <xf numFmtId="37" fontId="5" fillId="2" borderId="12" xfId="0" applyFont="1" applyFill="1" applyBorder="1"/>
    <xf numFmtId="37" fontId="5" fillId="2" borderId="10" xfId="0" applyFont="1" applyFill="1" applyBorder="1"/>
    <xf numFmtId="37" fontId="4" fillId="0" borderId="1" xfId="0" applyFont="1" applyFill="1" applyBorder="1" applyAlignment="1"/>
    <xf numFmtId="37" fontId="5" fillId="0" borderId="16" xfId="0" applyFont="1" applyBorder="1"/>
    <xf numFmtId="37" fontId="5" fillId="0" borderId="17" xfId="0" applyFont="1" applyBorder="1"/>
    <xf numFmtId="37" fontId="5" fillId="0" borderId="18" xfId="0" applyFont="1" applyBorder="1"/>
    <xf numFmtId="37" fontId="5" fillId="0" borderId="19" xfId="0" applyFont="1" applyBorder="1"/>
    <xf numFmtId="37" fontId="5" fillId="0" borderId="20" xfId="0" applyFont="1" applyBorder="1"/>
    <xf numFmtId="37" fontId="5" fillId="0" borderId="21" xfId="0" applyFont="1" applyBorder="1"/>
    <xf numFmtId="37" fontId="5" fillId="0" borderId="22" xfId="0" applyFont="1" applyBorder="1"/>
    <xf numFmtId="37" fontId="5" fillId="0" borderId="23" xfId="0" applyFont="1" applyBorder="1"/>
    <xf numFmtId="37" fontId="5" fillId="0" borderId="17" xfId="0" applyFont="1" applyBorder="1" applyAlignment="1">
      <alignment horizontal="center"/>
    </xf>
    <xf numFmtId="37" fontId="5" fillId="0" borderId="17" xfId="0" applyFont="1" applyBorder="1" applyAlignment="1">
      <alignment horizontal="right"/>
    </xf>
    <xf numFmtId="37" fontId="5" fillId="0" borderId="0" xfId="0" applyFont="1" applyBorder="1" applyAlignment="1">
      <alignment horizontal="right"/>
    </xf>
    <xf numFmtId="37" fontId="5" fillId="0" borderId="24" xfId="0" applyFont="1" applyBorder="1"/>
    <xf numFmtId="37" fontId="5" fillId="0" borderId="8" xfId="0" applyFont="1" applyBorder="1" applyAlignment="1">
      <alignment horizontal="center"/>
    </xf>
    <xf numFmtId="37" fontId="5" fillId="0" borderId="25" xfId="0" applyFont="1" applyBorder="1"/>
    <xf numFmtId="37" fontId="5" fillId="0" borderId="26" xfId="0" applyFont="1" applyBorder="1"/>
    <xf numFmtId="37" fontId="5" fillId="0" borderId="27" xfId="0" applyFont="1" applyBorder="1"/>
    <xf numFmtId="37" fontId="5" fillId="0" borderId="28" xfId="0" quotePrefix="1" applyFont="1" applyBorder="1" applyAlignment="1">
      <alignment horizontal="left"/>
    </xf>
    <xf numFmtId="37" fontId="5" fillId="0" borderId="29" xfId="0" applyFont="1" applyBorder="1"/>
    <xf numFmtId="37" fontId="5" fillId="0" borderId="28" xfId="0" applyFont="1" applyBorder="1" applyAlignment="1">
      <alignment horizontal="center"/>
    </xf>
    <xf numFmtId="37" fontId="5" fillId="0" borderId="30" xfId="0" applyFont="1" applyBorder="1"/>
    <xf numFmtId="37" fontId="5" fillId="0" borderId="31" xfId="0" applyFont="1" applyBorder="1"/>
    <xf numFmtId="37" fontId="5" fillId="0" borderId="31" xfId="0" applyFont="1" applyBorder="1" applyAlignment="1">
      <alignment horizontal="center"/>
    </xf>
    <xf numFmtId="37" fontId="5" fillId="0" borderId="32" xfId="0" applyFont="1" applyBorder="1"/>
    <xf numFmtId="37" fontId="8" fillId="0" borderId="0" xfId="0" applyFont="1"/>
    <xf numFmtId="37" fontId="6" fillId="0" borderId="0" xfId="0" quotePrefix="1" applyFont="1" applyAlignment="1">
      <alignment horizontal="right"/>
    </xf>
    <xf numFmtId="37" fontId="7" fillId="0" borderId="0" xfId="0" quotePrefix="1" applyFont="1" applyAlignment="1">
      <alignment horizontal="right"/>
    </xf>
    <xf numFmtId="37" fontId="5" fillId="0" borderId="0" xfId="0" quotePrefix="1" applyFont="1" applyBorder="1" applyAlignment="1">
      <alignment horizontal="right"/>
    </xf>
    <xf numFmtId="37" fontId="4" fillId="0" borderId="0" xfId="0" quotePrefix="1" applyNumberFormat="1" applyFont="1" applyFill="1" applyBorder="1" applyAlignment="1" applyProtection="1">
      <alignment horizontal="right"/>
    </xf>
    <xf numFmtId="37" fontId="5" fillId="0" borderId="0" xfId="0" quotePrefix="1" applyFont="1" applyAlignment="1">
      <alignment horizontal="right"/>
    </xf>
    <xf numFmtId="37" fontId="3" fillId="3" borderId="0" xfId="0" applyFont="1" applyFill="1" applyAlignment="1" applyProtection="1">
      <alignment horizontal="center"/>
    </xf>
    <xf numFmtId="37" fontId="3" fillId="3" borderId="0" xfId="0" quotePrefix="1" applyFont="1" applyFill="1" applyAlignment="1" applyProtection="1">
      <alignment horizontal="left"/>
    </xf>
    <xf numFmtId="37" fontId="3" fillId="3" borderId="0" xfId="0" applyFont="1" applyFill="1" applyAlignment="1" applyProtection="1">
      <alignment horizontal="right"/>
    </xf>
    <xf numFmtId="37" fontId="3" fillId="3" borderId="0" xfId="0" applyFont="1" applyFill="1" applyAlignment="1" applyProtection="1"/>
    <xf numFmtId="37" fontId="9" fillId="4" borderId="1" xfId="0" applyFont="1" applyFill="1" applyBorder="1" applyProtection="1">
      <protection locked="0"/>
    </xf>
    <xf numFmtId="37" fontId="3" fillId="3" borderId="0" xfId="0" applyFont="1" applyFill="1" applyProtection="1"/>
    <xf numFmtId="37" fontId="9" fillId="3" borderId="0" xfId="0" applyFont="1" applyFill="1" applyAlignment="1" applyProtection="1">
      <alignment horizontal="center"/>
    </xf>
    <xf numFmtId="37" fontId="3" fillId="3" borderId="0" xfId="0" quotePrefix="1" applyFont="1" applyFill="1" applyAlignment="1" applyProtection="1"/>
    <xf numFmtId="37" fontId="9" fillId="3" borderId="0" xfId="0" applyFont="1" applyFill="1" applyProtection="1"/>
    <xf numFmtId="37" fontId="3" fillId="0" borderId="0" xfId="0" applyFont="1" applyAlignment="1" applyProtection="1"/>
    <xf numFmtId="37" fontId="3" fillId="0" borderId="0" xfId="0" applyFont="1" applyProtection="1"/>
    <xf numFmtId="37" fontId="3" fillId="0" borderId="0" xfId="0" applyFont="1" applyAlignment="1" applyProtection="1">
      <alignment horizontal="center"/>
    </xf>
    <xf numFmtId="38" fontId="3" fillId="3" borderId="0" xfId="0" applyNumberFormat="1" applyFont="1" applyFill="1" applyAlignment="1" applyProtection="1">
      <alignment horizontal="center"/>
    </xf>
    <xf numFmtId="37" fontId="9" fillId="0" borderId="1" xfId="0" applyNumberFormat="1" applyFont="1" applyBorder="1" applyAlignment="1" applyProtection="1">
      <protection locked="0"/>
    </xf>
    <xf numFmtId="37" fontId="9" fillId="0" borderId="1" xfId="0" quotePrefix="1" applyNumberFormat="1" applyFont="1" applyBorder="1" applyProtection="1">
      <protection locked="0"/>
    </xf>
    <xf numFmtId="37" fontId="9" fillId="0" borderId="1" xfId="1" quotePrefix="1" applyNumberFormat="1" applyFont="1" applyBorder="1" applyProtection="1">
      <protection locked="0"/>
    </xf>
    <xf numFmtId="39" fontId="9" fillId="0" borderId="1" xfId="3" quotePrefix="1" applyNumberFormat="1" applyFont="1" applyBorder="1" applyProtection="1">
      <protection locked="0"/>
    </xf>
    <xf numFmtId="39" fontId="9" fillId="0" borderId="1" xfId="0" quotePrefix="1" applyNumberFormat="1" applyFont="1" applyBorder="1" applyProtection="1">
      <protection locked="0"/>
    </xf>
    <xf numFmtId="37" fontId="9" fillId="4" borderId="1" xfId="0" quotePrefix="1" applyNumberFormat="1" applyFont="1" applyFill="1" applyBorder="1" applyProtection="1">
      <protection locked="0"/>
    </xf>
    <xf numFmtId="38" fontId="9" fillId="4" borderId="1" xfId="0" applyNumberFormat="1" applyFont="1" applyFill="1" applyBorder="1" applyProtection="1">
      <protection locked="0"/>
    </xf>
    <xf numFmtId="38" fontId="3" fillId="3" borderId="0" xfId="0" applyNumberFormat="1" applyFont="1" applyFill="1" applyAlignment="1" applyProtection="1">
      <alignment horizontal="right"/>
    </xf>
    <xf numFmtId="38" fontId="3" fillId="3" borderId="0" xfId="0" applyNumberFormat="1" applyFont="1" applyFill="1" applyProtection="1"/>
    <xf numFmtId="38" fontId="9" fillId="3" borderId="0" xfId="0" applyNumberFormat="1" applyFont="1" applyFill="1" applyAlignment="1" applyProtection="1">
      <alignment horizontal="center"/>
    </xf>
    <xf numFmtId="38" fontId="9" fillId="3" borderId="0" xfId="0" applyNumberFormat="1" applyFont="1" applyFill="1" applyProtection="1"/>
    <xf numFmtId="37" fontId="3" fillId="0" borderId="0" xfId="0" applyFont="1" applyFill="1" applyAlignment="1" applyProtection="1"/>
    <xf numFmtId="37" fontId="3" fillId="3" borderId="0" xfId="0" applyNumberFormat="1" applyFont="1" applyFill="1" applyProtection="1"/>
    <xf numFmtId="164" fontId="3" fillId="0" borderId="0" xfId="0" applyNumberFormat="1" applyFont="1" applyProtection="1"/>
    <xf numFmtId="39" fontId="3" fillId="0" borderId="0" xfId="0" applyNumberFormat="1" applyFont="1" applyProtection="1"/>
    <xf numFmtId="37" fontId="3" fillId="0" borderId="0" xfId="0" applyFont="1" applyAlignment="1" applyProtection="1">
      <alignment horizontal="left"/>
    </xf>
    <xf numFmtId="37" fontId="3" fillId="0" borderId="0" xfId="0" quotePrefix="1" applyFont="1" applyAlignment="1" applyProtection="1">
      <alignment horizontal="left"/>
    </xf>
    <xf numFmtId="164" fontId="3" fillId="0" borderId="0" xfId="0" applyNumberFormat="1" applyFont="1" applyAlignment="1" applyProtection="1">
      <alignment horizontal="left"/>
    </xf>
    <xf numFmtId="37" fontId="3" fillId="2" borderId="0" xfId="0" applyFont="1" applyFill="1" applyAlignment="1" applyProtection="1">
      <alignment horizontal="centerContinuous"/>
    </xf>
    <xf numFmtId="37" fontId="3" fillId="2" borderId="0" xfId="0" applyFont="1" applyFill="1" applyAlignment="1" applyProtection="1">
      <alignment horizontal="left"/>
    </xf>
    <xf numFmtId="37" fontId="3" fillId="2" borderId="0" xfId="0" applyFont="1" applyFill="1" applyAlignment="1" applyProtection="1">
      <alignment horizontal="center"/>
    </xf>
    <xf numFmtId="38" fontId="9" fillId="4" borderId="2" xfId="0" applyNumberFormat="1" applyFont="1" applyFill="1" applyBorder="1" applyProtection="1">
      <protection locked="0"/>
    </xf>
    <xf numFmtId="38" fontId="9" fillId="4" borderId="8" xfId="0" applyNumberFormat="1" applyFont="1" applyFill="1" applyBorder="1" applyProtection="1">
      <protection locked="0"/>
    </xf>
    <xf numFmtId="37" fontId="3" fillId="0" borderId="0" xfId="0" quotePrefix="1" applyFont="1" applyAlignment="1" applyProtection="1">
      <alignment horizontal="fill"/>
    </xf>
    <xf numFmtId="37" fontId="3" fillId="3" borderId="0" xfId="0" quotePrefix="1" applyFont="1" applyFill="1" applyAlignment="1" applyProtection="1">
      <alignment horizontal="centerContinuous"/>
    </xf>
    <xf numFmtId="37" fontId="3" fillId="3" borderId="0" xfId="0" applyFont="1" applyFill="1" applyAlignment="1" applyProtection="1">
      <alignment horizontal="centerContinuous"/>
    </xf>
    <xf numFmtId="37" fontId="3" fillId="2" borderId="0" xfId="0" applyFont="1" applyFill="1" applyAlignment="1" applyProtection="1"/>
    <xf numFmtId="37" fontId="4" fillId="5" borderId="2" xfId="0" applyFont="1" applyFill="1" applyBorder="1" applyAlignment="1"/>
    <xf numFmtId="37" fontId="4" fillId="6" borderId="2" xfId="0" applyFont="1" applyFill="1" applyBorder="1" applyAlignment="1"/>
    <xf numFmtId="37" fontId="4" fillId="6" borderId="2" xfId="0" applyFont="1" applyFill="1" applyBorder="1" applyAlignment="1">
      <alignment horizontal="center"/>
    </xf>
    <xf numFmtId="37" fontId="4" fillId="6" borderId="2" xfId="0" quotePrefix="1" applyNumberFormat="1" applyFont="1" applyFill="1" applyBorder="1" applyAlignment="1" applyProtection="1">
      <alignment horizontal="center"/>
    </xf>
    <xf numFmtId="37" fontId="4" fillId="6" borderId="2" xfId="0" applyNumberFormat="1" applyFont="1" applyFill="1" applyBorder="1" applyAlignment="1" applyProtection="1"/>
    <xf numFmtId="37" fontId="4" fillId="6" borderId="2" xfId="0" quotePrefix="1" applyFont="1" applyFill="1" applyBorder="1" applyAlignment="1"/>
    <xf numFmtId="39" fontId="4" fillId="6" borderId="2" xfId="0" quotePrefix="1" applyNumberFormat="1" applyFont="1" applyFill="1" applyBorder="1" applyAlignment="1" applyProtection="1">
      <alignment horizontal="center"/>
    </xf>
    <xf numFmtId="39" fontId="4" fillId="6" borderId="2" xfId="0" applyNumberFormat="1" applyFont="1" applyFill="1" applyBorder="1" applyAlignment="1" applyProtection="1"/>
    <xf numFmtId="3" fontId="4" fillId="6" borderId="2" xfId="0" applyNumberFormat="1" applyFont="1" applyFill="1" applyBorder="1" applyAlignment="1" applyProtection="1"/>
    <xf numFmtId="3" fontId="4" fillId="6" borderId="2" xfId="0" applyNumberFormat="1" applyFont="1" applyFill="1" applyBorder="1" applyAlignment="1"/>
    <xf numFmtId="37" fontId="4" fillId="6" borderId="2" xfId="0" applyNumberFormat="1" applyFont="1" applyFill="1" applyBorder="1" applyAlignment="1"/>
    <xf numFmtId="39" fontId="9" fillId="0" borderId="1" xfId="1" quotePrefix="1" applyNumberFormat="1" applyFont="1" applyBorder="1" applyProtection="1">
      <protection locked="0"/>
    </xf>
    <xf numFmtId="38" fontId="9" fillId="4" borderId="1" xfId="0" applyNumberFormat="1" applyFont="1" applyFill="1" applyBorder="1" applyAlignment="1" applyProtection="1">
      <alignment horizontal="center"/>
      <protection locked="0"/>
    </xf>
    <xf numFmtId="39" fontId="9" fillId="0" borderId="1" xfId="0" applyNumberFormat="1" applyFont="1" applyBorder="1" applyProtection="1">
      <protection locked="0"/>
    </xf>
    <xf numFmtId="37" fontId="9" fillId="0" borderId="1" xfId="1" applyNumberFormat="1" applyFont="1" applyBorder="1" applyProtection="1">
      <protection locked="0"/>
    </xf>
    <xf numFmtId="165" fontId="9" fillId="0" borderId="1" xfId="1" quotePrefix="1" applyNumberFormat="1" applyFont="1" applyBorder="1" applyProtection="1">
      <protection locked="0"/>
    </xf>
    <xf numFmtId="38" fontId="9" fillId="4" borderId="1" xfId="0" quotePrefix="1" applyNumberFormat="1" applyFont="1" applyFill="1" applyBorder="1" applyAlignment="1" applyProtection="1">
      <alignment horizontal="left"/>
      <protection locked="0"/>
    </xf>
    <xf numFmtId="37" fontId="11" fillId="0" borderId="0" xfId="2" applyNumberFormat="1" applyFont="1" applyAlignment="1" applyProtection="1">
      <alignment horizontal="left"/>
    </xf>
    <xf numFmtId="3" fontId="5" fillId="0" borderId="2" xfId="0" applyNumberFormat="1" applyFont="1" applyFill="1" applyBorder="1" applyAlignment="1" applyProtection="1"/>
    <xf numFmtId="38" fontId="9" fillId="4" borderId="14" xfId="0" applyNumberFormat="1" applyFont="1" applyFill="1" applyBorder="1" applyProtection="1">
      <protection locked="0"/>
    </xf>
    <xf numFmtId="38" fontId="9" fillId="4" borderId="14" xfId="0" quotePrefix="1" applyNumberFormat="1" applyFont="1" applyFill="1" applyBorder="1" applyAlignment="1" applyProtection="1">
      <alignment horizontal="left"/>
      <protection locked="0"/>
    </xf>
    <xf numFmtId="38" fontId="9" fillId="3" borderId="8" xfId="0" applyNumberFormat="1" applyFont="1" applyFill="1" applyBorder="1" applyAlignment="1" applyProtection="1">
      <alignment horizontal="center"/>
      <protection locked="0"/>
    </xf>
    <xf numFmtId="37" fontId="3" fillId="0" borderId="0" xfId="0" applyFont="1" applyFill="1" applyAlignment="1" applyProtection="1">
      <alignment horizontal="left"/>
    </xf>
    <xf numFmtId="37" fontId="3" fillId="0" borderId="0" xfId="0" applyFont="1" applyFill="1" applyProtection="1"/>
    <xf numFmtId="38" fontId="3" fillId="0" borderId="0" xfId="0" applyNumberFormat="1" applyFont="1" applyFill="1" applyProtection="1"/>
    <xf numFmtId="38" fontId="3" fillId="0" borderId="0" xfId="0" applyNumberFormat="1" applyFont="1" applyProtection="1"/>
    <xf numFmtId="37" fontId="11" fillId="0" borderId="0" xfId="2" applyNumberFormat="1" applyAlignment="1" applyProtection="1"/>
    <xf numFmtId="37" fontId="3" fillId="7" borderId="0" xfId="0" applyFont="1" applyFill="1" applyProtection="1"/>
    <xf numFmtId="37" fontId="3" fillId="7" borderId="0" xfId="0" quotePrefix="1" applyFont="1" applyFill="1" applyAlignment="1" applyProtection="1">
      <alignment horizontal="left"/>
    </xf>
    <xf numFmtId="38" fontId="3" fillId="7" borderId="0" xfId="0" applyNumberFormat="1" applyFont="1" applyFill="1" applyProtection="1"/>
    <xf numFmtId="37" fontId="3" fillId="0" borderId="0" xfId="0" quotePrefix="1" applyFont="1" applyAlignment="1" applyProtection="1"/>
    <xf numFmtId="0" fontId="3" fillId="0" borderId="0" xfId="0" applyNumberFormat="1" applyFont="1" applyAlignment="1" applyProtection="1">
      <alignment horizontal="center"/>
    </xf>
    <xf numFmtId="0" fontId="3" fillId="0" borderId="0" xfId="0" applyNumberFormat="1" applyFont="1" applyAlignment="1" applyProtection="1"/>
    <xf numFmtId="0" fontId="3" fillId="0" borderId="0" xfId="0" quotePrefix="1" applyNumberFormat="1" applyFont="1" applyAlignment="1" applyProtection="1">
      <alignment horizontal="center"/>
    </xf>
    <xf numFmtId="37" fontId="3" fillId="3" borderId="0" xfId="0" quotePrefix="1" applyFont="1" applyFill="1" applyAlignment="1" applyProtection="1">
      <alignment horizontal="center"/>
    </xf>
    <xf numFmtId="37" fontId="3" fillId="3" borderId="0" xfId="0" quotePrefix="1" applyNumberFormat="1" applyFont="1" applyFill="1" applyAlignment="1" applyProtection="1"/>
    <xf numFmtId="166" fontId="3" fillId="3" borderId="0" xfId="0" applyNumberFormat="1" applyFont="1" applyFill="1" applyAlignment="1" applyProtection="1">
      <alignment horizontal="center"/>
    </xf>
    <xf numFmtId="37" fontId="3" fillId="3" borderId="0" xfId="0" quotePrefix="1" applyFont="1" applyFill="1" applyAlignment="1" applyProtection="1">
      <alignment horizontal="fill"/>
    </xf>
    <xf numFmtId="37" fontId="3" fillId="3" borderId="0" xfId="1" applyNumberFormat="1" applyFont="1" applyFill="1" applyProtection="1"/>
    <xf numFmtId="37" fontId="3" fillId="3" borderId="0" xfId="0" quotePrefix="1" applyNumberFormat="1" applyFont="1" applyFill="1" applyAlignment="1" applyProtection="1">
      <alignment horizontal="fill"/>
    </xf>
    <xf numFmtId="39" fontId="3" fillId="3" borderId="0" xfId="0" quotePrefix="1" applyNumberFormat="1" applyFont="1" applyFill="1" applyAlignment="1" applyProtection="1">
      <alignment horizontal="left"/>
    </xf>
    <xf numFmtId="4" fontId="3" fillId="3" borderId="0" xfId="0" applyNumberFormat="1" applyFont="1" applyFill="1" applyProtection="1"/>
    <xf numFmtId="37" fontId="3" fillId="0" borderId="0" xfId="0" applyNumberFormat="1" applyFont="1" applyProtection="1"/>
    <xf numFmtId="37" fontId="3" fillId="3" borderId="0" xfId="1" quotePrefix="1" applyNumberFormat="1" applyFont="1" applyFill="1" applyAlignment="1" applyProtection="1">
      <alignment horizontal="fill"/>
    </xf>
    <xf numFmtId="39" fontId="3" fillId="3" borderId="0" xfId="0" quotePrefix="1" applyNumberFormat="1" applyFont="1" applyFill="1" applyAlignment="1" applyProtection="1">
      <alignment horizontal="fill"/>
    </xf>
    <xf numFmtId="39" fontId="3" fillId="3" borderId="0" xfId="0" applyNumberFormat="1" applyFont="1" applyFill="1" applyProtection="1"/>
    <xf numFmtId="37" fontId="10" fillId="3" borderId="0" xfId="0" applyFont="1" applyFill="1" applyProtection="1"/>
    <xf numFmtId="37" fontId="9" fillId="3" borderId="0" xfId="0" applyFont="1" applyFill="1" applyAlignment="1" applyProtection="1">
      <alignment horizontal="centerContinuous"/>
    </xf>
    <xf numFmtId="37" fontId="9" fillId="3" borderId="0" xfId="0" quotePrefix="1" applyFont="1" applyFill="1" applyAlignment="1" applyProtection="1">
      <alignment horizontal="left"/>
    </xf>
    <xf numFmtId="37" fontId="0" fillId="0" borderId="0" xfId="0" applyProtection="1"/>
    <xf numFmtId="3" fontId="3" fillId="0" borderId="0" xfId="0" applyNumberFormat="1" applyFont="1" applyProtection="1"/>
    <xf numFmtId="1" fontId="3" fillId="0" borderId="0" xfId="0" applyNumberFormat="1" applyFont="1" applyAlignment="1" applyProtection="1">
      <alignment horizontal="center"/>
    </xf>
    <xf numFmtId="37" fontId="3" fillId="0" borderId="0" xfId="0" quotePrefix="1" applyFont="1" applyAlignment="1" applyProtection="1">
      <alignment horizontal="center"/>
    </xf>
    <xf numFmtId="2" fontId="3" fillId="0" borderId="0" xfId="0" applyNumberFormat="1" applyFont="1" applyProtection="1"/>
    <xf numFmtId="2" fontId="3" fillId="0" borderId="0" xfId="0" applyNumberFormat="1" applyFont="1" applyAlignment="1" applyProtection="1"/>
    <xf numFmtId="10" fontId="3" fillId="0" borderId="0" xfId="0" applyNumberFormat="1" applyFont="1" applyProtection="1"/>
    <xf numFmtId="37" fontId="9" fillId="0" borderId="0" xfId="0" applyFont="1" applyProtection="1"/>
    <xf numFmtId="37" fontId="3" fillId="0" borderId="0" xfId="0" applyFont="1" applyProtection="1">
      <protection locked="0"/>
    </xf>
    <xf numFmtId="37" fontId="5" fillId="0" borderId="0" xfId="0" applyFont="1" applyAlignment="1" applyProtection="1"/>
    <xf numFmtId="37" fontId="5" fillId="0" borderId="0" xfId="0" applyFont="1" applyProtection="1"/>
    <xf numFmtId="49" fontId="9" fillId="4" borderId="1" xfId="0" applyNumberFormat="1" applyFont="1" applyFill="1" applyBorder="1" applyAlignment="1" applyProtection="1">
      <alignment horizontal="left"/>
      <protection locked="0"/>
    </xf>
    <xf numFmtId="38" fontId="9" fillId="4" borderId="14" xfId="0" quotePrefix="1" applyNumberFormat="1" applyFont="1" applyFill="1" applyBorder="1" applyProtection="1">
      <protection locked="0"/>
    </xf>
    <xf numFmtId="37" fontId="3" fillId="3" borderId="0" xfId="0" applyFont="1" applyFill="1" applyAlignment="1" applyProtection="1">
      <alignment horizontal="left"/>
    </xf>
    <xf numFmtId="37" fontId="3" fillId="8" borderId="0" xfId="0" applyFont="1" applyFill="1" applyProtection="1"/>
    <xf numFmtId="37" fontId="4" fillId="0" borderId="8" xfId="0" applyNumberFormat="1" applyFont="1" applyFill="1" applyBorder="1" applyAlignment="1" applyProtection="1">
      <alignment horizontal="left"/>
    </xf>
    <xf numFmtId="164" fontId="4" fillId="0" borderId="3" xfId="0" applyNumberFormat="1" applyFont="1" applyFill="1" applyBorder="1" applyAlignment="1" applyProtection="1"/>
    <xf numFmtId="37" fontId="3" fillId="2" borderId="0" xfId="0" applyFont="1" applyFill="1" applyAlignment="1" applyProtection="1">
      <alignment horizontal="right"/>
    </xf>
    <xf numFmtId="37" fontId="3" fillId="0" borderId="0" xfId="0" applyFont="1" applyAlignment="1" applyProtection="1">
      <alignment horizontal="right"/>
    </xf>
    <xf numFmtId="4" fontId="3" fillId="2" borderId="0" xfId="0" applyNumberFormat="1" applyFont="1" applyFill="1" applyAlignment="1" applyProtection="1">
      <alignment horizontal="right"/>
    </xf>
    <xf numFmtId="39" fontId="3" fillId="2" borderId="0" xfId="0" applyNumberFormat="1" applyFont="1" applyFill="1" applyAlignment="1" applyProtection="1">
      <alignment horizontal="right"/>
    </xf>
    <xf numFmtId="37" fontId="3" fillId="0" borderId="0" xfId="0" quotePrefix="1" applyFont="1" applyAlignment="1" applyProtection="1">
      <alignment horizontal="right"/>
    </xf>
    <xf numFmtId="2" fontId="3" fillId="0" borderId="0" xfId="0" applyNumberFormat="1" applyFont="1" applyAlignment="1" applyProtection="1">
      <alignment horizontal="right"/>
    </xf>
    <xf numFmtId="37" fontId="3" fillId="2" borderId="0" xfId="0" applyFont="1" applyFill="1" applyProtection="1"/>
    <xf numFmtId="37" fontId="3" fillId="2" borderId="0" xfId="0" quotePrefix="1" applyFont="1" applyFill="1" applyAlignment="1" applyProtection="1">
      <alignment horizontal="center"/>
    </xf>
    <xf numFmtId="37" fontId="3" fillId="2" borderId="0" xfId="0" quotePrefix="1" applyFont="1" applyFill="1" applyAlignment="1" applyProtection="1"/>
    <xf numFmtId="4" fontId="3" fillId="2" borderId="0" xfId="0" applyNumberFormat="1" applyFont="1" applyFill="1" applyProtection="1"/>
    <xf numFmtId="39" fontId="3" fillId="2" borderId="0" xfId="0" applyNumberFormat="1" applyFont="1" applyFill="1" applyProtection="1"/>
    <xf numFmtId="37" fontId="12" fillId="0" borderId="0" xfId="2" applyNumberFormat="1" applyFont="1" applyAlignment="1" applyProtection="1"/>
    <xf numFmtId="38" fontId="3" fillId="8" borderId="0" xfId="0" applyNumberFormat="1" applyFont="1" applyFill="1" applyProtection="1"/>
    <xf numFmtId="37" fontId="13" fillId="0" borderId="23" xfId="0" applyFont="1" applyBorder="1" applyAlignment="1">
      <alignment horizontal="right"/>
    </xf>
    <xf numFmtId="37" fontId="9" fillId="0" borderId="0" xfId="2" applyNumberFormat="1" applyFont="1" applyAlignment="1" applyProtection="1">
      <alignment horizontal="left"/>
    </xf>
    <xf numFmtId="37" fontId="3" fillId="8" borderId="0" xfId="0" quotePrefix="1" applyFont="1" applyFill="1" applyAlignment="1" applyProtection="1">
      <alignment horizontal="left"/>
    </xf>
    <xf numFmtId="37" fontId="3" fillId="0" borderId="0" xfId="2" applyNumberFormat="1" applyFont="1" applyAlignment="1" applyProtection="1"/>
    <xf numFmtId="37" fontId="15" fillId="0" borderId="0" xfId="0" quotePrefix="1" applyFont="1" applyAlignment="1" applyProtection="1">
      <alignment horizontal="left"/>
    </xf>
    <xf numFmtId="37" fontId="15" fillId="0" borderId="0" xfId="2" applyNumberFormat="1" applyFont="1" applyAlignment="1" applyProtection="1"/>
    <xf numFmtId="37" fontId="3" fillId="3" borderId="0" xfId="0" applyFont="1" applyFill="1"/>
    <xf numFmtId="38" fontId="3" fillId="3" borderId="0" xfId="0" applyNumberFormat="1" applyFont="1" applyFill="1" applyAlignment="1">
      <alignment horizontal="center"/>
    </xf>
    <xf numFmtId="37" fontId="3" fillId="3" borderId="0" xfId="0" applyFont="1" applyFill="1" applyAlignment="1">
      <alignment horizontal="center"/>
    </xf>
    <xf numFmtId="37" fontId="3" fillId="3" borderId="0" xfId="0" quotePrefix="1" applyFont="1" applyFill="1" applyAlignment="1">
      <alignment horizontal="center"/>
    </xf>
    <xf numFmtId="37" fontId="9" fillId="0" borderId="1" xfId="0" applyFont="1" applyBorder="1" applyProtection="1">
      <protection locked="0"/>
    </xf>
    <xf numFmtId="37" fontId="9" fillId="0" borderId="1" xfId="0" quotePrefix="1" applyFont="1" applyBorder="1" applyProtection="1">
      <protection locked="0"/>
    </xf>
    <xf numFmtId="37" fontId="3" fillId="3" borderId="0" xfId="0" quotePrefix="1" applyFont="1" applyFill="1"/>
    <xf numFmtId="37" fontId="3" fillId="3" borderId="0" xfId="0" quotePrefix="1" applyFont="1" applyFill="1" applyAlignment="1">
      <alignment horizontal="left"/>
    </xf>
    <xf numFmtId="38" fontId="3" fillId="3" borderId="0" xfId="0" applyNumberFormat="1" applyFont="1" applyFill="1"/>
    <xf numFmtId="166" fontId="3" fillId="3" borderId="0" xfId="0" applyNumberFormat="1" applyFont="1" applyFill="1" applyAlignment="1">
      <alignment horizontal="center"/>
    </xf>
    <xf numFmtId="37" fontId="3" fillId="3" borderId="0" xfId="0" quotePrefix="1" applyFont="1" applyFill="1" applyAlignment="1">
      <alignment horizontal="fill"/>
    </xf>
    <xf numFmtId="39" fontId="3" fillId="3" borderId="0" xfId="0" quotePrefix="1" applyNumberFormat="1" applyFont="1" applyFill="1" applyAlignment="1">
      <alignment horizontal="left"/>
    </xf>
    <xf numFmtId="4" fontId="3" fillId="3" borderId="0" xfId="0" applyNumberFormat="1" applyFont="1" applyFill="1"/>
    <xf numFmtId="37" fontId="3" fillId="0" borderId="1" xfId="0" applyFont="1" applyBorder="1"/>
    <xf numFmtId="37" fontId="9" fillId="4" borderId="1" xfId="0" quotePrefix="1" applyFont="1" applyFill="1" applyBorder="1" applyProtection="1">
      <protection locked="0"/>
    </xf>
    <xf numFmtId="39" fontId="3" fillId="3" borderId="0" xfId="0" quotePrefix="1" applyNumberFormat="1" applyFont="1" applyFill="1" applyAlignment="1">
      <alignment horizontal="fill"/>
    </xf>
    <xf numFmtId="39" fontId="3" fillId="3" borderId="0" xfId="0" applyNumberFormat="1" applyFont="1" applyFill="1"/>
    <xf numFmtId="37" fontId="3" fillId="3" borderId="0" xfId="0" applyFont="1" applyFill="1" applyAlignment="1">
      <alignment horizontal="centerContinuous"/>
    </xf>
    <xf numFmtId="37" fontId="3" fillId="3" borderId="0" xfId="0" applyFont="1" applyFill="1" applyAlignment="1">
      <alignment horizontal="right"/>
    </xf>
    <xf numFmtId="49" fontId="9" fillId="4" borderId="1" xfId="0" quotePrefix="1" applyNumberFormat="1" applyFont="1" applyFill="1" applyBorder="1" applyProtection="1">
      <protection locked="0"/>
    </xf>
    <xf numFmtId="37" fontId="10" fillId="3" borderId="0" xfId="0" applyFont="1" applyFill="1"/>
    <xf numFmtId="38" fontId="9" fillId="4" borderId="1" xfId="0" quotePrefix="1" applyNumberFormat="1" applyFont="1" applyFill="1" applyBorder="1" applyProtection="1">
      <protection locked="0"/>
    </xf>
    <xf numFmtId="37" fontId="9" fillId="3" borderId="0" xfId="0" applyFont="1" applyFill="1" applyAlignment="1">
      <alignment horizontal="centerContinuous"/>
    </xf>
    <xf numFmtId="38" fontId="3" fillId="3" borderId="0" xfId="0" applyNumberFormat="1" applyFont="1" applyFill="1" applyAlignment="1">
      <alignment horizontal="right"/>
    </xf>
    <xf numFmtId="37" fontId="3" fillId="3" borderId="0" xfId="0" quotePrefix="1" applyFont="1" applyFill="1" applyAlignment="1">
      <alignment horizontal="centerContinuous"/>
    </xf>
    <xf numFmtId="37" fontId="9" fillId="3" borderId="0" xfId="0" quotePrefix="1" applyFont="1" applyFill="1" applyAlignment="1">
      <alignment horizontal="left"/>
    </xf>
    <xf numFmtId="37" fontId="9" fillId="3" borderId="0" xfId="0" applyFont="1" applyFill="1" applyAlignment="1">
      <alignment horizontal="center"/>
    </xf>
    <xf numFmtId="38" fontId="9" fillId="3" borderId="0" xfId="0" applyNumberFormat="1" applyFont="1" applyFill="1" applyAlignment="1">
      <alignment horizontal="center"/>
    </xf>
    <xf numFmtId="37" fontId="3" fillId="0" borderId="0" xfId="0" quotePrefix="1" applyFont="1" applyAlignment="1">
      <alignment horizontal="left"/>
    </xf>
    <xf numFmtId="38" fontId="9" fillId="3" borderId="0" xfId="0" applyNumberFormat="1" applyFont="1" applyFill="1"/>
    <xf numFmtId="37" fontId="9" fillId="3" borderId="0" xfId="0" applyFont="1" applyFill="1"/>
    <xf numFmtId="37" fontId="3" fillId="3" borderId="0" xfId="0" applyFont="1" applyFill="1" applyAlignment="1">
      <alignment horizontal="left"/>
    </xf>
    <xf numFmtId="38" fontId="9" fillId="0" borderId="1" xfId="0" applyNumberFormat="1" applyFont="1" applyBorder="1" applyProtection="1">
      <protection locked="0"/>
    </xf>
    <xf numFmtId="39" fontId="3" fillId="0" borderId="0" xfId="0" applyNumberFormat="1" applyFont="1"/>
    <xf numFmtId="37" fontId="3" fillId="0" borderId="0" xfId="0" applyFont="1" applyAlignment="1">
      <alignment horizontal="center"/>
    </xf>
    <xf numFmtId="3" fontId="3" fillId="0" borderId="0" xfId="0" applyNumberFormat="1" applyFont="1"/>
    <xf numFmtId="37" fontId="3" fillId="0" borderId="0" xfId="0" quotePrefix="1" applyFont="1" applyAlignment="1">
      <alignment horizontal="fill"/>
    </xf>
    <xf numFmtId="37" fontId="3" fillId="0" borderId="0" xfId="0" applyFont="1" applyAlignment="1">
      <alignment horizontal="left"/>
    </xf>
    <xf numFmtId="1" fontId="3" fillId="0" borderId="0" xfId="0" applyNumberFormat="1" applyFont="1" applyAlignment="1">
      <alignment horizontal="center"/>
    </xf>
    <xf numFmtId="37" fontId="3" fillId="0" borderId="0" xfId="0" quotePrefix="1" applyFont="1" applyAlignment="1">
      <alignment horizontal="center"/>
    </xf>
    <xf numFmtId="37" fontId="3" fillId="0" borderId="0" xfId="0" quotePrefix="1" applyFont="1"/>
    <xf numFmtId="2" fontId="3" fillId="0" borderId="0" xfId="0" applyNumberFormat="1" applyFont="1"/>
    <xf numFmtId="10" fontId="3" fillId="0" borderId="0" xfId="0" applyNumberFormat="1" applyFont="1"/>
    <xf numFmtId="164" fontId="3" fillId="0" borderId="0" xfId="0" applyNumberFormat="1" applyFont="1"/>
    <xf numFmtId="37" fontId="3" fillId="8" borderId="0" xfId="0" applyFont="1" applyFill="1"/>
    <xf numFmtId="37" fontId="9" fillId="0" borderId="0" xfId="0" applyFont="1"/>
    <xf numFmtId="164" fontId="3" fillId="0" borderId="0" xfId="0" applyNumberFormat="1" applyFont="1" applyAlignment="1">
      <alignment horizontal="left"/>
    </xf>
    <xf numFmtId="37" fontId="9" fillId="3" borderId="0" xfId="0" applyFont="1" applyFill="1" applyAlignment="1" applyProtection="1">
      <alignment horizontal="center" vertical="center"/>
    </xf>
    <xf numFmtId="37" fontId="9" fillId="3" borderId="0" xfId="0" applyFont="1" applyFill="1" applyAlignment="1">
      <alignment horizontal="center" vertical="center"/>
    </xf>
  </cellXfs>
  <cellStyles count="4">
    <cellStyle name="Comma" xfId="1" builtinId="3"/>
    <cellStyle name="Hyperlink" xfId="2" builtinId="8"/>
    <cellStyle name="Normal" xfId="0" builtinId="0"/>
    <cellStyle name="Percent" xfId="3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A481" transitionEvaluation="1" transitionEntry="1" codeName="Sheet1">
    <pageSetUpPr autoPageBreaks="0" fitToPage="1"/>
  </sheetPr>
  <dimension ref="A1:CF817"/>
  <sheetViews>
    <sheetView showGridLines="0" tabSelected="1" topLeftCell="A481" zoomScale="75" zoomScaleNormal="75" workbookViewId="0">
      <selection activeCell="C83" sqref="C83"/>
    </sheetView>
  </sheetViews>
  <sheetFormatPr defaultColWidth="11.75" defaultRowHeight="12.65" customHeight="1" x14ac:dyDescent="0.35"/>
  <cols>
    <col min="1" max="1" width="29.5625" style="180" customWidth="1"/>
    <col min="2" max="2" width="15.5625" style="180" customWidth="1"/>
    <col min="3" max="3" width="14.75" style="180" customWidth="1"/>
    <col min="4" max="4" width="13.25" style="180" customWidth="1"/>
    <col min="5" max="16384" width="11.75" style="180"/>
  </cols>
  <sheetData>
    <row r="1" spans="1:6" ht="12.75" customHeight="1" x14ac:dyDescent="0.35">
      <c r="A1" s="232" t="s">
        <v>1231</v>
      </c>
      <c r="B1" s="233"/>
      <c r="C1" s="233"/>
      <c r="D1" s="233"/>
      <c r="E1" s="233"/>
      <c r="F1" s="233"/>
    </row>
    <row r="2" spans="1:6" ht="12.75" customHeight="1" x14ac:dyDescent="0.35">
      <c r="A2" s="233" t="s">
        <v>1232</v>
      </c>
      <c r="B2" s="233"/>
      <c r="C2" s="234"/>
      <c r="D2" s="233"/>
      <c r="E2" s="233"/>
      <c r="F2" s="233"/>
    </row>
    <row r="3" spans="1:6" ht="12.75" customHeight="1" x14ac:dyDescent="0.35">
      <c r="A3" s="199"/>
      <c r="C3" s="235"/>
    </row>
    <row r="4" spans="1:6" ht="12.75" customHeight="1" x14ac:dyDescent="0.35">
      <c r="C4" s="235"/>
    </row>
    <row r="5" spans="1:6" ht="12.75" customHeight="1" x14ac:dyDescent="0.35">
      <c r="A5" s="199" t="s">
        <v>1257</v>
      </c>
      <c r="C5" s="235"/>
    </row>
    <row r="6" spans="1:6" ht="12.75" customHeight="1" x14ac:dyDescent="0.35">
      <c r="A6" s="199" t="s">
        <v>0</v>
      </c>
      <c r="C6" s="235"/>
    </row>
    <row r="7" spans="1:6" ht="12.75" customHeight="1" x14ac:dyDescent="0.35">
      <c r="A7" s="199" t="s">
        <v>1</v>
      </c>
      <c r="C7" s="235"/>
    </row>
    <row r="8" spans="1:6" ht="12.75" customHeight="1" x14ac:dyDescent="0.35">
      <c r="C8" s="235"/>
    </row>
    <row r="9" spans="1:6" ht="12.75" customHeight="1" x14ac:dyDescent="0.35">
      <c r="C9" s="235"/>
    </row>
    <row r="10" spans="1:6" ht="12.75" customHeight="1" x14ac:dyDescent="0.35">
      <c r="A10" s="198" t="s">
        <v>1228</v>
      </c>
      <c r="C10" s="235"/>
    </row>
    <row r="11" spans="1:6" ht="12.75" customHeight="1" x14ac:dyDescent="0.35">
      <c r="A11" s="198" t="s">
        <v>1230</v>
      </c>
      <c r="C11" s="235"/>
    </row>
    <row r="12" spans="1:6" ht="12.75" customHeight="1" x14ac:dyDescent="0.35">
      <c r="C12" s="235"/>
    </row>
    <row r="13" spans="1:6" ht="12.75" customHeight="1" x14ac:dyDescent="0.35">
      <c r="C13" s="235"/>
    </row>
    <row r="14" spans="1:6" ht="12.75" customHeight="1" x14ac:dyDescent="0.35">
      <c r="A14" s="199" t="s">
        <v>2</v>
      </c>
      <c r="C14" s="235"/>
    </row>
    <row r="15" spans="1:6" ht="12.75" customHeight="1" x14ac:dyDescent="0.35">
      <c r="A15" s="293"/>
      <c r="C15" s="235"/>
    </row>
    <row r="16" spans="1:6" ht="12.75" customHeight="1" x14ac:dyDescent="0.35">
      <c r="A16" s="294" t="s">
        <v>1266</v>
      </c>
      <c r="C16" s="235"/>
      <c r="F16" s="287"/>
    </row>
    <row r="17" spans="1:6" ht="12.75" customHeight="1" x14ac:dyDescent="0.35">
      <c r="A17" s="294" t="s">
        <v>1264</v>
      </c>
      <c r="C17" s="287"/>
    </row>
    <row r="18" spans="1:6" ht="12.75" customHeight="1" x14ac:dyDescent="0.35">
      <c r="A18" s="227"/>
      <c r="C18" s="235"/>
    </row>
    <row r="19" spans="1:6" ht="12.75" customHeight="1" x14ac:dyDescent="0.35">
      <c r="C19" s="235"/>
    </row>
    <row r="20" spans="1:6" ht="12.75" customHeight="1" x14ac:dyDescent="0.35">
      <c r="A20" s="273" t="s">
        <v>1233</v>
      </c>
      <c r="B20" s="273"/>
      <c r="C20" s="288"/>
      <c r="D20" s="273"/>
      <c r="E20" s="273"/>
      <c r="F20" s="273"/>
    </row>
    <row r="21" spans="1:6" ht="22.5" customHeight="1" x14ac:dyDescent="0.35">
      <c r="A21" s="199"/>
      <c r="C21" s="235"/>
    </row>
    <row r="22" spans="1:6" ht="12.65" customHeight="1" x14ac:dyDescent="0.35">
      <c r="A22" s="237" t="s">
        <v>1253</v>
      </c>
      <c r="B22" s="238"/>
      <c r="C22" s="239"/>
      <c r="D22" s="237"/>
      <c r="E22" s="237"/>
    </row>
    <row r="23" spans="1:6" ht="12.65" customHeight="1" x14ac:dyDescent="0.35">
      <c r="B23" s="199"/>
      <c r="C23" s="235"/>
    </row>
    <row r="24" spans="1:6" ht="12.65" customHeight="1" x14ac:dyDescent="0.35">
      <c r="A24" s="240" t="s">
        <v>3</v>
      </c>
      <c r="C24" s="235"/>
    </row>
    <row r="25" spans="1:6" ht="12.65" customHeight="1" x14ac:dyDescent="0.35">
      <c r="A25" s="198" t="s">
        <v>1234</v>
      </c>
      <c r="C25" s="235"/>
    </row>
    <row r="26" spans="1:6" ht="12.65" customHeight="1" x14ac:dyDescent="0.35">
      <c r="A26" s="199" t="s">
        <v>4</v>
      </c>
      <c r="C26" s="235"/>
    </row>
    <row r="27" spans="1:6" ht="12.65" customHeight="1" x14ac:dyDescent="0.35">
      <c r="A27" s="198" t="s">
        <v>1235</v>
      </c>
      <c r="C27" s="235"/>
    </row>
    <row r="28" spans="1:6" ht="12.65" customHeight="1" x14ac:dyDescent="0.35">
      <c r="A28" s="199" t="s">
        <v>5</v>
      </c>
      <c r="C28" s="235"/>
    </row>
    <row r="29" spans="1:6" ht="12.65" customHeight="1" x14ac:dyDescent="0.35">
      <c r="A29" s="198"/>
      <c r="C29" s="235"/>
    </row>
    <row r="30" spans="1:6" ht="12.65" customHeight="1" x14ac:dyDescent="0.35">
      <c r="A30" s="180" t="s">
        <v>6</v>
      </c>
      <c r="C30" s="235"/>
    </row>
    <row r="31" spans="1:6" ht="12.65" customHeight="1" x14ac:dyDescent="0.35">
      <c r="A31" s="199" t="s">
        <v>7</v>
      </c>
      <c r="C31" s="235"/>
    </row>
    <row r="32" spans="1:6" ht="12.65" customHeight="1" x14ac:dyDescent="0.35">
      <c r="A32" s="199" t="s">
        <v>8</v>
      </c>
      <c r="C32" s="235"/>
    </row>
    <row r="33" spans="1:83" ht="12.65" customHeight="1" x14ac:dyDescent="0.35">
      <c r="A33" s="198" t="s">
        <v>1236</v>
      </c>
      <c r="C33" s="235"/>
    </row>
    <row r="34" spans="1:83" ht="12.65" customHeight="1" x14ac:dyDescent="0.35">
      <c r="A34" s="199" t="s">
        <v>9</v>
      </c>
      <c r="C34" s="235"/>
    </row>
    <row r="35" spans="1:83" ht="12.65" customHeight="1" x14ac:dyDescent="0.35">
      <c r="A35" s="199"/>
      <c r="C35" s="235"/>
    </row>
    <row r="36" spans="1:83" ht="12.65" customHeight="1" x14ac:dyDescent="0.35">
      <c r="A36" s="198" t="s">
        <v>1237</v>
      </c>
      <c r="C36" s="235"/>
    </row>
    <row r="37" spans="1:83" ht="12.65" customHeight="1" x14ac:dyDescent="0.35">
      <c r="A37" s="199" t="s">
        <v>1229</v>
      </c>
      <c r="C37" s="235"/>
    </row>
    <row r="38" spans="1:83" ht="12" customHeight="1" x14ac:dyDescent="0.35">
      <c r="A38" s="198"/>
      <c r="C38" s="235"/>
    </row>
    <row r="39" spans="1:83" ht="12.65" customHeight="1" x14ac:dyDescent="0.35">
      <c r="A39" s="199"/>
      <c r="C39" s="235"/>
    </row>
    <row r="40" spans="1:83" ht="12" customHeight="1" x14ac:dyDescent="0.35">
      <c r="A40" s="199"/>
      <c r="C40" s="235"/>
    </row>
    <row r="41" spans="1:83" ht="12" customHeight="1" x14ac:dyDescent="0.35">
      <c r="A41" s="199"/>
      <c r="C41" s="241"/>
      <c r="D41" s="242"/>
      <c r="E41" s="241"/>
      <c r="F41" s="241"/>
      <c r="G41" s="241"/>
      <c r="H41" s="241"/>
      <c r="I41" s="241"/>
      <c r="J41" s="241"/>
      <c r="K41" s="241"/>
      <c r="L41" s="241"/>
      <c r="M41" s="241"/>
      <c r="N41" s="241"/>
      <c r="O41" s="241"/>
      <c r="P41" s="241"/>
      <c r="Q41" s="241"/>
      <c r="R41" s="241"/>
      <c r="S41" s="241"/>
      <c r="T41" s="241"/>
      <c r="U41" s="241"/>
      <c r="V41" s="241"/>
      <c r="W41" s="241"/>
      <c r="X41" s="241"/>
      <c r="Y41" s="241"/>
      <c r="Z41" s="241"/>
      <c r="AA41" s="241"/>
      <c r="AB41" s="241"/>
      <c r="AC41" s="241"/>
      <c r="AD41" s="241"/>
      <c r="AE41" s="241"/>
      <c r="AF41" s="241"/>
      <c r="AG41" s="241"/>
      <c r="AH41" s="241"/>
      <c r="AI41" s="241"/>
      <c r="AJ41" s="241"/>
      <c r="AK41" s="241"/>
      <c r="AL41" s="241"/>
      <c r="AM41" s="241"/>
      <c r="AN41" s="241"/>
      <c r="AO41" s="241"/>
      <c r="AP41" s="241"/>
      <c r="AQ41" s="241"/>
      <c r="AR41" s="241"/>
      <c r="AS41" s="241"/>
      <c r="AT41" s="241"/>
      <c r="AU41" s="241"/>
      <c r="AV41" s="241"/>
      <c r="AW41" s="241"/>
      <c r="AX41" s="241"/>
      <c r="AY41" s="241"/>
      <c r="AZ41" s="241"/>
      <c r="BA41" s="241"/>
      <c r="BB41" s="241"/>
      <c r="BC41" s="241"/>
      <c r="BD41" s="241"/>
      <c r="BE41" s="241"/>
      <c r="BF41" s="241"/>
      <c r="BG41" s="241"/>
      <c r="BH41" s="241"/>
      <c r="BI41" s="241"/>
      <c r="BJ41" s="241"/>
      <c r="BK41" s="241"/>
      <c r="BL41" s="241"/>
      <c r="BM41" s="241"/>
      <c r="BN41" s="241"/>
      <c r="BO41" s="241"/>
      <c r="BP41" s="241"/>
      <c r="BQ41" s="241"/>
      <c r="BR41" s="241"/>
      <c r="BS41" s="241"/>
      <c r="BT41" s="241"/>
      <c r="BU41" s="241"/>
      <c r="BV41" s="241"/>
      <c r="BW41" s="241"/>
      <c r="BX41" s="241"/>
      <c r="BY41" s="241"/>
      <c r="BZ41" s="241"/>
      <c r="CA41" s="241"/>
      <c r="CB41" s="241"/>
      <c r="CC41" s="241"/>
    </row>
    <row r="42" spans="1:83" ht="12" customHeight="1" x14ac:dyDescent="0.35">
      <c r="A42" s="199"/>
      <c r="C42" s="241"/>
      <c r="D42" s="242"/>
      <c r="E42" s="241"/>
      <c r="F42" s="241"/>
      <c r="G42" s="241"/>
      <c r="H42" s="241"/>
      <c r="I42" s="241"/>
      <c r="J42" s="241"/>
      <c r="K42" s="241"/>
      <c r="L42" s="241"/>
      <c r="M42" s="241"/>
      <c r="N42" s="241"/>
      <c r="O42" s="241"/>
      <c r="P42" s="241"/>
      <c r="Q42" s="241"/>
      <c r="R42" s="241"/>
      <c r="S42" s="241"/>
      <c r="T42" s="241"/>
      <c r="U42" s="241"/>
      <c r="V42" s="241"/>
      <c r="W42" s="241"/>
      <c r="X42" s="241"/>
      <c r="Y42" s="241"/>
      <c r="Z42" s="241"/>
      <c r="AA42" s="241"/>
      <c r="AB42" s="241"/>
      <c r="AC42" s="241"/>
      <c r="AD42" s="241"/>
      <c r="AE42" s="241"/>
      <c r="AF42" s="241"/>
      <c r="AG42" s="241"/>
      <c r="AH42" s="241"/>
      <c r="AI42" s="241"/>
      <c r="AJ42" s="241"/>
      <c r="AK42" s="241"/>
      <c r="AL42" s="241"/>
      <c r="AM42" s="241"/>
      <c r="AN42" s="241"/>
      <c r="AO42" s="241"/>
      <c r="AP42" s="241"/>
      <c r="AQ42" s="241"/>
      <c r="AR42" s="241"/>
      <c r="AS42" s="241"/>
      <c r="AT42" s="241"/>
      <c r="AU42" s="241"/>
      <c r="AV42" s="241"/>
      <c r="AW42" s="241"/>
      <c r="AX42" s="241"/>
      <c r="AY42" s="241"/>
      <c r="AZ42" s="241"/>
      <c r="BA42" s="241"/>
      <c r="BB42" s="241"/>
      <c r="BC42" s="241"/>
      <c r="BD42" s="241"/>
      <c r="BE42" s="241"/>
      <c r="BF42" s="241"/>
      <c r="BG42" s="241"/>
      <c r="BH42" s="241"/>
      <c r="BI42" s="241"/>
      <c r="BJ42" s="241"/>
      <c r="BK42" s="241"/>
      <c r="BL42" s="241"/>
      <c r="BM42" s="241"/>
      <c r="BN42" s="241"/>
      <c r="BO42" s="241"/>
      <c r="BP42" s="241"/>
      <c r="BQ42" s="241"/>
      <c r="BR42" s="241"/>
      <c r="BS42" s="241"/>
      <c r="BT42" s="241"/>
      <c r="BU42" s="241"/>
      <c r="BV42" s="241"/>
      <c r="BW42" s="241"/>
      <c r="BX42" s="241"/>
      <c r="BY42" s="241"/>
      <c r="BZ42" s="241"/>
      <c r="CA42" s="241"/>
      <c r="CB42" s="241"/>
      <c r="CC42" s="241"/>
      <c r="CD42" s="243"/>
    </row>
    <row r="43" spans="1:83" ht="12" customHeight="1" x14ac:dyDescent="0.35">
      <c r="A43" s="199"/>
      <c r="C43" s="235"/>
      <c r="F43" s="181"/>
    </row>
    <row r="44" spans="1:83" ht="12" customHeight="1" x14ac:dyDescent="0.35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35">
      <c r="A45" s="175"/>
      <c r="B45" s="244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1194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5" customHeight="1" x14ac:dyDescent="0.35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5" customHeight="1" x14ac:dyDescent="0.35">
      <c r="A47" s="175" t="s">
        <v>204</v>
      </c>
      <c r="B47" s="183"/>
      <c r="C47" s="184">
        <v>3281901.43</v>
      </c>
      <c r="D47" s="184">
        <v>1625254.8900000001</v>
      </c>
      <c r="E47" s="184">
        <v>5461787.5300000003</v>
      </c>
      <c r="F47" s="184">
        <v>195881.81999999998</v>
      </c>
      <c r="G47" s="184">
        <v>486252.45999999996</v>
      </c>
      <c r="H47" s="184"/>
      <c r="I47" s="184"/>
      <c r="J47" s="184"/>
      <c r="K47" s="184"/>
      <c r="L47" s="184"/>
      <c r="M47" s="184">
        <f>1055888.66+222167.14</f>
        <v>1278055.7999999998</v>
      </c>
      <c r="N47" s="184">
        <v>2905261.4799999995</v>
      </c>
      <c r="O47" s="184">
        <v>4405636.32</v>
      </c>
      <c r="P47" s="184">
        <v>2498220.8600000003</v>
      </c>
      <c r="Q47" s="184">
        <v>1348567.77</v>
      </c>
      <c r="R47" s="184">
        <v>100085.53</v>
      </c>
      <c r="S47" s="184">
        <v>323837.65000000002</v>
      </c>
      <c r="T47" s="184">
        <v>0</v>
      </c>
      <c r="U47" s="184">
        <v>1574854.31</v>
      </c>
      <c r="V47" s="184">
        <v>39935.31</v>
      </c>
      <c r="W47" s="184">
        <v>119312.42000000001</v>
      </c>
      <c r="X47" s="184">
        <v>264586.8</v>
      </c>
      <c r="Y47" s="184">
        <v>3559651.6100000003</v>
      </c>
      <c r="Z47" s="184">
        <v>715833.69</v>
      </c>
      <c r="AA47" s="184">
        <v>86050.550000000017</v>
      </c>
      <c r="AB47" s="184">
        <v>1348406.26</v>
      </c>
      <c r="AC47" s="184">
        <v>625232.25</v>
      </c>
      <c r="AD47" s="184">
        <v>0</v>
      </c>
      <c r="AE47" s="184">
        <v>1288816.94</v>
      </c>
      <c r="AF47" s="184"/>
      <c r="AG47" s="184">
        <v>2740807.45</v>
      </c>
      <c r="AH47" s="184">
        <v>0</v>
      </c>
      <c r="AI47" s="184">
        <v>0</v>
      </c>
      <c r="AJ47" s="184">
        <v>13834081.02</v>
      </c>
      <c r="AK47" s="184">
        <v>0</v>
      </c>
      <c r="AL47" s="184"/>
      <c r="AM47" s="184"/>
      <c r="AN47" s="184"/>
      <c r="AO47" s="184"/>
      <c r="AP47" s="184">
        <v>10050855.939999999</v>
      </c>
      <c r="AQ47" s="184">
        <v>0</v>
      </c>
      <c r="AR47" s="184">
        <f>9782186+1999504.3</f>
        <v>11781690.300000001</v>
      </c>
      <c r="AS47" s="184">
        <v>0</v>
      </c>
      <c r="AT47" s="184">
        <v>0</v>
      </c>
      <c r="AU47" s="184"/>
      <c r="AV47" s="184">
        <v>593427.21</v>
      </c>
      <c r="AW47" s="184">
        <v>318365.5</v>
      </c>
      <c r="AX47" s="184">
        <v>0</v>
      </c>
      <c r="AY47" s="184">
        <v>0</v>
      </c>
      <c r="AZ47" s="184">
        <v>0</v>
      </c>
      <c r="BA47" s="184">
        <v>946129.97</v>
      </c>
      <c r="BB47" s="184">
        <v>106661.26000000001</v>
      </c>
      <c r="BC47" s="184">
        <v>76722.509999999995</v>
      </c>
      <c r="BD47" s="184">
        <v>685704.77</v>
      </c>
      <c r="BE47" s="184">
        <v>1032323.6300000001</v>
      </c>
      <c r="BF47" s="184">
        <v>1659715.08</v>
      </c>
      <c r="BG47" s="184">
        <v>265747.28000000003</v>
      </c>
      <c r="BH47" s="184">
        <v>3145414.6300000004</v>
      </c>
      <c r="BI47" s="184">
        <v>502294.65</v>
      </c>
      <c r="BJ47" s="184">
        <v>405244.54000000004</v>
      </c>
      <c r="BK47" s="184">
        <v>1581471.21</v>
      </c>
      <c r="BL47" s="184">
        <v>1338985.6499999999</v>
      </c>
      <c r="BM47" s="184">
        <v>958867.8</v>
      </c>
      <c r="BN47" s="184">
        <v>1334644.6200000001</v>
      </c>
      <c r="BO47" s="184">
        <v>224640.61</v>
      </c>
      <c r="BP47" s="184">
        <v>264144.38</v>
      </c>
      <c r="BQ47" s="184">
        <v>126635.91999999998</v>
      </c>
      <c r="BR47" s="184">
        <f>740483.18+6756713.22</f>
        <v>7497196.3999999994</v>
      </c>
      <c r="BS47" s="184">
        <v>82166.94</v>
      </c>
      <c r="BT47" s="184">
        <v>52807.069999999992</v>
      </c>
      <c r="BU47" s="184">
        <v>0</v>
      </c>
      <c r="BV47" s="184">
        <v>1112557.76</v>
      </c>
      <c r="BW47" s="184">
        <v>171927.49</v>
      </c>
      <c r="BX47" s="184">
        <v>1327960.53</v>
      </c>
      <c r="BY47" s="184">
        <v>327799.29000000004</v>
      </c>
      <c r="BZ47" s="184">
        <v>1176965.31</v>
      </c>
      <c r="CA47" s="184">
        <v>384857.29</v>
      </c>
      <c r="CB47" s="184">
        <v>1516188.02</v>
      </c>
      <c r="CC47" s="184">
        <f>1291353.9-22044.52</f>
        <v>1269309.3799999999</v>
      </c>
      <c r="CD47" s="195"/>
      <c r="CE47" s="195">
        <f>SUM(C47:CC47)</f>
        <v>102427735.09</v>
      </c>
    </row>
    <row r="48" spans="1:83" ht="12.65" customHeight="1" x14ac:dyDescent="0.35">
      <c r="A48" s="175" t="s">
        <v>205</v>
      </c>
      <c r="B48" s="183"/>
      <c r="C48" s="245">
        <f>ROUND(((B48/CE61)*C61),0)</f>
        <v>0</v>
      </c>
      <c r="D48" s="245">
        <f>ROUND(((B48/CE61)*D61),0)</f>
        <v>0</v>
      </c>
      <c r="E48" s="195">
        <f>ROUND(((B48/CE61)*E61),0)</f>
        <v>0</v>
      </c>
      <c r="F48" s="195">
        <f>ROUND(((B48/CE61)*F61),0)</f>
        <v>0</v>
      </c>
      <c r="G48" s="195">
        <f>ROUND(((B48/CE61)*G61),0)</f>
        <v>0</v>
      </c>
      <c r="H48" s="195">
        <f>ROUND(((B48/CE61)*H61),0)</f>
        <v>0</v>
      </c>
      <c r="I48" s="195">
        <f>ROUND(((B48/CE61)*I61),0)</f>
        <v>0</v>
      </c>
      <c r="J48" s="195">
        <f>ROUND(((B48/CE61)*J61),0)</f>
        <v>0</v>
      </c>
      <c r="K48" s="195">
        <f>ROUND(((B48/CE61)*K61),0)</f>
        <v>0</v>
      </c>
      <c r="L48" s="195">
        <f>ROUND(((B48/CE61)*L61),0)</f>
        <v>0</v>
      </c>
      <c r="M48" s="195">
        <f>ROUND(((B48/CE61)*M61),0)</f>
        <v>0</v>
      </c>
      <c r="N48" s="195">
        <f>ROUND(((B48/CE61)*N61),0)</f>
        <v>0</v>
      </c>
      <c r="O48" s="195">
        <f>ROUND(((B48/CE61)*O61),0)</f>
        <v>0</v>
      </c>
      <c r="P48" s="195">
        <f>ROUND(((B48/CE61)*P61),0)</f>
        <v>0</v>
      </c>
      <c r="Q48" s="195">
        <f>ROUND(((B48/CE61)*Q61),0)</f>
        <v>0</v>
      </c>
      <c r="R48" s="195">
        <f>ROUND(((B48/CE61)*R61),0)</f>
        <v>0</v>
      </c>
      <c r="S48" s="195">
        <f>ROUND(((B48/CE61)*S61),0)</f>
        <v>0</v>
      </c>
      <c r="T48" s="195">
        <f>ROUND(((B48/CE61)*T61),0)</f>
        <v>0</v>
      </c>
      <c r="U48" s="195">
        <f>ROUND(((B48/CE61)*U61),0)</f>
        <v>0</v>
      </c>
      <c r="V48" s="195">
        <f>ROUND(((B48/CE61)*V61),0)</f>
        <v>0</v>
      </c>
      <c r="W48" s="195">
        <f>ROUND(((B48/CE61)*W61),0)</f>
        <v>0</v>
      </c>
      <c r="X48" s="195">
        <f>ROUND(((B48/CE61)*X61),0)</f>
        <v>0</v>
      </c>
      <c r="Y48" s="195">
        <f>ROUND(((B48/CE61)*Y61),0)</f>
        <v>0</v>
      </c>
      <c r="Z48" s="195">
        <f>ROUND(((B48/CE61)*Z61),0)</f>
        <v>0</v>
      </c>
      <c r="AA48" s="195">
        <f>ROUND(((B48/CE61)*AA61),0)</f>
        <v>0</v>
      </c>
      <c r="AB48" s="195">
        <f>ROUND(((B48/CE61)*AB61),0)</f>
        <v>0</v>
      </c>
      <c r="AC48" s="195">
        <f>ROUND(((B48/CE61)*AC61),0)</f>
        <v>0</v>
      </c>
      <c r="AD48" s="195">
        <f>ROUND(((B48/CE61)*AD61),0)</f>
        <v>0</v>
      </c>
      <c r="AE48" s="195">
        <f>ROUND(((B48/CE61)*AE61),0)</f>
        <v>0</v>
      </c>
      <c r="AF48" s="195">
        <f>ROUND(((B48/CE61)*AF61),0)</f>
        <v>0</v>
      </c>
      <c r="AG48" s="195">
        <f>ROUND(((B48/CE61)*AG61),0)</f>
        <v>0</v>
      </c>
      <c r="AH48" s="195">
        <f>ROUND(((B48/CE61)*AH61),0)</f>
        <v>0</v>
      </c>
      <c r="AI48" s="195">
        <f>ROUND(((B48/CE61)*AI61),0)</f>
        <v>0</v>
      </c>
      <c r="AJ48" s="195">
        <f>ROUND(((B48/CE61)*AJ61),0)</f>
        <v>0</v>
      </c>
      <c r="AK48" s="195">
        <f>ROUND(((B48/CE61)*AK61),0)</f>
        <v>0</v>
      </c>
      <c r="AL48" s="195">
        <f>ROUND(((B48/CE61)*AL61),0)</f>
        <v>0</v>
      </c>
      <c r="AM48" s="195">
        <f>ROUND(((B48/CE61)*AM61),0)</f>
        <v>0</v>
      </c>
      <c r="AN48" s="195">
        <f>ROUND(((B48/CE61)*AN61),0)</f>
        <v>0</v>
      </c>
      <c r="AO48" s="195">
        <f>ROUND(((B48/CE61)*AO61),0)</f>
        <v>0</v>
      </c>
      <c r="AP48" s="195">
        <f>ROUND(((B48/CE61)*AP61),0)</f>
        <v>0</v>
      </c>
      <c r="AQ48" s="195">
        <f>ROUND(((B48/CE61)*AQ61),0)</f>
        <v>0</v>
      </c>
      <c r="AR48" s="195">
        <f>ROUND(((B48/CE61)*AR61),0)</f>
        <v>0</v>
      </c>
      <c r="AS48" s="195">
        <f>ROUND(((B48/CE61)*AS61),0)</f>
        <v>0</v>
      </c>
      <c r="AT48" s="195">
        <f>ROUND(((B48/CE61)*AT61),0)</f>
        <v>0</v>
      </c>
      <c r="AU48" s="195">
        <f>ROUND(((B48/CE61)*AU61),0)</f>
        <v>0</v>
      </c>
      <c r="AV48" s="195">
        <f>ROUND(((B48/CE61)*AV61),0)</f>
        <v>0</v>
      </c>
      <c r="AW48" s="195">
        <f>ROUND(((B48/CE61)*AW61),0)</f>
        <v>0</v>
      </c>
      <c r="AX48" s="195">
        <f>ROUND(((B48/CE61)*AX61),0)</f>
        <v>0</v>
      </c>
      <c r="AY48" s="195">
        <f>ROUND(((B48/CE61)*AY61),0)</f>
        <v>0</v>
      </c>
      <c r="AZ48" s="195">
        <f>ROUND(((B48/CE61)*AZ61),0)</f>
        <v>0</v>
      </c>
      <c r="BA48" s="195">
        <f>ROUND(((B48/CE61)*BA61),0)</f>
        <v>0</v>
      </c>
      <c r="BB48" s="195">
        <f>ROUND(((B48/CE61)*BB61),0)</f>
        <v>0</v>
      </c>
      <c r="BC48" s="195">
        <f>ROUND(((B48/CE61)*BC61),0)</f>
        <v>0</v>
      </c>
      <c r="BD48" s="195">
        <f>ROUND(((B48/CE61)*BD61),0)</f>
        <v>0</v>
      </c>
      <c r="BE48" s="195">
        <f>ROUND(((B48/CE61)*BE61),0)</f>
        <v>0</v>
      </c>
      <c r="BF48" s="195">
        <f>ROUND(((B48/CE61)*BF61),0)</f>
        <v>0</v>
      </c>
      <c r="BG48" s="195">
        <f>ROUND(((B48/CE61)*BG61),0)</f>
        <v>0</v>
      </c>
      <c r="BH48" s="195">
        <f>ROUND(((B48/CE61)*BH61),0)</f>
        <v>0</v>
      </c>
      <c r="BI48" s="195">
        <f>ROUND(((B48/CE61)*BI61),0)</f>
        <v>0</v>
      </c>
      <c r="BJ48" s="195">
        <f>ROUND(((B48/CE61)*BJ61),0)</f>
        <v>0</v>
      </c>
      <c r="BK48" s="195">
        <f>ROUND(((B48/CE61)*BK61),0)</f>
        <v>0</v>
      </c>
      <c r="BL48" s="195">
        <f>ROUND(((B48/CE61)*BL61),0)</f>
        <v>0</v>
      </c>
      <c r="BM48" s="195">
        <f>ROUND(((B48/CE61)*BM61),0)</f>
        <v>0</v>
      </c>
      <c r="BN48" s="195">
        <f>ROUND(((B48/CE61)*BN61),0)</f>
        <v>0</v>
      </c>
      <c r="BO48" s="195">
        <f>ROUND(((B48/CE61)*BO61),0)</f>
        <v>0</v>
      </c>
      <c r="BP48" s="195">
        <f>ROUND(((B48/CE61)*BP61),0)</f>
        <v>0</v>
      </c>
      <c r="BQ48" s="195">
        <f>ROUND(((B48/CE61)*BQ61),0)</f>
        <v>0</v>
      </c>
      <c r="BR48" s="195">
        <f>ROUND(((B48/CE61)*BR61),0)</f>
        <v>0</v>
      </c>
      <c r="BS48" s="195">
        <f>ROUND(((B48/CE61)*BS61),0)</f>
        <v>0</v>
      </c>
      <c r="BT48" s="195">
        <f>ROUND(((B48/CE61)*BT61),0)</f>
        <v>0</v>
      </c>
      <c r="BU48" s="195">
        <f>ROUND(((B48/CE61)*BU61),0)</f>
        <v>0</v>
      </c>
      <c r="BV48" s="195">
        <f>ROUND(((B48/CE61)*BV61),0)</f>
        <v>0</v>
      </c>
      <c r="BW48" s="195">
        <f>ROUND(((B48/CE61)*BW61),0)</f>
        <v>0</v>
      </c>
      <c r="BX48" s="195">
        <f>ROUND(((B48/CE61)*BX61),0)</f>
        <v>0</v>
      </c>
      <c r="BY48" s="195">
        <f>ROUND(((B48/CE61)*BY61),0)</f>
        <v>0</v>
      </c>
      <c r="BZ48" s="195">
        <f>ROUND(((B48/CE61)*BZ61),0)</f>
        <v>0</v>
      </c>
      <c r="CA48" s="195">
        <f>ROUND(((B48/CE61)*CA61),0)</f>
        <v>0</v>
      </c>
      <c r="CB48" s="195">
        <f>ROUND(((B48/CE61)*CB61),0)</f>
        <v>0</v>
      </c>
      <c r="CC48" s="195">
        <f>ROUND(((B48/CE61)*CC61),0)</f>
        <v>0</v>
      </c>
      <c r="CD48" s="195"/>
      <c r="CE48" s="195">
        <f>SUM(C48:CD48)</f>
        <v>0</v>
      </c>
    </row>
    <row r="49" spans="1:84" ht="12.65" customHeight="1" x14ac:dyDescent="0.35">
      <c r="A49" s="175" t="s">
        <v>206</v>
      </c>
      <c r="B49" s="195">
        <f>B47+B48</f>
        <v>0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5" customHeight="1" x14ac:dyDescent="0.35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5" customHeight="1" x14ac:dyDescent="0.35">
      <c r="A51" s="171" t="s">
        <v>207</v>
      </c>
      <c r="B51" s="184"/>
      <c r="C51" s="184">
        <v>1452876.04</v>
      </c>
      <c r="D51" s="184">
        <v>1565460.19</v>
      </c>
      <c r="E51" s="184">
        <v>2309574.25</v>
      </c>
      <c r="F51" s="184">
        <v>140</v>
      </c>
      <c r="G51" s="184">
        <v>92894.18</v>
      </c>
      <c r="H51" s="184"/>
      <c r="I51" s="184"/>
      <c r="J51" s="184"/>
      <c r="K51" s="184"/>
      <c r="L51" s="184"/>
      <c r="M51" s="184">
        <f>140162.16+11102.89</f>
        <v>151265.04999999999</v>
      </c>
      <c r="N51" s="184">
        <v>4413.2</v>
      </c>
      <c r="O51" s="184">
        <v>712237</v>
      </c>
      <c r="P51" s="184">
        <v>3318698.91</v>
      </c>
      <c r="Q51" s="184">
        <v>116903.04999999999</v>
      </c>
      <c r="R51" s="184">
        <v>113754</v>
      </c>
      <c r="S51" s="184">
        <v>324583.61</v>
      </c>
      <c r="T51" s="184">
        <v>0</v>
      </c>
      <c r="U51" s="184">
        <v>410630.88</v>
      </c>
      <c r="V51" s="184">
        <v>8246.2999999999993</v>
      </c>
      <c r="W51" s="184">
        <v>216287.31</v>
      </c>
      <c r="X51" s="184">
        <v>179096.41999999998</v>
      </c>
      <c r="Y51" s="184">
        <v>2924031.6900000004</v>
      </c>
      <c r="Z51" s="184">
        <v>1176997.5699999998</v>
      </c>
      <c r="AA51" s="184">
        <v>101329.14000000001</v>
      </c>
      <c r="AB51" s="184">
        <v>246141.54</v>
      </c>
      <c r="AC51" s="184">
        <v>61808.43</v>
      </c>
      <c r="AD51" s="184"/>
      <c r="AE51" s="184">
        <v>180449.38999999996</v>
      </c>
      <c r="AF51" s="184"/>
      <c r="AG51" s="184">
        <v>1128622.1000000001</v>
      </c>
      <c r="AH51" s="184">
        <v>0</v>
      </c>
      <c r="AI51" s="184">
        <v>0</v>
      </c>
      <c r="AJ51" s="184">
        <v>3147027.04</v>
      </c>
      <c r="AK51" s="184"/>
      <c r="AL51" s="184"/>
      <c r="AM51" s="184"/>
      <c r="AN51" s="184"/>
      <c r="AO51" s="184"/>
      <c r="AP51" s="184">
        <v>2893094.24</v>
      </c>
      <c r="AQ51" s="184"/>
      <c r="AR51" s="184">
        <v>99925.99</v>
      </c>
      <c r="AS51" s="184"/>
      <c r="AT51" s="184"/>
      <c r="AU51" s="184"/>
      <c r="AV51" s="184">
        <v>221788.76</v>
      </c>
      <c r="AW51" s="184">
        <v>32087.519999999997</v>
      </c>
      <c r="AX51" s="184">
        <v>0</v>
      </c>
      <c r="AY51" s="184">
        <v>0</v>
      </c>
      <c r="AZ51" s="184">
        <v>765006.67</v>
      </c>
      <c r="BA51" s="184">
        <v>6319</v>
      </c>
      <c r="BB51" s="184">
        <v>17584.86</v>
      </c>
      <c r="BC51" s="184">
        <v>70164.960000000006</v>
      </c>
      <c r="BD51" s="184">
        <v>6212409.959999999</v>
      </c>
      <c r="BE51" s="184">
        <f>68090.97+26366.16+141362.72</f>
        <v>235819.85</v>
      </c>
      <c r="BF51" s="184">
        <v>42419.199999999997</v>
      </c>
      <c r="BG51" s="184"/>
      <c r="BH51" s="184">
        <v>6079695</v>
      </c>
      <c r="BI51" s="184">
        <v>210321.12</v>
      </c>
      <c r="BJ51" s="184">
        <v>29691.91</v>
      </c>
      <c r="BK51" s="184">
        <v>47754.729999999996</v>
      </c>
      <c r="BL51" s="184">
        <v>28504.28</v>
      </c>
      <c r="BM51" s="184">
        <v>15340.45</v>
      </c>
      <c r="BN51" s="184">
        <v>231488.98</v>
      </c>
      <c r="BO51" s="184">
        <v>52088.320000000007</v>
      </c>
      <c r="BP51" s="184">
        <v>75126.47</v>
      </c>
      <c r="BQ51" s="184">
        <v>3221.78</v>
      </c>
      <c r="BR51" s="184">
        <v>6970.82</v>
      </c>
      <c r="BS51" s="184">
        <v>19556.84</v>
      </c>
      <c r="BT51" s="184">
        <v>20704.099999999999</v>
      </c>
      <c r="BU51" s="184">
        <v>0</v>
      </c>
      <c r="BV51" s="184">
        <v>61474.770000000004</v>
      </c>
      <c r="BW51" s="184">
        <v>24099.79</v>
      </c>
      <c r="BX51" s="184">
        <v>41262.65</v>
      </c>
      <c r="BY51" s="184">
        <v>225720.1</v>
      </c>
      <c r="BZ51" s="184">
        <v>6140.04</v>
      </c>
      <c r="CA51" s="184">
        <v>9538.869999999999</v>
      </c>
      <c r="CB51" s="184">
        <v>33686.769999999997</v>
      </c>
      <c r="CC51" s="184">
        <v>68280.790000000008</v>
      </c>
      <c r="CD51" s="195"/>
      <c r="CE51" s="195">
        <f>SUM(C51:CD51)</f>
        <v>37830756.879999995</v>
      </c>
    </row>
    <row r="52" spans="1:84" ht="12.65" customHeight="1" x14ac:dyDescent="0.35">
      <c r="A52" s="171" t="s">
        <v>208</v>
      </c>
      <c r="B52" s="184"/>
      <c r="C52" s="195">
        <f>ROUND((B52/(CE76+CF76)*C76),0)</f>
        <v>0</v>
      </c>
      <c r="D52" s="195">
        <f>ROUND((B52/(CE76+CF76)*D76),0)</f>
        <v>0</v>
      </c>
      <c r="E52" s="195">
        <f>ROUND((B52/(CE76+CF76)*E76),0)</f>
        <v>0</v>
      </c>
      <c r="F52" s="195">
        <f>ROUND((B52/(CE76+CF76)*F76),0)</f>
        <v>0</v>
      </c>
      <c r="G52" s="195">
        <f>ROUND((B52/(CE76+CF76)*G76),0)</f>
        <v>0</v>
      </c>
      <c r="H52" s="195">
        <f>ROUND((B52/(CE76+CF76)*H76),0)</f>
        <v>0</v>
      </c>
      <c r="I52" s="195">
        <f>ROUND((B52/(CE76+CF76)*I76),0)</f>
        <v>0</v>
      </c>
      <c r="J52" s="195">
        <f>ROUND((B52/(CE76+CF76)*J76),0)</f>
        <v>0</v>
      </c>
      <c r="K52" s="195">
        <f>ROUND((B52/(CE76+CF76)*K76),0)</f>
        <v>0</v>
      </c>
      <c r="L52" s="195">
        <f>ROUND((B52/(CE76+CF76)*L76),0)</f>
        <v>0</v>
      </c>
      <c r="M52" s="195">
        <f>ROUND((B52/(CE76+CF76)*M76),0)</f>
        <v>0</v>
      </c>
      <c r="N52" s="195">
        <f>ROUND((B52/(CE76+CF76)*N76),0)</f>
        <v>0</v>
      </c>
      <c r="O52" s="195">
        <f>ROUND((B52/(CE76+CF76)*O76),0)</f>
        <v>0</v>
      </c>
      <c r="P52" s="195">
        <f>ROUND((B52/(CE76+CF76)*P76),0)</f>
        <v>0</v>
      </c>
      <c r="Q52" s="195">
        <f>ROUND((B52/(CE76+CF76)*Q76),0)</f>
        <v>0</v>
      </c>
      <c r="R52" s="195">
        <f>ROUND((B52/(CE76+CF76)*R76),0)</f>
        <v>0</v>
      </c>
      <c r="S52" s="195">
        <f>ROUND((B52/(CE76+CF76)*S76),0)</f>
        <v>0</v>
      </c>
      <c r="T52" s="195">
        <f>ROUND((B52/(CE76+CF76)*T76),0)</f>
        <v>0</v>
      </c>
      <c r="U52" s="195">
        <f>ROUND((B52/(CE76+CF76)*U76),0)</f>
        <v>0</v>
      </c>
      <c r="V52" s="195">
        <f>ROUND((B52/(CE76+CF76)*V76),0)</f>
        <v>0</v>
      </c>
      <c r="W52" s="195">
        <f>ROUND((B52/(CE76+CF76)*W76),0)</f>
        <v>0</v>
      </c>
      <c r="X52" s="195">
        <f>ROUND((B52/(CE76+CF76)*X76),0)</f>
        <v>0</v>
      </c>
      <c r="Y52" s="195">
        <f>ROUND((B52/(CE76+CF76)*Y76),0)</f>
        <v>0</v>
      </c>
      <c r="Z52" s="195">
        <f>ROUND((B52/(CE76+CF76)*Z76),0)</f>
        <v>0</v>
      </c>
      <c r="AA52" s="195">
        <f>ROUND((B52/(CE76+CF76)*AA76),0)</f>
        <v>0</v>
      </c>
      <c r="AB52" s="195">
        <f>ROUND((B52/(CE76+CF76)*AB76),0)</f>
        <v>0</v>
      </c>
      <c r="AC52" s="195">
        <f>ROUND((B52/(CE76+CF76)*AC76),0)</f>
        <v>0</v>
      </c>
      <c r="AD52" s="195">
        <f>ROUND((B52/(CE76+CF76)*AD76),0)</f>
        <v>0</v>
      </c>
      <c r="AE52" s="195">
        <f>ROUND((B52/(CE76+CF76)*AE76),0)</f>
        <v>0</v>
      </c>
      <c r="AF52" s="195">
        <f>ROUND((B52/(CE76+CF76)*AF76),0)</f>
        <v>0</v>
      </c>
      <c r="AG52" s="195">
        <f>ROUND((B52/(CE76+CF76)*AG76),0)</f>
        <v>0</v>
      </c>
      <c r="AH52" s="195">
        <f>ROUND((B52/(CE76+CF76)*AH76),0)</f>
        <v>0</v>
      </c>
      <c r="AI52" s="195">
        <f>ROUND((B52/(CE76+CF76)*AI76),0)</f>
        <v>0</v>
      </c>
      <c r="AJ52" s="195">
        <f>ROUND((B52/(CE76+CF76)*AJ76),0)</f>
        <v>0</v>
      </c>
      <c r="AK52" s="195">
        <f>ROUND((B52/(CE76+CF76)*AK76),0)</f>
        <v>0</v>
      </c>
      <c r="AL52" s="195">
        <f>ROUND((B52/(CE76+CF76)*AL76),0)</f>
        <v>0</v>
      </c>
      <c r="AM52" s="195">
        <f>ROUND((B52/(CE76+CF76)*AM76),0)</f>
        <v>0</v>
      </c>
      <c r="AN52" s="195">
        <f>ROUND((B52/(CE76+CF76)*AN76),0)</f>
        <v>0</v>
      </c>
      <c r="AO52" s="195">
        <f>ROUND((B52/(CE76+CF76)*AO76),0)</f>
        <v>0</v>
      </c>
      <c r="AP52" s="195">
        <f>ROUND((B52/(CE76+CF76)*AP76),0)</f>
        <v>0</v>
      </c>
      <c r="AQ52" s="195">
        <f>ROUND((B52/(CE76+CF76)*AQ76),0)</f>
        <v>0</v>
      </c>
      <c r="AR52" s="195">
        <f>ROUND((B52/(CE76+CF76)*AR76),0)</f>
        <v>0</v>
      </c>
      <c r="AS52" s="195">
        <f>ROUND((B52/(CE76+CF76)*AS76),0)</f>
        <v>0</v>
      </c>
      <c r="AT52" s="195">
        <f>ROUND((B52/(CE76+CF76)*AT76),0)</f>
        <v>0</v>
      </c>
      <c r="AU52" s="195">
        <f>ROUND((B52/(CE76+CF76)*AU76),0)</f>
        <v>0</v>
      </c>
      <c r="AV52" s="195">
        <f>ROUND((B52/(CE76+CF76)*AV76),0)</f>
        <v>0</v>
      </c>
      <c r="AW52" s="195">
        <f>ROUND((B52/(CE76+CF76)*AW76),0)</f>
        <v>0</v>
      </c>
      <c r="AX52" s="195">
        <f>ROUND((B52/(CE76+CF76)*AX76),0)</f>
        <v>0</v>
      </c>
      <c r="AY52" s="195">
        <f>ROUND((B52/(CE76+CF76)*AY76),0)</f>
        <v>0</v>
      </c>
      <c r="AZ52" s="195">
        <f>ROUND((B52/(CE76+CF76)*AZ76),0)</f>
        <v>0</v>
      </c>
      <c r="BA52" s="195">
        <f>ROUND((B52/(CE76+CF76)*BA76),0)</f>
        <v>0</v>
      </c>
      <c r="BB52" s="195">
        <f>ROUND((B52/(CE76+CF76)*BB76),0)</f>
        <v>0</v>
      </c>
      <c r="BC52" s="195">
        <f>ROUND((B52/(CE76+CF76)*BC76),0)</f>
        <v>0</v>
      </c>
      <c r="BD52" s="195">
        <f>ROUND((B52/(CE76+CF76)*BD76),0)</f>
        <v>0</v>
      </c>
      <c r="BE52" s="195">
        <f>ROUND((B52/(CE76+CF76)*BE76),0)</f>
        <v>0</v>
      </c>
      <c r="BF52" s="195">
        <f>ROUND((B52/(CE76+CF76)*BF76),0)</f>
        <v>0</v>
      </c>
      <c r="BG52" s="195">
        <f>ROUND((B52/(CE76+CF76)*BG76),0)</f>
        <v>0</v>
      </c>
      <c r="BH52" s="195">
        <f>ROUND((B52/(CE76+CF76)*BH76),0)</f>
        <v>0</v>
      </c>
      <c r="BI52" s="195">
        <f>ROUND((B52/(CE76+CF76)*BI76),0)</f>
        <v>0</v>
      </c>
      <c r="BJ52" s="195">
        <f>ROUND((B52/(CE76+CF76)*BJ76),0)</f>
        <v>0</v>
      </c>
      <c r="BK52" s="195">
        <f>ROUND((B52/(CE76+CF76)*BK76),0)</f>
        <v>0</v>
      </c>
      <c r="BL52" s="195">
        <f>ROUND((B52/(CE76+CF76)*BL76),0)</f>
        <v>0</v>
      </c>
      <c r="BM52" s="195">
        <f>ROUND((B52/(CE76+CF76)*BM76),0)</f>
        <v>0</v>
      </c>
      <c r="BN52" s="195">
        <f>ROUND((B52/(CE76+CF76)*BN76),0)</f>
        <v>0</v>
      </c>
      <c r="BO52" s="195">
        <f>ROUND((B52/(CE76+CF76)*BO76),0)</f>
        <v>0</v>
      </c>
      <c r="BP52" s="195">
        <f>ROUND((B52/(CE76+CF76)*BP76),0)</f>
        <v>0</v>
      </c>
      <c r="BQ52" s="195">
        <f>ROUND((B52/(CE76+CF76)*BQ76),0)</f>
        <v>0</v>
      </c>
      <c r="BR52" s="195">
        <f>ROUND((B52/(CE76+CF76)*BR76),0)</f>
        <v>0</v>
      </c>
      <c r="BS52" s="195">
        <f>ROUND((B52/(CE76+CF76)*BS76),0)</f>
        <v>0</v>
      </c>
      <c r="BT52" s="195">
        <f>ROUND((B52/(CE76+CF76)*BT76),0)</f>
        <v>0</v>
      </c>
      <c r="BU52" s="195">
        <f>ROUND((B52/(CE76+CF76)*BU76),0)</f>
        <v>0</v>
      </c>
      <c r="BV52" s="195">
        <f>ROUND((B52/(CE76+CF76)*BV76),0)</f>
        <v>0</v>
      </c>
      <c r="BW52" s="195">
        <f>ROUND((B52/(CE76+CF76)*BW76),0)</f>
        <v>0</v>
      </c>
      <c r="BX52" s="195">
        <f>ROUND((B52/(CE76+CF76)*BX76),0)</f>
        <v>0</v>
      </c>
      <c r="BY52" s="195">
        <f>ROUND((B52/(CE76+CF76)*BY76),0)</f>
        <v>0</v>
      </c>
      <c r="BZ52" s="195">
        <f>ROUND((B52/(CE76+CF76)*BZ76),0)</f>
        <v>0</v>
      </c>
      <c r="CA52" s="195">
        <f>ROUND((B52/(CE76+CF76)*CA76),0)</f>
        <v>0</v>
      </c>
      <c r="CB52" s="195">
        <f>ROUND((B52/(CE76+CF76)*CB76),0)</f>
        <v>0</v>
      </c>
      <c r="CC52" s="195">
        <f>ROUND((B52/(CE76+CF76)*CC76),0)</f>
        <v>0</v>
      </c>
      <c r="CD52" s="195"/>
      <c r="CE52" s="195">
        <f>SUM(C52:CD52)</f>
        <v>0</v>
      </c>
    </row>
    <row r="53" spans="1:84" ht="12.65" customHeight="1" x14ac:dyDescent="0.35">
      <c r="A53" s="175" t="s">
        <v>206</v>
      </c>
      <c r="B53" s="195">
        <f>B51+B52</f>
        <v>0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 x14ac:dyDescent="0.35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5" customHeight="1" x14ac:dyDescent="0.35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6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5" customHeight="1" x14ac:dyDescent="0.35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1194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5" customHeight="1" x14ac:dyDescent="0.35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5" customHeight="1" x14ac:dyDescent="0.35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4" t="s">
        <v>220</v>
      </c>
      <c r="S58" s="247" t="s">
        <v>221</v>
      </c>
      <c r="T58" s="247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47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1212</v>
      </c>
      <c r="AU58" s="170" t="s">
        <v>228</v>
      </c>
      <c r="AV58" s="247" t="s">
        <v>221</v>
      </c>
      <c r="AW58" s="247" t="s">
        <v>221</v>
      </c>
      <c r="AX58" s="247" t="s">
        <v>221</v>
      </c>
      <c r="AY58" s="170" t="s">
        <v>231</v>
      </c>
      <c r="AZ58" s="170" t="s">
        <v>231</v>
      </c>
      <c r="BA58" s="247" t="s">
        <v>221</v>
      </c>
      <c r="BB58" s="247" t="s">
        <v>221</v>
      </c>
      <c r="BC58" s="247" t="s">
        <v>221</v>
      </c>
      <c r="BD58" s="247" t="s">
        <v>221</v>
      </c>
      <c r="BE58" s="170" t="s">
        <v>232</v>
      </c>
      <c r="BF58" s="247" t="s">
        <v>221</v>
      </c>
      <c r="BG58" s="247" t="s">
        <v>221</v>
      </c>
      <c r="BH58" s="247" t="s">
        <v>221</v>
      </c>
      <c r="BI58" s="247" t="s">
        <v>221</v>
      </c>
      <c r="BJ58" s="247" t="s">
        <v>221</v>
      </c>
      <c r="BK58" s="247" t="s">
        <v>221</v>
      </c>
      <c r="BL58" s="247" t="s">
        <v>221</v>
      </c>
      <c r="BM58" s="247" t="s">
        <v>221</v>
      </c>
      <c r="BN58" s="247" t="s">
        <v>221</v>
      </c>
      <c r="BO58" s="247" t="s">
        <v>221</v>
      </c>
      <c r="BP58" s="247" t="s">
        <v>221</v>
      </c>
      <c r="BQ58" s="247" t="s">
        <v>221</v>
      </c>
      <c r="BR58" s="247" t="s">
        <v>221</v>
      </c>
      <c r="BS58" s="247" t="s">
        <v>221</v>
      </c>
      <c r="BT58" s="247" t="s">
        <v>221</v>
      </c>
      <c r="BU58" s="247" t="s">
        <v>221</v>
      </c>
      <c r="BV58" s="247" t="s">
        <v>221</v>
      </c>
      <c r="BW58" s="247" t="s">
        <v>221</v>
      </c>
      <c r="BX58" s="247" t="s">
        <v>221</v>
      </c>
      <c r="BY58" s="247" t="s">
        <v>221</v>
      </c>
      <c r="BZ58" s="247" t="s">
        <v>221</v>
      </c>
      <c r="CA58" s="247" t="s">
        <v>221</v>
      </c>
      <c r="CB58" s="247" t="s">
        <v>221</v>
      </c>
      <c r="CC58" s="247" t="s">
        <v>221</v>
      </c>
      <c r="CD58" s="247" t="s">
        <v>221</v>
      </c>
      <c r="CE58" s="247" t="s">
        <v>221</v>
      </c>
    </row>
    <row r="59" spans="1:84" ht="12.65" customHeight="1" x14ac:dyDescent="0.35">
      <c r="A59" s="171" t="s">
        <v>233</v>
      </c>
      <c r="B59" s="175"/>
      <c r="C59" s="184">
        <v>5466.41</v>
      </c>
      <c r="D59" s="184">
        <v>9975.4599999999991</v>
      </c>
      <c r="E59" s="184">
        <v>40880.5</v>
      </c>
      <c r="F59" s="184"/>
      <c r="G59" s="184">
        <v>3342</v>
      </c>
      <c r="H59" s="184"/>
      <c r="I59" s="184"/>
      <c r="J59" s="184"/>
      <c r="K59" s="184"/>
      <c r="L59" s="184"/>
      <c r="M59" s="184">
        <v>3471</v>
      </c>
      <c r="N59" s="184"/>
      <c r="O59" s="184">
        <v>4753</v>
      </c>
      <c r="P59" s="185">
        <v>758432</v>
      </c>
      <c r="Q59" s="185">
        <v>1969976</v>
      </c>
      <c r="R59" s="185">
        <v>1287747</v>
      </c>
      <c r="S59" s="248"/>
      <c r="T59" s="248"/>
      <c r="U59" s="224">
        <v>1137833</v>
      </c>
      <c r="V59" s="185"/>
      <c r="W59" s="185">
        <v>33241</v>
      </c>
      <c r="X59" s="185">
        <v>166849.9</v>
      </c>
      <c r="Y59" s="185">
        <v>389467.97</v>
      </c>
      <c r="Z59" s="185">
        <v>50517.22</v>
      </c>
      <c r="AA59" s="185">
        <v>13874.32</v>
      </c>
      <c r="AB59" s="248"/>
      <c r="AC59" s="185">
        <v>24515.949999999997</v>
      </c>
      <c r="AD59" s="185"/>
      <c r="AE59" s="185">
        <v>50293</v>
      </c>
      <c r="AF59" s="185"/>
      <c r="AG59" s="185">
        <v>113304</v>
      </c>
      <c r="AH59" s="185"/>
      <c r="AI59" s="185"/>
      <c r="AJ59" s="185">
        <v>281820</v>
      </c>
      <c r="AK59" s="185"/>
      <c r="AL59" s="185"/>
      <c r="AM59" s="185"/>
      <c r="AN59" s="185"/>
      <c r="AO59" s="185"/>
      <c r="AP59" s="185">
        <v>363714</v>
      </c>
      <c r="AQ59" s="185"/>
      <c r="AR59" s="185">
        <v>111169</v>
      </c>
      <c r="AS59" s="185"/>
      <c r="AT59" s="185"/>
      <c r="AU59" s="185"/>
      <c r="AV59" s="248"/>
      <c r="AW59" s="248"/>
      <c r="AX59" s="248"/>
      <c r="AY59" s="185"/>
      <c r="AZ59" s="185">
        <v>707764.02</v>
      </c>
      <c r="BA59" s="248"/>
      <c r="BB59" s="248"/>
      <c r="BC59" s="248"/>
      <c r="BD59" s="248"/>
      <c r="BE59" s="185">
        <v>679195</v>
      </c>
      <c r="BF59" s="248"/>
      <c r="BG59" s="248"/>
      <c r="BH59" s="248"/>
      <c r="BI59" s="248"/>
      <c r="BJ59" s="248"/>
      <c r="BK59" s="248"/>
      <c r="BL59" s="248"/>
      <c r="BM59" s="248"/>
      <c r="BN59" s="248"/>
      <c r="BO59" s="248"/>
      <c r="BP59" s="248"/>
      <c r="BQ59" s="248"/>
      <c r="BR59" s="248"/>
      <c r="BS59" s="248"/>
      <c r="BT59" s="248"/>
      <c r="BU59" s="248"/>
      <c r="BV59" s="248"/>
      <c r="BW59" s="248"/>
      <c r="BX59" s="248"/>
      <c r="BY59" s="248"/>
      <c r="BZ59" s="248"/>
      <c r="CA59" s="248"/>
      <c r="CB59" s="248"/>
      <c r="CC59" s="248"/>
      <c r="CD59" s="249"/>
      <c r="CE59" s="195"/>
    </row>
    <row r="60" spans="1:84" ht="12.65" customHeight="1" x14ac:dyDescent="0.35">
      <c r="A60" s="250" t="s">
        <v>234</v>
      </c>
      <c r="B60" s="175"/>
      <c r="C60" s="186">
        <v>129.66117788461543</v>
      </c>
      <c r="D60" s="187">
        <v>70.320634615384606</v>
      </c>
      <c r="E60" s="187">
        <v>298.26640384615376</v>
      </c>
      <c r="F60" s="223">
        <v>7.6035576923076924</v>
      </c>
      <c r="G60" s="187">
        <v>17.9505625</v>
      </c>
      <c r="H60" s="187"/>
      <c r="I60" s="187"/>
      <c r="J60" s="223"/>
      <c r="K60" s="187"/>
      <c r="L60" s="187"/>
      <c r="M60" s="187">
        <f>37.4302740384615+9.88</f>
        <v>47.3102740384615</v>
      </c>
      <c r="N60" s="187">
        <v>50.91838461538461</v>
      </c>
      <c r="O60" s="187">
        <v>176.98975961538463</v>
      </c>
      <c r="P60" s="221">
        <v>112.49838461538462</v>
      </c>
      <c r="Q60" s="221">
        <v>51.467591346153853</v>
      </c>
      <c r="R60" s="221">
        <v>7.1129663461538462</v>
      </c>
      <c r="S60" s="221">
        <v>19.973749999999999</v>
      </c>
      <c r="T60" s="221">
        <v>0</v>
      </c>
      <c r="U60" s="221">
        <v>75.980634615384616</v>
      </c>
      <c r="V60" s="221">
        <v>2.3598028846153842</v>
      </c>
      <c r="W60" s="221">
        <v>5.7547307692307683</v>
      </c>
      <c r="X60" s="221">
        <v>13.034769230769228</v>
      </c>
      <c r="Y60" s="221">
        <v>150.63518269230769</v>
      </c>
      <c r="Z60" s="221">
        <v>21.436451923076923</v>
      </c>
      <c r="AA60" s="221">
        <v>3.0096298076923076</v>
      </c>
      <c r="AB60" s="221">
        <v>54.008668269230768</v>
      </c>
      <c r="AC60" s="221">
        <v>24.193471153846158</v>
      </c>
      <c r="AD60" s="221"/>
      <c r="AE60" s="221">
        <v>62.115490384615384</v>
      </c>
      <c r="AF60" s="221">
        <v>0</v>
      </c>
      <c r="AG60" s="221">
        <v>112.04542788461539</v>
      </c>
      <c r="AH60" s="221"/>
      <c r="AI60" s="221"/>
      <c r="AJ60" s="221">
        <v>471.51002884615377</v>
      </c>
      <c r="AK60" s="221"/>
      <c r="AL60" s="221"/>
      <c r="AM60" s="221"/>
      <c r="AN60" s="221"/>
      <c r="AO60" s="221"/>
      <c r="AP60" s="221">
        <v>393.55525480769228</v>
      </c>
      <c r="AQ60" s="221">
        <v>0</v>
      </c>
      <c r="AR60" s="221">
        <f>388.471793269231+88.93</f>
        <v>477.40179326923101</v>
      </c>
      <c r="AS60" s="221"/>
      <c r="AT60" s="221"/>
      <c r="AU60" s="221"/>
      <c r="AV60" s="221">
        <v>23.774870192307695</v>
      </c>
      <c r="AW60" s="221">
        <v>19.243591346153849</v>
      </c>
      <c r="AX60" s="221"/>
      <c r="AY60" s="221"/>
      <c r="AZ60" s="221">
        <v>56.438894230769229</v>
      </c>
      <c r="BA60" s="221">
        <v>5.5083990384615378</v>
      </c>
      <c r="BB60" s="221">
        <v>0.10122115384615384</v>
      </c>
      <c r="BC60" s="221">
        <v>7.1135384615384609</v>
      </c>
      <c r="BD60" s="221">
        <v>34.859500000000004</v>
      </c>
      <c r="BE60" s="221">
        <v>51.061663461538451</v>
      </c>
      <c r="BF60" s="221">
        <v>98.279062499999995</v>
      </c>
      <c r="BG60" s="221">
        <v>16.723533653846157</v>
      </c>
      <c r="BH60" s="221">
        <v>127.90365384615383</v>
      </c>
      <c r="BI60" s="221">
        <v>69.6574375</v>
      </c>
      <c r="BJ60" s="221">
        <v>18.586802884615384</v>
      </c>
      <c r="BK60" s="221">
        <v>89.747956730769246</v>
      </c>
      <c r="BL60" s="221">
        <v>79.46995673076924</v>
      </c>
      <c r="BM60" s="221">
        <v>43.784673076923085</v>
      </c>
      <c r="BN60" s="221">
        <v>25.18464423076923</v>
      </c>
      <c r="BO60" s="221">
        <v>8.9922259615384608</v>
      </c>
      <c r="BP60" s="221">
        <v>8.5500240384615385</v>
      </c>
      <c r="BQ60" s="221">
        <v>4.4114999999999993</v>
      </c>
      <c r="BR60" s="221">
        <v>32.49051923076923</v>
      </c>
      <c r="BS60" s="221">
        <v>3.9366875000000001</v>
      </c>
      <c r="BT60" s="221">
        <v>1.585908653846154</v>
      </c>
      <c r="BU60" s="221"/>
      <c r="BV60" s="185">
        <v>53.411990384615386</v>
      </c>
      <c r="BW60" s="185">
        <v>7.812903846153846</v>
      </c>
      <c r="BX60" s="185">
        <v>52.999995192307694</v>
      </c>
      <c r="BY60" s="185">
        <v>12.741812499999998</v>
      </c>
      <c r="BZ60" s="185">
        <v>44.586586538461539</v>
      </c>
      <c r="CA60" s="185">
        <v>15.334663461538463</v>
      </c>
      <c r="CB60" s="185">
        <v>74.992658653846163</v>
      </c>
      <c r="CC60" s="185">
        <v>47.771096153846159</v>
      </c>
      <c r="CD60" s="249" t="s">
        <v>221</v>
      </c>
      <c r="CE60" s="251">
        <f t="shared" ref="CE60:CE70" si="0">SUM(C60:CD60)</f>
        <v>3994.1727548076929</v>
      </c>
    </row>
    <row r="61" spans="1:84" ht="12.65" customHeight="1" x14ac:dyDescent="0.35">
      <c r="A61" s="171" t="s">
        <v>235</v>
      </c>
      <c r="B61" s="175"/>
      <c r="C61" s="184">
        <v>16171232.809999999</v>
      </c>
      <c r="D61" s="184">
        <v>7759539.8299999991</v>
      </c>
      <c r="E61" s="184">
        <v>31075554.829999987</v>
      </c>
      <c r="F61" s="185">
        <v>1113002.7400000002</v>
      </c>
      <c r="G61" s="184">
        <v>2040310.1799999997</v>
      </c>
      <c r="H61" s="184"/>
      <c r="I61" s="185">
        <v>0</v>
      </c>
      <c r="J61" s="185"/>
      <c r="K61" s="185"/>
      <c r="L61" s="185"/>
      <c r="M61" s="184">
        <f>4231091.87+879605.24</f>
        <v>5110697.1100000003</v>
      </c>
      <c r="N61" s="184">
        <v>16542331.979999999</v>
      </c>
      <c r="O61" s="184">
        <v>20499503.510000002</v>
      </c>
      <c r="P61" s="185">
        <v>11151731.559999997</v>
      </c>
      <c r="Q61" s="185">
        <v>6416633.2699999996</v>
      </c>
      <c r="R61" s="185">
        <v>563248.02</v>
      </c>
      <c r="S61" s="185">
        <v>1492052.1199999999</v>
      </c>
      <c r="T61" s="185"/>
      <c r="U61" s="185">
        <v>6187750.3500000006</v>
      </c>
      <c r="V61" s="185">
        <v>156175.69</v>
      </c>
      <c r="W61" s="185">
        <v>768209.97999999986</v>
      </c>
      <c r="X61" s="185">
        <v>1498495.0799999998</v>
      </c>
      <c r="Y61" s="185">
        <v>16432037.029999997</v>
      </c>
      <c r="Z61" s="185">
        <v>4316882.4799999995</v>
      </c>
      <c r="AA61" s="185">
        <v>427951.03</v>
      </c>
      <c r="AB61" s="185">
        <v>5968169.8099999996</v>
      </c>
      <c r="AC61" s="185">
        <v>2560068.4900000002</v>
      </c>
      <c r="AD61" s="185">
        <v>0</v>
      </c>
      <c r="AE61" s="185">
        <v>5476217.9300000006</v>
      </c>
      <c r="AF61" s="185"/>
      <c r="AG61" s="185">
        <v>11338575.839999998</v>
      </c>
      <c r="AH61" s="185"/>
      <c r="AI61" s="185"/>
      <c r="AJ61" s="185">
        <v>77260345.109999999</v>
      </c>
      <c r="AK61" s="185"/>
      <c r="AL61" s="185"/>
      <c r="AM61" s="185"/>
      <c r="AN61" s="185"/>
      <c r="AO61" s="185"/>
      <c r="AP61" s="185">
        <v>50022360.600000001</v>
      </c>
      <c r="AQ61" s="185"/>
      <c r="AR61" s="185">
        <f>42059105.2+7916447.12</f>
        <v>49975552.32</v>
      </c>
      <c r="AS61" s="185"/>
      <c r="AT61" s="185"/>
      <c r="AU61" s="185"/>
      <c r="AV61" s="185">
        <v>2606072.9800000004</v>
      </c>
      <c r="AW61" s="185">
        <v>1575940.53</v>
      </c>
      <c r="AX61" s="185">
        <v>158.1</v>
      </c>
      <c r="AY61" s="185"/>
      <c r="AZ61" s="185">
        <v>2788991.2199999997</v>
      </c>
      <c r="BA61" s="185">
        <v>273322.33</v>
      </c>
      <c r="BB61" s="185">
        <v>12261.220000000001</v>
      </c>
      <c r="BC61" s="185">
        <v>341743.33</v>
      </c>
      <c r="BD61" s="185">
        <v>2259222.5699999998</v>
      </c>
      <c r="BE61" s="185">
        <v>3652522.63</v>
      </c>
      <c r="BF61" s="185">
        <v>4799762.6899999995</v>
      </c>
      <c r="BG61" s="185">
        <v>1138215.5900000001</v>
      </c>
      <c r="BH61" s="185">
        <v>14678572.199999999</v>
      </c>
      <c r="BI61" s="185">
        <v>5979338.2000000002</v>
      </c>
      <c r="BJ61" s="185">
        <v>1701640.6400000001</v>
      </c>
      <c r="BK61" s="185">
        <v>5422716.96</v>
      </c>
      <c r="BL61" s="185">
        <v>4456023.25</v>
      </c>
      <c r="BM61" s="185">
        <v>3725959.21</v>
      </c>
      <c r="BN61" s="185">
        <v>6692764.3700000001</v>
      </c>
      <c r="BO61" s="185">
        <v>1100318.25</v>
      </c>
      <c r="BP61" s="185">
        <v>979633.55</v>
      </c>
      <c r="BQ61" s="185">
        <v>545707.59</v>
      </c>
      <c r="BR61" s="185">
        <f>3235774.07-796769.62</f>
        <v>2439004.4499999997</v>
      </c>
      <c r="BS61" s="185">
        <v>253109.26</v>
      </c>
      <c r="BT61" s="185">
        <v>117834.66000000002</v>
      </c>
      <c r="BU61" s="185"/>
      <c r="BV61" s="185">
        <v>3616523.76</v>
      </c>
      <c r="BW61" s="185">
        <v>1576253.8299999998</v>
      </c>
      <c r="BX61" s="185">
        <v>6108592.1900000004</v>
      </c>
      <c r="BY61" s="185">
        <v>1477629.32</v>
      </c>
      <c r="BZ61" s="185">
        <v>3777894.25</v>
      </c>
      <c r="CA61" s="185">
        <v>1664041.4999999998</v>
      </c>
      <c r="CB61" s="185">
        <v>5962214.1499999994</v>
      </c>
      <c r="CC61" s="185">
        <f>7412074.69+3322251.37</f>
        <v>10734326.060000001</v>
      </c>
      <c r="CD61" s="249" t="s">
        <v>221</v>
      </c>
      <c r="CE61" s="195">
        <f t="shared" si="0"/>
        <v>454782940.53999984</v>
      </c>
      <c r="CF61" s="252"/>
    </row>
    <row r="62" spans="1:84" ht="12.65" customHeight="1" x14ac:dyDescent="0.35">
      <c r="A62" s="171" t="s">
        <v>3</v>
      </c>
      <c r="B62" s="175"/>
      <c r="C62" s="195">
        <f t="shared" ref="C62:BN62" si="1">ROUND(C47+C48,0)</f>
        <v>3281901</v>
      </c>
      <c r="D62" s="195">
        <f t="shared" si="1"/>
        <v>1625255</v>
      </c>
      <c r="E62" s="195">
        <f t="shared" si="1"/>
        <v>5461788</v>
      </c>
      <c r="F62" s="195">
        <f t="shared" si="1"/>
        <v>195882</v>
      </c>
      <c r="G62" s="195">
        <f t="shared" si="1"/>
        <v>486252</v>
      </c>
      <c r="H62" s="195">
        <f t="shared" si="1"/>
        <v>0</v>
      </c>
      <c r="I62" s="195">
        <f t="shared" si="1"/>
        <v>0</v>
      </c>
      <c r="J62" s="195">
        <f>ROUND(J47+J48,0)</f>
        <v>0</v>
      </c>
      <c r="K62" s="195">
        <f t="shared" si="1"/>
        <v>0</v>
      </c>
      <c r="L62" s="195">
        <f t="shared" si="1"/>
        <v>0</v>
      </c>
      <c r="M62" s="195">
        <f t="shared" si="1"/>
        <v>1278056</v>
      </c>
      <c r="N62" s="195">
        <f t="shared" si="1"/>
        <v>2905261</v>
      </c>
      <c r="O62" s="195">
        <f t="shared" si="1"/>
        <v>4405636</v>
      </c>
      <c r="P62" s="195">
        <f t="shared" si="1"/>
        <v>2498221</v>
      </c>
      <c r="Q62" s="195">
        <f t="shared" si="1"/>
        <v>1348568</v>
      </c>
      <c r="R62" s="195">
        <f t="shared" si="1"/>
        <v>100086</v>
      </c>
      <c r="S62" s="195">
        <f t="shared" si="1"/>
        <v>323838</v>
      </c>
      <c r="T62" s="195">
        <f t="shared" si="1"/>
        <v>0</v>
      </c>
      <c r="U62" s="195">
        <f t="shared" si="1"/>
        <v>1574854</v>
      </c>
      <c r="V62" s="195">
        <f t="shared" si="1"/>
        <v>39935</v>
      </c>
      <c r="W62" s="195">
        <f t="shared" si="1"/>
        <v>119312</v>
      </c>
      <c r="X62" s="195">
        <f t="shared" si="1"/>
        <v>264587</v>
      </c>
      <c r="Y62" s="195">
        <f t="shared" si="1"/>
        <v>3559652</v>
      </c>
      <c r="Z62" s="195">
        <f t="shared" si="1"/>
        <v>715834</v>
      </c>
      <c r="AA62" s="195">
        <f t="shared" si="1"/>
        <v>86051</v>
      </c>
      <c r="AB62" s="195">
        <f t="shared" si="1"/>
        <v>1348406</v>
      </c>
      <c r="AC62" s="195">
        <f t="shared" si="1"/>
        <v>625232</v>
      </c>
      <c r="AD62" s="195">
        <f t="shared" si="1"/>
        <v>0</v>
      </c>
      <c r="AE62" s="195">
        <f t="shared" si="1"/>
        <v>1288817</v>
      </c>
      <c r="AF62" s="195">
        <f t="shared" si="1"/>
        <v>0</v>
      </c>
      <c r="AG62" s="195">
        <f t="shared" si="1"/>
        <v>2740807</v>
      </c>
      <c r="AH62" s="195">
        <f t="shared" si="1"/>
        <v>0</v>
      </c>
      <c r="AI62" s="195">
        <f t="shared" si="1"/>
        <v>0</v>
      </c>
      <c r="AJ62" s="195">
        <f t="shared" si="1"/>
        <v>13834081</v>
      </c>
      <c r="AK62" s="195">
        <f t="shared" si="1"/>
        <v>0</v>
      </c>
      <c r="AL62" s="195">
        <f t="shared" si="1"/>
        <v>0</v>
      </c>
      <c r="AM62" s="195">
        <f t="shared" si="1"/>
        <v>0</v>
      </c>
      <c r="AN62" s="195">
        <f t="shared" si="1"/>
        <v>0</v>
      </c>
      <c r="AO62" s="195">
        <f t="shared" si="1"/>
        <v>0</v>
      </c>
      <c r="AP62" s="195">
        <f t="shared" si="1"/>
        <v>10050856</v>
      </c>
      <c r="AQ62" s="195">
        <f t="shared" si="1"/>
        <v>0</v>
      </c>
      <c r="AR62" s="195">
        <f t="shared" si="1"/>
        <v>11781690</v>
      </c>
      <c r="AS62" s="195">
        <f t="shared" si="1"/>
        <v>0</v>
      </c>
      <c r="AT62" s="195">
        <f t="shared" si="1"/>
        <v>0</v>
      </c>
      <c r="AU62" s="195">
        <f t="shared" si="1"/>
        <v>0</v>
      </c>
      <c r="AV62" s="195">
        <f t="shared" si="1"/>
        <v>593427</v>
      </c>
      <c r="AW62" s="195">
        <f t="shared" si="1"/>
        <v>318366</v>
      </c>
      <c r="AX62" s="195">
        <f t="shared" si="1"/>
        <v>0</v>
      </c>
      <c r="AY62" s="195">
        <f>ROUND(AY47+AY48,0)</f>
        <v>0</v>
      </c>
      <c r="AZ62" s="195">
        <f>ROUND(AZ47+AZ48,0)</f>
        <v>0</v>
      </c>
      <c r="BA62" s="195">
        <f>ROUND(BA47+BA48,0)</f>
        <v>946130</v>
      </c>
      <c r="BB62" s="195">
        <f t="shared" si="1"/>
        <v>106661</v>
      </c>
      <c r="BC62" s="195">
        <f t="shared" si="1"/>
        <v>76723</v>
      </c>
      <c r="BD62" s="195">
        <f t="shared" si="1"/>
        <v>685705</v>
      </c>
      <c r="BE62" s="195">
        <f t="shared" si="1"/>
        <v>1032324</v>
      </c>
      <c r="BF62" s="195">
        <f t="shared" si="1"/>
        <v>1659715</v>
      </c>
      <c r="BG62" s="195">
        <f t="shared" si="1"/>
        <v>265747</v>
      </c>
      <c r="BH62" s="195">
        <f t="shared" si="1"/>
        <v>3145415</v>
      </c>
      <c r="BI62" s="195">
        <f t="shared" si="1"/>
        <v>502295</v>
      </c>
      <c r="BJ62" s="195">
        <f t="shared" si="1"/>
        <v>405245</v>
      </c>
      <c r="BK62" s="195">
        <f t="shared" si="1"/>
        <v>1581471</v>
      </c>
      <c r="BL62" s="195">
        <f t="shared" si="1"/>
        <v>1338986</v>
      </c>
      <c r="BM62" s="195">
        <f t="shared" si="1"/>
        <v>958868</v>
      </c>
      <c r="BN62" s="195">
        <f t="shared" si="1"/>
        <v>1334645</v>
      </c>
      <c r="BO62" s="195">
        <f t="shared" ref="BO62:CC62" si="2">ROUND(BO47+BO48,0)</f>
        <v>224641</v>
      </c>
      <c r="BP62" s="195">
        <f t="shared" si="2"/>
        <v>264144</v>
      </c>
      <c r="BQ62" s="195">
        <f t="shared" si="2"/>
        <v>126636</v>
      </c>
      <c r="BR62" s="195">
        <f t="shared" si="2"/>
        <v>7497196</v>
      </c>
      <c r="BS62" s="195">
        <f t="shared" si="2"/>
        <v>82167</v>
      </c>
      <c r="BT62" s="195">
        <f t="shared" si="2"/>
        <v>52807</v>
      </c>
      <c r="BU62" s="195">
        <f t="shared" si="2"/>
        <v>0</v>
      </c>
      <c r="BV62" s="195">
        <f t="shared" si="2"/>
        <v>1112558</v>
      </c>
      <c r="BW62" s="195">
        <f t="shared" si="2"/>
        <v>171927</v>
      </c>
      <c r="BX62" s="195">
        <f t="shared" si="2"/>
        <v>1327961</v>
      </c>
      <c r="BY62" s="195">
        <f t="shared" si="2"/>
        <v>327799</v>
      </c>
      <c r="BZ62" s="195">
        <f t="shared" si="2"/>
        <v>1176965</v>
      </c>
      <c r="CA62" s="195">
        <f t="shared" si="2"/>
        <v>384857</v>
      </c>
      <c r="CB62" s="195">
        <f t="shared" si="2"/>
        <v>1516188</v>
      </c>
      <c r="CC62" s="195">
        <f t="shared" si="2"/>
        <v>1269309</v>
      </c>
      <c r="CD62" s="249" t="s">
        <v>221</v>
      </c>
      <c r="CE62" s="195">
        <f t="shared" si="0"/>
        <v>102427736</v>
      </c>
      <c r="CF62" s="252"/>
    </row>
    <row r="63" spans="1:84" ht="12.65" customHeight="1" x14ac:dyDescent="0.35">
      <c r="A63" s="171" t="s">
        <v>236</v>
      </c>
      <c r="B63" s="175"/>
      <c r="C63" s="184">
        <v>669000.25</v>
      </c>
      <c r="D63" s="184">
        <v>0</v>
      </c>
      <c r="E63" s="184">
        <v>0</v>
      </c>
      <c r="F63" s="185">
        <v>0</v>
      </c>
      <c r="G63" s="184">
        <v>0</v>
      </c>
      <c r="H63" s="184"/>
      <c r="I63" s="185">
        <v>0</v>
      </c>
      <c r="J63" s="185"/>
      <c r="K63" s="185"/>
      <c r="L63" s="185"/>
      <c r="M63" s="184">
        <v>2247.7800000000002</v>
      </c>
      <c r="N63" s="184">
        <v>691954.86</v>
      </c>
      <c r="O63" s="184">
        <v>1695690.45</v>
      </c>
      <c r="P63" s="185">
        <v>-1374.26</v>
      </c>
      <c r="Q63" s="185">
        <v>0</v>
      </c>
      <c r="R63" s="185">
        <v>0</v>
      </c>
      <c r="S63" s="185">
        <v>0</v>
      </c>
      <c r="T63" s="185">
        <v>0</v>
      </c>
      <c r="U63" s="185">
        <v>76453.67</v>
      </c>
      <c r="V63" s="185">
        <v>2625</v>
      </c>
      <c r="W63" s="185">
        <v>0</v>
      </c>
      <c r="X63" s="185">
        <v>0</v>
      </c>
      <c r="Y63" s="185">
        <v>154828.01999999999</v>
      </c>
      <c r="Z63" s="185">
        <v>6840</v>
      </c>
      <c r="AA63" s="185"/>
      <c r="AB63" s="185"/>
      <c r="AC63" s="185"/>
      <c r="AD63" s="185"/>
      <c r="AE63" s="185"/>
      <c r="AF63" s="185"/>
      <c r="AG63" s="185">
        <v>392702.27</v>
      </c>
      <c r="AH63" s="185">
        <v>0</v>
      </c>
      <c r="AI63" s="185">
        <v>0</v>
      </c>
      <c r="AJ63" s="185">
        <v>1078964.31</v>
      </c>
      <c r="AK63" s="185">
        <v>0</v>
      </c>
      <c r="AL63" s="185"/>
      <c r="AM63" s="185"/>
      <c r="AN63" s="185"/>
      <c r="AO63" s="185"/>
      <c r="AP63" s="185">
        <v>5701848.21</v>
      </c>
      <c r="AQ63" s="185"/>
      <c r="AR63" s="185">
        <v>6753.86</v>
      </c>
      <c r="AS63" s="185">
        <v>0</v>
      </c>
      <c r="AT63" s="185"/>
      <c r="AU63" s="185"/>
      <c r="AV63" s="185">
        <v>0</v>
      </c>
      <c r="AW63" s="185">
        <v>493308.35000000003</v>
      </c>
      <c r="AX63" s="185">
        <v>0</v>
      </c>
      <c r="AY63" s="185"/>
      <c r="AZ63" s="185"/>
      <c r="BA63" s="185"/>
      <c r="BB63" s="185"/>
      <c r="BC63" s="185"/>
      <c r="BD63" s="185"/>
      <c r="BE63" s="185"/>
      <c r="BF63" s="185"/>
      <c r="BG63" s="185"/>
      <c r="BH63" s="185">
        <v>-5000</v>
      </c>
      <c r="BI63" s="185">
        <v>760826.63</v>
      </c>
      <c r="BJ63" s="185">
        <v>302071.56000000006</v>
      </c>
      <c r="BK63" s="185">
        <v>234692.83000000002</v>
      </c>
      <c r="BL63" s="185">
        <v>0</v>
      </c>
      <c r="BM63" s="185">
        <v>41780</v>
      </c>
      <c r="BN63" s="185">
        <v>3281097.92</v>
      </c>
      <c r="BO63" s="185">
        <v>390</v>
      </c>
      <c r="BP63" s="185">
        <v>-25060.39</v>
      </c>
      <c r="BQ63" s="185">
        <v>0</v>
      </c>
      <c r="BR63" s="185">
        <f>1395183.77+307762.04</f>
        <v>1702945.81</v>
      </c>
      <c r="BS63" s="185">
        <v>318</v>
      </c>
      <c r="BT63" s="185">
        <v>0</v>
      </c>
      <c r="BU63" s="185">
        <v>0</v>
      </c>
      <c r="BV63" s="185">
        <v>0</v>
      </c>
      <c r="BW63" s="185">
        <v>1822689.77</v>
      </c>
      <c r="BX63" s="185">
        <v>116419.73</v>
      </c>
      <c r="BY63" s="185">
        <v>0</v>
      </c>
      <c r="BZ63" s="185">
        <v>0</v>
      </c>
      <c r="CA63" s="185">
        <v>3781.25</v>
      </c>
      <c r="CB63" s="185">
        <v>668</v>
      </c>
      <c r="CC63" s="185">
        <f>290987.55+23000</f>
        <v>313987.55</v>
      </c>
      <c r="CD63" s="249" t="s">
        <v>221</v>
      </c>
      <c r="CE63" s="195">
        <f t="shared" si="0"/>
        <v>19523451.43</v>
      </c>
      <c r="CF63" s="252"/>
    </row>
    <row r="64" spans="1:84" ht="12.65" customHeight="1" x14ac:dyDescent="0.35">
      <c r="A64" s="171" t="s">
        <v>237</v>
      </c>
      <c r="B64" s="175"/>
      <c r="C64" s="184">
        <v>1831742.92</v>
      </c>
      <c r="D64" s="184">
        <v>710662.7200000002</v>
      </c>
      <c r="E64" s="185">
        <v>2116460.9700000002</v>
      </c>
      <c r="F64" s="185">
        <v>6606.05</v>
      </c>
      <c r="G64" s="184">
        <v>75234.260000000009</v>
      </c>
      <c r="H64" s="184"/>
      <c r="I64" s="185">
        <v>0</v>
      </c>
      <c r="J64" s="185"/>
      <c r="K64" s="185"/>
      <c r="L64" s="185"/>
      <c r="M64" s="184">
        <f>99340.47+42624.17</f>
        <v>141964.64000000001</v>
      </c>
      <c r="N64" s="184">
        <v>10347.75</v>
      </c>
      <c r="O64" s="184">
        <v>1903344.3499999999</v>
      </c>
      <c r="P64" s="185">
        <v>37969102.170000002</v>
      </c>
      <c r="Q64" s="185">
        <v>452403.65000000008</v>
      </c>
      <c r="R64" s="185">
        <v>508688.05999999994</v>
      </c>
      <c r="S64" s="185">
        <v>609267.08000000007</v>
      </c>
      <c r="T64" s="185">
        <v>0</v>
      </c>
      <c r="U64" s="185">
        <v>6911849.8299999982</v>
      </c>
      <c r="V64" s="185">
        <v>38794.709999999992</v>
      </c>
      <c r="W64" s="185">
        <v>185774.03</v>
      </c>
      <c r="X64" s="185">
        <v>440212.32</v>
      </c>
      <c r="Y64" s="185">
        <v>6990950.2700000005</v>
      </c>
      <c r="Z64" s="185">
        <v>485879.67</v>
      </c>
      <c r="AA64" s="185">
        <v>302970.1700000001</v>
      </c>
      <c r="AB64" s="185">
        <v>17648488.440000009</v>
      </c>
      <c r="AC64" s="185">
        <v>378326.5500000001</v>
      </c>
      <c r="AD64" s="185">
        <v>0</v>
      </c>
      <c r="AE64" s="185">
        <v>125625.09000000001</v>
      </c>
      <c r="AF64" s="185"/>
      <c r="AG64" s="185">
        <v>1770793.2300000002</v>
      </c>
      <c r="AH64" s="185">
        <v>0</v>
      </c>
      <c r="AI64" s="185">
        <v>0</v>
      </c>
      <c r="AJ64" s="185">
        <v>5650448.0000000009</v>
      </c>
      <c r="AK64" s="185"/>
      <c r="AL64" s="185"/>
      <c r="AM64" s="185"/>
      <c r="AN64" s="185"/>
      <c r="AO64" s="185"/>
      <c r="AP64" s="185">
        <v>5106941.1100000013</v>
      </c>
      <c r="AQ64" s="185"/>
      <c r="AR64" s="185">
        <f>3417501.95+383617.56</f>
        <v>3801119.5100000002</v>
      </c>
      <c r="AS64" s="185"/>
      <c r="AT64" s="185"/>
      <c r="AU64" s="185"/>
      <c r="AV64" s="185">
        <v>8539724.660000002</v>
      </c>
      <c r="AW64" s="185">
        <v>49655.570000000007</v>
      </c>
      <c r="AX64" s="185">
        <v>315249.93</v>
      </c>
      <c r="AY64" s="185"/>
      <c r="AZ64" s="185">
        <v>1818940.5299999996</v>
      </c>
      <c r="BA64" s="185">
        <v>15909.02</v>
      </c>
      <c r="BB64" s="185">
        <v>0</v>
      </c>
      <c r="BC64" s="185">
        <v>2324.5100000000002</v>
      </c>
      <c r="BD64" s="185">
        <v>45717.869999999995</v>
      </c>
      <c r="BE64" s="185">
        <v>552214.86</v>
      </c>
      <c r="BF64" s="185">
        <v>366961.32999999996</v>
      </c>
      <c r="BG64" s="185">
        <v>87011.829999999987</v>
      </c>
      <c r="BH64" s="185">
        <v>1100197.5299999998</v>
      </c>
      <c r="BI64" s="185">
        <v>617463.45000000019</v>
      </c>
      <c r="BJ64" s="185">
        <v>21456.950000000004</v>
      </c>
      <c r="BK64" s="185">
        <v>52961.51</v>
      </c>
      <c r="BL64" s="185">
        <v>59066.040000000008</v>
      </c>
      <c r="BM64" s="185">
        <v>9895.23</v>
      </c>
      <c r="BN64" s="185">
        <v>18773.87</v>
      </c>
      <c r="BO64" s="185">
        <v>144752.88</v>
      </c>
      <c r="BP64" s="185">
        <v>64178.290000000008</v>
      </c>
      <c r="BQ64" s="185">
        <v>1559.1200000000001</v>
      </c>
      <c r="BR64" s="185">
        <f>54184.74+50</f>
        <v>54234.74</v>
      </c>
      <c r="BS64" s="185">
        <v>257119.17</v>
      </c>
      <c r="BT64" s="185">
        <v>636.5</v>
      </c>
      <c r="BU64" s="185">
        <v>0</v>
      </c>
      <c r="BV64" s="185">
        <v>19387.239999999998</v>
      </c>
      <c r="BW64" s="185">
        <v>5053.4399999999996</v>
      </c>
      <c r="BX64" s="185">
        <v>32729.48</v>
      </c>
      <c r="BY64" s="185">
        <v>4419.01</v>
      </c>
      <c r="BZ64" s="185">
        <v>1712.0800000000002</v>
      </c>
      <c r="CA64" s="185">
        <v>266292.32</v>
      </c>
      <c r="CB64" s="185">
        <v>32687.87</v>
      </c>
      <c r="CC64" s="185">
        <f>77706.68-1391930.06</f>
        <v>-1314223.3800000001</v>
      </c>
      <c r="CD64" s="249" t="s">
        <v>221</v>
      </c>
      <c r="CE64" s="195">
        <f t="shared" si="0"/>
        <v>109418061.00000006</v>
      </c>
      <c r="CF64" s="252"/>
    </row>
    <row r="65" spans="1:84" ht="12.65" customHeight="1" x14ac:dyDescent="0.35">
      <c r="A65" s="171" t="s">
        <v>238</v>
      </c>
      <c r="B65" s="175"/>
      <c r="C65" s="184">
        <v>5364.58</v>
      </c>
      <c r="D65" s="184">
        <v>0</v>
      </c>
      <c r="E65" s="184">
        <v>0</v>
      </c>
      <c r="F65" s="184">
        <v>0</v>
      </c>
      <c r="G65" s="184">
        <v>0</v>
      </c>
      <c r="H65" s="184"/>
      <c r="I65" s="185">
        <v>0</v>
      </c>
      <c r="J65" s="184"/>
      <c r="K65" s="185"/>
      <c r="L65" s="185"/>
      <c r="M65" s="184">
        <f>2676.17+6097.93</f>
        <v>8774.1</v>
      </c>
      <c r="N65" s="184">
        <v>26778.240000000002</v>
      </c>
      <c r="O65" s="184">
        <v>480.34</v>
      </c>
      <c r="P65" s="185">
        <v>0</v>
      </c>
      <c r="Q65" s="185">
        <v>785.14</v>
      </c>
      <c r="R65" s="185">
        <v>0</v>
      </c>
      <c r="S65" s="185">
        <v>0</v>
      </c>
      <c r="T65" s="185">
        <v>0</v>
      </c>
      <c r="U65" s="185">
        <v>0</v>
      </c>
      <c r="V65" s="185">
        <v>0</v>
      </c>
      <c r="W65" s="185">
        <v>0</v>
      </c>
      <c r="X65" s="185">
        <v>0</v>
      </c>
      <c r="Y65" s="185">
        <v>16987.82</v>
      </c>
      <c r="Z65" s="185">
        <v>2573.31</v>
      </c>
      <c r="AA65" s="185">
        <v>0</v>
      </c>
      <c r="AB65" s="185">
        <v>0</v>
      </c>
      <c r="AC65" s="185">
        <v>0</v>
      </c>
      <c r="AD65" s="185">
        <v>0</v>
      </c>
      <c r="AE65" s="185">
        <v>8437.3700000000008</v>
      </c>
      <c r="AF65" s="185"/>
      <c r="AG65" s="185">
        <v>2216.0100000000002</v>
      </c>
      <c r="AH65" s="185">
        <v>0</v>
      </c>
      <c r="AI65" s="185">
        <v>0</v>
      </c>
      <c r="AJ65" s="185">
        <v>110130</v>
      </c>
      <c r="AK65" s="185">
        <v>0</v>
      </c>
      <c r="AL65" s="185"/>
      <c r="AM65" s="185"/>
      <c r="AN65" s="185"/>
      <c r="AO65" s="185"/>
      <c r="AP65" s="185">
        <v>201269.15</v>
      </c>
      <c r="AQ65" s="185"/>
      <c r="AR65" s="185">
        <f>232391.24+54881.94</f>
        <v>287273.18</v>
      </c>
      <c r="AS65" s="185">
        <v>0</v>
      </c>
      <c r="AT65" s="185"/>
      <c r="AU65" s="185"/>
      <c r="AV65" s="185">
        <v>5301.16</v>
      </c>
      <c r="AW65" s="185">
        <v>740.48</v>
      </c>
      <c r="AX65" s="185">
        <v>2920.87</v>
      </c>
      <c r="AY65" s="185"/>
      <c r="AZ65" s="185"/>
      <c r="BA65" s="185"/>
      <c r="BB65" s="185"/>
      <c r="BC65" s="185"/>
      <c r="BD65" s="185">
        <v>315.16000000000003</v>
      </c>
      <c r="BE65" s="185">
        <v>4356712.59</v>
      </c>
      <c r="BF65" s="185">
        <v>501154.56</v>
      </c>
      <c r="BG65" s="185">
        <v>1208073.1200000001</v>
      </c>
      <c r="BH65" s="185">
        <v>6322.93</v>
      </c>
      <c r="BI65" s="185">
        <v>11925.74</v>
      </c>
      <c r="BJ65" s="185">
        <v>0</v>
      </c>
      <c r="BK65" s="185">
        <v>0</v>
      </c>
      <c r="BL65" s="185">
        <v>695.52</v>
      </c>
      <c r="BM65" s="185">
        <v>0</v>
      </c>
      <c r="BN65" s="185">
        <v>0</v>
      </c>
      <c r="BO65" s="185">
        <v>0</v>
      </c>
      <c r="BP65" s="185">
        <v>1200.6199999999999</v>
      </c>
      <c r="BQ65" s="185">
        <v>0</v>
      </c>
      <c r="BR65" s="185">
        <v>0</v>
      </c>
      <c r="BS65" s="185">
        <v>1089.1400000000001</v>
      </c>
      <c r="BT65" s="185">
        <v>3178.7</v>
      </c>
      <c r="BU65" s="185">
        <v>0</v>
      </c>
      <c r="BV65" s="185">
        <v>0</v>
      </c>
      <c r="BW65" s="185">
        <v>0</v>
      </c>
      <c r="BX65" s="185">
        <v>5391.28</v>
      </c>
      <c r="BY65" s="185">
        <v>1805.45</v>
      </c>
      <c r="BZ65" s="185">
        <v>0</v>
      </c>
      <c r="CA65" s="185">
        <v>0</v>
      </c>
      <c r="CB65" s="185">
        <v>8187.83</v>
      </c>
      <c r="CC65" s="185">
        <v>46884.789999999994</v>
      </c>
      <c r="CD65" s="249" t="s">
        <v>221</v>
      </c>
      <c r="CE65" s="195">
        <f t="shared" si="0"/>
        <v>6832969.1799999997</v>
      </c>
      <c r="CF65" s="252"/>
    </row>
    <row r="66" spans="1:84" ht="12.65" customHeight="1" x14ac:dyDescent="0.35">
      <c r="A66" s="171" t="s">
        <v>239</v>
      </c>
      <c r="B66" s="175"/>
      <c r="C66" s="184">
        <v>421363.6</v>
      </c>
      <c r="D66" s="184">
        <v>323394.68999999994</v>
      </c>
      <c r="E66" s="184">
        <v>783906.57</v>
      </c>
      <c r="F66" s="184">
        <v>57111.28</v>
      </c>
      <c r="G66" s="184">
        <v>46066.080000000002</v>
      </c>
      <c r="H66" s="184"/>
      <c r="I66" s="184">
        <v>0</v>
      </c>
      <c r="J66" s="184"/>
      <c r="K66" s="185"/>
      <c r="L66" s="185"/>
      <c r="M66" s="184">
        <f>170070.11+12549.84</f>
        <v>182619.94999999998</v>
      </c>
      <c r="N66" s="184">
        <v>3340.33</v>
      </c>
      <c r="O66" s="185">
        <v>327818.21000000002</v>
      </c>
      <c r="P66" s="185">
        <v>1854756.0799999998</v>
      </c>
      <c r="Q66" s="185">
        <v>70496.53</v>
      </c>
      <c r="R66" s="185">
        <v>66295.12</v>
      </c>
      <c r="S66" s="184">
        <v>140072.5</v>
      </c>
      <c r="T66" s="184">
        <v>0</v>
      </c>
      <c r="U66" s="185">
        <v>6704659.4299999997</v>
      </c>
      <c r="V66" s="185">
        <v>305.7</v>
      </c>
      <c r="W66" s="185">
        <v>165738.15000000002</v>
      </c>
      <c r="X66" s="185">
        <v>412820.23000000004</v>
      </c>
      <c r="Y66" s="185">
        <v>4633739.3899999997</v>
      </c>
      <c r="Z66" s="185">
        <v>1263653.2499999998</v>
      </c>
      <c r="AA66" s="185">
        <v>99444.13</v>
      </c>
      <c r="AB66" s="185">
        <v>270698.12</v>
      </c>
      <c r="AC66" s="185">
        <v>1373.03</v>
      </c>
      <c r="AD66" s="185">
        <v>0</v>
      </c>
      <c r="AE66" s="185">
        <v>133092.23000000001</v>
      </c>
      <c r="AF66" s="185"/>
      <c r="AG66" s="185">
        <v>647109.44000000018</v>
      </c>
      <c r="AH66" s="185">
        <v>0</v>
      </c>
      <c r="AI66" s="185">
        <v>0</v>
      </c>
      <c r="AJ66" s="185">
        <v>1090478.1900000002</v>
      </c>
      <c r="AK66" s="185">
        <v>0</v>
      </c>
      <c r="AL66" s="185"/>
      <c r="AM66" s="185"/>
      <c r="AN66" s="185"/>
      <c r="AO66" s="185"/>
      <c r="AP66" s="185">
        <v>1459180.7799999998</v>
      </c>
      <c r="AQ66" s="185"/>
      <c r="AR66" s="185">
        <f>2517643.11+112948.56</f>
        <v>2630591.67</v>
      </c>
      <c r="AS66" s="185">
        <v>0</v>
      </c>
      <c r="AT66" s="185"/>
      <c r="AU66" s="185"/>
      <c r="AV66" s="185">
        <v>615185.67000000004</v>
      </c>
      <c r="AW66" s="185">
        <v>78969.659999999989</v>
      </c>
      <c r="AX66" s="185">
        <v>2578688.4000000004</v>
      </c>
      <c r="AY66" s="185"/>
      <c r="AZ66" s="185">
        <v>345790.20999999996</v>
      </c>
      <c r="BA66" s="185">
        <v>0</v>
      </c>
      <c r="BB66" s="185">
        <v>240000</v>
      </c>
      <c r="BC66" s="185">
        <v>0</v>
      </c>
      <c r="BD66" s="185">
        <v>18749.329999999998</v>
      </c>
      <c r="BE66" s="185">
        <v>2821913.05</v>
      </c>
      <c r="BF66" s="185">
        <v>-988694.98</v>
      </c>
      <c r="BG66" s="185">
        <v>247412</v>
      </c>
      <c r="BH66" s="185">
        <v>14913579.439999999</v>
      </c>
      <c r="BI66" s="185">
        <v>1372302.2599999995</v>
      </c>
      <c r="BJ66" s="185">
        <v>40894.9</v>
      </c>
      <c r="BK66" s="185">
        <v>2983317.5000000005</v>
      </c>
      <c r="BL66" s="185">
        <v>543860.59</v>
      </c>
      <c r="BM66" s="185">
        <v>558434.53</v>
      </c>
      <c r="BN66" s="185">
        <v>588645.21000000008</v>
      </c>
      <c r="BO66" s="185">
        <v>56475.12</v>
      </c>
      <c r="BP66" s="185">
        <v>5797251.1299999999</v>
      </c>
      <c r="BQ66" s="185">
        <v>1448.5</v>
      </c>
      <c r="BR66" s="185">
        <f>647983.73+269933.48</f>
        <v>917917.21</v>
      </c>
      <c r="BS66" s="185">
        <v>9081.6999999999989</v>
      </c>
      <c r="BT66" s="185">
        <v>232.12</v>
      </c>
      <c r="BU66" s="185">
        <v>0</v>
      </c>
      <c r="BV66" s="185">
        <v>1602568.3499999999</v>
      </c>
      <c r="BW66" s="185">
        <v>167369.92000000001</v>
      </c>
      <c r="BX66" s="185">
        <v>802901.41</v>
      </c>
      <c r="BY66" s="185">
        <v>12673.619999999999</v>
      </c>
      <c r="BZ66" s="185">
        <v>378.88</v>
      </c>
      <c r="CA66" s="185">
        <v>235873.89</v>
      </c>
      <c r="CB66" s="185">
        <v>87453.58</v>
      </c>
      <c r="CC66" s="185">
        <f>3718128.05+179331.25+440457</f>
        <v>4337916.3</v>
      </c>
      <c r="CD66" s="249" t="s">
        <v>221</v>
      </c>
      <c r="CE66" s="195">
        <f t="shared" si="0"/>
        <v>64778714.180000007</v>
      </c>
      <c r="CF66" s="252"/>
    </row>
    <row r="67" spans="1:84" ht="12.65" customHeight="1" x14ac:dyDescent="0.35">
      <c r="A67" s="171" t="s">
        <v>6</v>
      </c>
      <c r="B67" s="175"/>
      <c r="C67" s="195">
        <f>ROUND(C51+C52,0)</f>
        <v>1452876</v>
      </c>
      <c r="D67" s="195">
        <f>ROUND(D51+D52,0)</f>
        <v>1565460</v>
      </c>
      <c r="E67" s="195">
        <f t="shared" ref="E67:BP67" si="3">ROUND(E51+E52,0)</f>
        <v>2309574</v>
      </c>
      <c r="F67" s="195">
        <f t="shared" si="3"/>
        <v>140</v>
      </c>
      <c r="G67" s="195">
        <f t="shared" si="3"/>
        <v>92894</v>
      </c>
      <c r="H67" s="195">
        <f t="shared" si="3"/>
        <v>0</v>
      </c>
      <c r="I67" s="195">
        <f t="shared" si="3"/>
        <v>0</v>
      </c>
      <c r="J67" s="195">
        <f>ROUND(J51+J52,0)</f>
        <v>0</v>
      </c>
      <c r="K67" s="195">
        <f t="shared" si="3"/>
        <v>0</v>
      </c>
      <c r="L67" s="195">
        <f t="shared" si="3"/>
        <v>0</v>
      </c>
      <c r="M67" s="195">
        <f t="shared" si="3"/>
        <v>151265</v>
      </c>
      <c r="N67" s="195">
        <f t="shared" si="3"/>
        <v>4413</v>
      </c>
      <c r="O67" s="195">
        <f t="shared" si="3"/>
        <v>712237</v>
      </c>
      <c r="P67" s="195">
        <f t="shared" si="3"/>
        <v>3318699</v>
      </c>
      <c r="Q67" s="195">
        <f t="shared" si="3"/>
        <v>116903</v>
      </c>
      <c r="R67" s="195">
        <f t="shared" si="3"/>
        <v>113754</v>
      </c>
      <c r="S67" s="195">
        <f t="shared" si="3"/>
        <v>324584</v>
      </c>
      <c r="T67" s="195">
        <f t="shared" si="3"/>
        <v>0</v>
      </c>
      <c r="U67" s="195">
        <f t="shared" si="3"/>
        <v>410631</v>
      </c>
      <c r="V67" s="195">
        <f t="shared" si="3"/>
        <v>8246</v>
      </c>
      <c r="W67" s="195">
        <f t="shared" si="3"/>
        <v>216287</v>
      </c>
      <c r="X67" s="195">
        <f t="shared" si="3"/>
        <v>179096</v>
      </c>
      <c r="Y67" s="195">
        <f t="shared" si="3"/>
        <v>2924032</v>
      </c>
      <c r="Z67" s="195">
        <f t="shared" si="3"/>
        <v>1176998</v>
      </c>
      <c r="AA67" s="195">
        <f t="shared" si="3"/>
        <v>101329</v>
      </c>
      <c r="AB67" s="195">
        <f t="shared" si="3"/>
        <v>246142</v>
      </c>
      <c r="AC67" s="195">
        <f t="shared" si="3"/>
        <v>61808</v>
      </c>
      <c r="AD67" s="195">
        <f t="shared" si="3"/>
        <v>0</v>
      </c>
      <c r="AE67" s="195">
        <f t="shared" si="3"/>
        <v>180449</v>
      </c>
      <c r="AF67" s="195">
        <f t="shared" si="3"/>
        <v>0</v>
      </c>
      <c r="AG67" s="195">
        <f t="shared" si="3"/>
        <v>1128622</v>
      </c>
      <c r="AH67" s="195">
        <f t="shared" si="3"/>
        <v>0</v>
      </c>
      <c r="AI67" s="195">
        <f t="shared" si="3"/>
        <v>0</v>
      </c>
      <c r="AJ67" s="195">
        <f t="shared" si="3"/>
        <v>3147027</v>
      </c>
      <c r="AK67" s="195">
        <f t="shared" si="3"/>
        <v>0</v>
      </c>
      <c r="AL67" s="195">
        <f t="shared" si="3"/>
        <v>0</v>
      </c>
      <c r="AM67" s="195">
        <f t="shared" si="3"/>
        <v>0</v>
      </c>
      <c r="AN67" s="195">
        <f t="shared" si="3"/>
        <v>0</v>
      </c>
      <c r="AO67" s="195">
        <f t="shared" si="3"/>
        <v>0</v>
      </c>
      <c r="AP67" s="195">
        <f t="shared" si="3"/>
        <v>2893094</v>
      </c>
      <c r="AQ67" s="195">
        <f t="shared" si="3"/>
        <v>0</v>
      </c>
      <c r="AR67" s="195">
        <f t="shared" si="3"/>
        <v>99926</v>
      </c>
      <c r="AS67" s="195">
        <f t="shared" si="3"/>
        <v>0</v>
      </c>
      <c r="AT67" s="195">
        <f t="shared" si="3"/>
        <v>0</v>
      </c>
      <c r="AU67" s="195">
        <f t="shared" si="3"/>
        <v>0</v>
      </c>
      <c r="AV67" s="195">
        <f t="shared" si="3"/>
        <v>221789</v>
      </c>
      <c r="AW67" s="195">
        <f t="shared" si="3"/>
        <v>32088</v>
      </c>
      <c r="AX67" s="195">
        <f t="shared" si="3"/>
        <v>0</v>
      </c>
      <c r="AY67" s="195">
        <f t="shared" si="3"/>
        <v>0</v>
      </c>
      <c r="AZ67" s="195">
        <f>ROUND(AZ51+AZ52,0)</f>
        <v>765007</v>
      </c>
      <c r="BA67" s="195">
        <f>ROUND(BA51+BA52,0)</f>
        <v>6319</v>
      </c>
      <c r="BB67" s="195">
        <f t="shared" si="3"/>
        <v>17585</v>
      </c>
      <c r="BC67" s="195">
        <f t="shared" si="3"/>
        <v>70165</v>
      </c>
      <c r="BD67" s="195">
        <f t="shared" si="3"/>
        <v>6212410</v>
      </c>
      <c r="BE67" s="195">
        <f t="shared" si="3"/>
        <v>235820</v>
      </c>
      <c r="BF67" s="195">
        <f t="shared" si="3"/>
        <v>42419</v>
      </c>
      <c r="BG67" s="195">
        <f t="shared" si="3"/>
        <v>0</v>
      </c>
      <c r="BH67" s="195">
        <f t="shared" si="3"/>
        <v>6079695</v>
      </c>
      <c r="BI67" s="195">
        <f t="shared" si="3"/>
        <v>210321</v>
      </c>
      <c r="BJ67" s="195">
        <f t="shared" si="3"/>
        <v>29692</v>
      </c>
      <c r="BK67" s="195">
        <f t="shared" si="3"/>
        <v>47755</v>
      </c>
      <c r="BL67" s="195">
        <f t="shared" si="3"/>
        <v>28504</v>
      </c>
      <c r="BM67" s="195">
        <f t="shared" si="3"/>
        <v>15340</v>
      </c>
      <c r="BN67" s="195">
        <f t="shared" si="3"/>
        <v>231489</v>
      </c>
      <c r="BO67" s="195">
        <f t="shared" si="3"/>
        <v>52088</v>
      </c>
      <c r="BP67" s="195">
        <f t="shared" si="3"/>
        <v>75126</v>
      </c>
      <c r="BQ67" s="195">
        <f t="shared" ref="BQ67:CC67" si="4">ROUND(BQ51+BQ52,0)</f>
        <v>3222</v>
      </c>
      <c r="BR67" s="195">
        <f t="shared" si="4"/>
        <v>6971</v>
      </c>
      <c r="BS67" s="195">
        <f t="shared" si="4"/>
        <v>19557</v>
      </c>
      <c r="BT67" s="195">
        <f t="shared" si="4"/>
        <v>20704</v>
      </c>
      <c r="BU67" s="195">
        <f t="shared" si="4"/>
        <v>0</v>
      </c>
      <c r="BV67" s="195">
        <f t="shared" si="4"/>
        <v>61475</v>
      </c>
      <c r="BW67" s="195">
        <f t="shared" si="4"/>
        <v>24100</v>
      </c>
      <c r="BX67" s="195">
        <f t="shared" si="4"/>
        <v>41263</v>
      </c>
      <c r="BY67" s="195">
        <f t="shared" si="4"/>
        <v>225720</v>
      </c>
      <c r="BZ67" s="195">
        <f t="shared" si="4"/>
        <v>6140</v>
      </c>
      <c r="CA67" s="195">
        <f t="shared" si="4"/>
        <v>9539</v>
      </c>
      <c r="CB67" s="195">
        <f t="shared" si="4"/>
        <v>33687</v>
      </c>
      <c r="CC67" s="195">
        <f t="shared" si="4"/>
        <v>68281</v>
      </c>
      <c r="CD67" s="249" t="s">
        <v>221</v>
      </c>
      <c r="CE67" s="195">
        <f t="shared" si="0"/>
        <v>37830757</v>
      </c>
      <c r="CF67" s="252"/>
    </row>
    <row r="68" spans="1:84" ht="12.65" customHeight="1" x14ac:dyDescent="0.35">
      <c r="A68" s="171" t="s">
        <v>240</v>
      </c>
      <c r="B68" s="175"/>
      <c r="C68" s="184"/>
      <c r="D68" s="184"/>
      <c r="E68" s="184"/>
      <c r="F68" s="184"/>
      <c r="G68" s="184"/>
      <c r="H68" s="184"/>
      <c r="I68" s="184"/>
      <c r="J68" s="184"/>
      <c r="K68" s="185"/>
      <c r="L68" s="185"/>
      <c r="M68" s="184">
        <f>2556.04+75326.3</f>
        <v>77882.34</v>
      </c>
      <c r="N68" s="184"/>
      <c r="O68" s="184"/>
      <c r="P68" s="185">
        <v>17624.900000000001</v>
      </c>
      <c r="Q68" s="185">
        <v>0</v>
      </c>
      <c r="R68" s="185">
        <v>0</v>
      </c>
      <c r="S68" s="185">
        <v>0</v>
      </c>
      <c r="T68" s="185">
        <v>0</v>
      </c>
      <c r="U68" s="185">
        <v>23506.98</v>
      </c>
      <c r="V68" s="185">
        <v>0</v>
      </c>
      <c r="W68" s="185">
        <v>0</v>
      </c>
      <c r="X68" s="185">
        <v>0</v>
      </c>
      <c r="Y68" s="185">
        <v>476170.63</v>
      </c>
      <c r="Z68" s="185">
        <v>0</v>
      </c>
      <c r="AA68" s="185">
        <v>0</v>
      </c>
      <c r="AB68" s="185">
        <v>0</v>
      </c>
      <c r="AC68" s="185">
        <v>5281.51</v>
      </c>
      <c r="AD68" s="185">
        <v>0</v>
      </c>
      <c r="AE68" s="185">
        <v>157317.63</v>
      </c>
      <c r="AF68" s="185"/>
      <c r="AG68" s="185">
        <v>632910.63</v>
      </c>
      <c r="AH68" s="185">
        <v>0</v>
      </c>
      <c r="AI68" s="185">
        <v>0</v>
      </c>
      <c r="AJ68" s="185">
        <v>109882.76</v>
      </c>
      <c r="AK68" s="185">
        <v>0</v>
      </c>
      <c r="AL68" s="185"/>
      <c r="AM68" s="185"/>
      <c r="AN68" s="185"/>
      <c r="AO68" s="185"/>
      <c r="AP68" s="185">
        <v>6322615.71</v>
      </c>
      <c r="AQ68" s="185"/>
      <c r="AR68" s="185">
        <f>1045111.14+677936.66</f>
        <v>1723047.8</v>
      </c>
      <c r="AS68" s="185">
        <v>0</v>
      </c>
      <c r="AT68" s="185"/>
      <c r="AU68" s="185"/>
      <c r="AV68" s="185">
        <v>0</v>
      </c>
      <c r="AW68" s="185">
        <v>13658.64</v>
      </c>
      <c r="AX68" s="185">
        <v>1832557.44</v>
      </c>
      <c r="AY68" s="185"/>
      <c r="AZ68" s="185">
        <v>14074.69</v>
      </c>
      <c r="BA68" s="185">
        <v>0</v>
      </c>
      <c r="BB68" s="185">
        <v>0</v>
      </c>
      <c r="BC68" s="185">
        <v>0</v>
      </c>
      <c r="BD68" s="185">
        <v>0</v>
      </c>
      <c r="BE68" s="185">
        <v>3840990.79</v>
      </c>
      <c r="BF68" s="185">
        <v>0</v>
      </c>
      <c r="BG68" s="185">
        <v>6732.91</v>
      </c>
      <c r="BH68" s="185">
        <v>0</v>
      </c>
      <c r="BI68" s="185">
        <v>1212765.31</v>
      </c>
      <c r="BJ68" s="185">
        <v>0</v>
      </c>
      <c r="BK68" s="185">
        <v>836.96</v>
      </c>
      <c r="BL68" s="185">
        <v>0</v>
      </c>
      <c r="BM68" s="185">
        <v>0</v>
      </c>
      <c r="BN68" s="185">
        <v>0</v>
      </c>
      <c r="BO68" s="185">
        <v>0</v>
      </c>
      <c r="BP68" s="185">
        <v>0</v>
      </c>
      <c r="BQ68" s="185">
        <v>0</v>
      </c>
      <c r="BR68" s="185">
        <v>300</v>
      </c>
      <c r="BS68" s="185">
        <v>0</v>
      </c>
      <c r="BT68" s="185">
        <v>0</v>
      </c>
      <c r="BU68" s="185">
        <v>0</v>
      </c>
      <c r="BV68" s="185">
        <v>88417.99</v>
      </c>
      <c r="BW68" s="185">
        <v>0</v>
      </c>
      <c r="BX68" s="185">
        <v>0</v>
      </c>
      <c r="BY68" s="185">
        <v>0</v>
      </c>
      <c r="BZ68" s="185">
        <v>0</v>
      </c>
      <c r="CA68" s="185">
        <v>0</v>
      </c>
      <c r="CB68" s="185">
        <v>219070.3</v>
      </c>
      <c r="CC68" s="185">
        <v>4145.18</v>
      </c>
      <c r="CD68" s="249" t="s">
        <v>221</v>
      </c>
      <c r="CE68" s="195">
        <f t="shared" si="0"/>
        <v>16779791.100000001</v>
      </c>
      <c r="CF68" s="252"/>
    </row>
    <row r="69" spans="1:84" ht="12.65" customHeight="1" x14ac:dyDescent="0.35">
      <c r="A69" s="171" t="s">
        <v>241</v>
      </c>
      <c r="B69" s="175"/>
      <c r="C69" s="184">
        <v>11059.329999999998</v>
      </c>
      <c r="D69" s="184">
        <v>11096.31</v>
      </c>
      <c r="E69" s="185">
        <v>15187.97</v>
      </c>
      <c r="F69" s="185">
        <v>39722.799999999996</v>
      </c>
      <c r="G69" s="184">
        <v>9418.84</v>
      </c>
      <c r="H69" s="184"/>
      <c r="I69" s="185">
        <v>0</v>
      </c>
      <c r="J69" s="185"/>
      <c r="K69" s="185"/>
      <c r="L69" s="185"/>
      <c r="M69" s="184">
        <f>33074.03+9863.23</f>
        <v>42937.259999999995</v>
      </c>
      <c r="N69" s="184">
        <v>207195.55</v>
      </c>
      <c r="O69" s="184">
        <v>10379.61</v>
      </c>
      <c r="P69" s="185">
        <v>16550.5</v>
      </c>
      <c r="Q69" s="185">
        <v>4923.83</v>
      </c>
      <c r="R69" s="224">
        <v>550</v>
      </c>
      <c r="S69" s="185">
        <v>5243.85</v>
      </c>
      <c r="T69" s="184">
        <v>0</v>
      </c>
      <c r="U69" s="185">
        <v>53386.45</v>
      </c>
      <c r="V69" s="185">
        <v>0</v>
      </c>
      <c r="W69" s="184">
        <v>2874.5</v>
      </c>
      <c r="X69" s="185">
        <v>5044.75</v>
      </c>
      <c r="Y69" s="185">
        <v>87132.779999999984</v>
      </c>
      <c r="Z69" s="185">
        <v>32426.89</v>
      </c>
      <c r="AA69" s="185">
        <v>9263</v>
      </c>
      <c r="AB69" s="185">
        <v>29028.620000000003</v>
      </c>
      <c r="AC69" s="185">
        <v>328.23</v>
      </c>
      <c r="AD69" s="185">
        <v>0</v>
      </c>
      <c r="AE69" s="185">
        <v>26049.399999999998</v>
      </c>
      <c r="AF69" s="185"/>
      <c r="AG69" s="185">
        <v>18702.949999999997</v>
      </c>
      <c r="AH69" s="185">
        <v>0</v>
      </c>
      <c r="AI69" s="185">
        <v>0</v>
      </c>
      <c r="AJ69" s="185">
        <v>1094384.1399999999</v>
      </c>
      <c r="AK69" s="185">
        <v>0</v>
      </c>
      <c r="AL69" s="185"/>
      <c r="AM69" s="185"/>
      <c r="AN69" s="185"/>
      <c r="AO69" s="184"/>
      <c r="AP69" s="185">
        <v>1053389.3000000003</v>
      </c>
      <c r="AQ69" s="184"/>
      <c r="AR69" s="184">
        <f>1281041.13+88769.05</f>
        <v>1369810.18</v>
      </c>
      <c r="AS69" s="184">
        <v>0</v>
      </c>
      <c r="AT69" s="184"/>
      <c r="AU69" s="185"/>
      <c r="AV69" s="185">
        <v>5404.29</v>
      </c>
      <c r="AW69" s="185">
        <v>76617.429999999993</v>
      </c>
      <c r="AX69" s="185">
        <v>1991.69</v>
      </c>
      <c r="AY69" s="185"/>
      <c r="AZ69" s="185">
        <v>19.75</v>
      </c>
      <c r="BA69" s="185">
        <v>0</v>
      </c>
      <c r="BB69" s="185">
        <v>0</v>
      </c>
      <c r="BC69" s="185">
        <v>0</v>
      </c>
      <c r="BD69" s="185">
        <v>258870.65000000002</v>
      </c>
      <c r="BE69" s="185">
        <v>193488.41</v>
      </c>
      <c r="BF69" s="185">
        <v>1646.76</v>
      </c>
      <c r="BG69" s="185">
        <v>0</v>
      </c>
      <c r="BH69" s="224">
        <v>35976.549999999996</v>
      </c>
      <c r="BI69" s="185">
        <v>26537.799999999996</v>
      </c>
      <c r="BJ69" s="185">
        <v>1265</v>
      </c>
      <c r="BK69" s="185">
        <v>1343.7</v>
      </c>
      <c r="BL69" s="185">
        <v>918.99</v>
      </c>
      <c r="BM69" s="185">
        <v>35474.550000000003</v>
      </c>
      <c r="BN69" s="185">
        <v>807447.07</v>
      </c>
      <c r="BO69" s="185">
        <v>1136.01</v>
      </c>
      <c r="BP69" s="185">
        <v>4672.58</v>
      </c>
      <c r="BQ69" s="185">
        <v>0</v>
      </c>
      <c r="BR69" s="185">
        <f>8411.88</f>
        <v>8411.8799999999992</v>
      </c>
      <c r="BS69" s="185">
        <v>3406.19</v>
      </c>
      <c r="BT69" s="185">
        <v>0</v>
      </c>
      <c r="BU69" s="185">
        <v>246032.7</v>
      </c>
      <c r="BV69" s="185">
        <v>3927.77</v>
      </c>
      <c r="BW69" s="185">
        <v>6945</v>
      </c>
      <c r="BX69" s="185">
        <v>18579.599999999999</v>
      </c>
      <c r="BY69" s="185">
        <v>21557</v>
      </c>
      <c r="BZ69" s="185">
        <v>515</v>
      </c>
      <c r="CA69" s="185">
        <v>350816.1</v>
      </c>
      <c r="CB69" s="185">
        <v>1902.7</v>
      </c>
      <c r="CC69" s="185">
        <f>5560239.86</f>
        <v>5560239.8600000003</v>
      </c>
      <c r="CD69" s="188">
        <f>1412203.4+1826980.98+5065790.4+54709.41+1510150.13</f>
        <v>9869834.3200000003</v>
      </c>
      <c r="CE69" s="195">
        <f t="shared" si="0"/>
        <v>21701066.390000001</v>
      </c>
      <c r="CF69" s="252"/>
    </row>
    <row r="70" spans="1:84" ht="12.65" customHeight="1" x14ac:dyDescent="0.35">
      <c r="A70" s="171" t="s">
        <v>242</v>
      </c>
      <c r="B70" s="175"/>
      <c r="C70" s="184">
        <v>44850.53</v>
      </c>
      <c r="D70" s="184">
        <v>0</v>
      </c>
      <c r="E70" s="184">
        <v>49.92</v>
      </c>
      <c r="F70" s="185">
        <v>0</v>
      </c>
      <c r="G70" s="184">
        <v>0</v>
      </c>
      <c r="H70" s="184"/>
      <c r="I70" s="184">
        <v>0</v>
      </c>
      <c r="J70" s="185"/>
      <c r="K70" s="185"/>
      <c r="L70" s="185"/>
      <c r="M70" s="184">
        <v>873391.55</v>
      </c>
      <c r="N70" s="184">
        <v>35373.14</v>
      </c>
      <c r="O70" s="184">
        <v>7706.01</v>
      </c>
      <c r="P70" s="184">
        <v>42.3</v>
      </c>
      <c r="Q70" s="184">
        <v>0</v>
      </c>
      <c r="R70" s="184">
        <v>0</v>
      </c>
      <c r="S70" s="184">
        <v>0</v>
      </c>
      <c r="T70" s="184">
        <v>0</v>
      </c>
      <c r="U70" s="185">
        <v>859617.06</v>
      </c>
      <c r="V70" s="184">
        <v>2855.47</v>
      </c>
      <c r="W70" s="184">
        <v>0</v>
      </c>
      <c r="X70" s="185">
        <v>0</v>
      </c>
      <c r="Y70" s="185">
        <v>62254.87</v>
      </c>
      <c r="Z70" s="185">
        <v>14086.02</v>
      </c>
      <c r="AA70" s="185">
        <v>0</v>
      </c>
      <c r="AB70" s="185">
        <v>2243.4699999999998</v>
      </c>
      <c r="AC70" s="185">
        <v>0</v>
      </c>
      <c r="AD70" s="185">
        <v>0</v>
      </c>
      <c r="AE70" s="185">
        <v>2685</v>
      </c>
      <c r="AF70" s="185"/>
      <c r="AG70" s="185">
        <v>459.15</v>
      </c>
      <c r="AH70" s="185">
        <v>0</v>
      </c>
      <c r="AI70" s="185">
        <v>0</v>
      </c>
      <c r="AJ70" s="185">
        <v>3266478.32</v>
      </c>
      <c r="AK70" s="185">
        <v>0</v>
      </c>
      <c r="AL70" s="185"/>
      <c r="AM70" s="185"/>
      <c r="AN70" s="185"/>
      <c r="AO70" s="185"/>
      <c r="AP70" s="185">
        <v>2990682.62</v>
      </c>
      <c r="AQ70" s="185"/>
      <c r="AR70" s="185">
        <v>303423.09000000003</v>
      </c>
      <c r="AS70" s="185">
        <v>0</v>
      </c>
      <c r="AT70" s="185"/>
      <c r="AU70" s="185"/>
      <c r="AV70" s="185">
        <v>8247510.29</v>
      </c>
      <c r="AW70" s="185">
        <v>4231695.1500000004</v>
      </c>
      <c r="AX70" s="185">
        <v>0</v>
      </c>
      <c r="AY70" s="185"/>
      <c r="AZ70" s="185">
        <v>1607808.92</v>
      </c>
      <c r="BA70" s="185">
        <v>0</v>
      </c>
      <c r="BB70" s="185">
        <v>0</v>
      </c>
      <c r="BC70" s="185">
        <v>0</v>
      </c>
      <c r="BD70" s="185">
        <v>0</v>
      </c>
      <c r="BE70" s="185">
        <v>6955847.5599999996</v>
      </c>
      <c r="BF70" s="185">
        <v>7052.28</v>
      </c>
      <c r="BG70" s="185">
        <v>256298.79</v>
      </c>
      <c r="BH70" s="185">
        <v>63819.4</v>
      </c>
      <c r="BI70" s="185">
        <v>4088789.61</v>
      </c>
      <c r="BJ70" s="185">
        <v>146174.70000000001</v>
      </c>
      <c r="BK70" s="185">
        <v>20020</v>
      </c>
      <c r="BL70" s="185">
        <v>502767.01</v>
      </c>
      <c r="BM70" s="185">
        <v>0</v>
      </c>
      <c r="BN70" s="185">
        <v>0</v>
      </c>
      <c r="BO70" s="185">
        <v>20</v>
      </c>
      <c r="BP70" s="185">
        <v>0</v>
      </c>
      <c r="BQ70" s="185">
        <v>0</v>
      </c>
      <c r="BR70" s="185">
        <v>94.21</v>
      </c>
      <c r="BS70" s="185">
        <v>423081.63</v>
      </c>
      <c r="BT70" s="185">
        <v>49.87</v>
      </c>
      <c r="BU70" s="185">
        <v>15000</v>
      </c>
      <c r="BV70" s="185">
        <v>2752.79</v>
      </c>
      <c r="BW70" s="185">
        <v>111799.36</v>
      </c>
      <c r="BX70" s="185">
        <v>1081441.53</v>
      </c>
      <c r="BY70" s="185">
        <v>657.5</v>
      </c>
      <c r="BZ70" s="185">
        <v>0</v>
      </c>
      <c r="CA70" s="185">
        <v>0</v>
      </c>
      <c r="CB70" s="185">
        <v>1302787.25</v>
      </c>
      <c r="CC70" s="185">
        <v>14736507.529999999</v>
      </c>
      <c r="CD70" s="188">
        <v>731326.19</v>
      </c>
      <c r="CE70" s="195">
        <f t="shared" si="0"/>
        <v>52999500.090000004</v>
      </c>
      <c r="CF70" s="252"/>
    </row>
    <row r="71" spans="1:84" ht="12.65" customHeight="1" x14ac:dyDescent="0.35">
      <c r="A71" s="171" t="s">
        <v>243</v>
      </c>
      <c r="B71" s="175"/>
      <c r="C71" s="195">
        <f>SUM(C61:C68)+C69-C70</f>
        <v>23799689.959999993</v>
      </c>
      <c r="D71" s="195">
        <f t="shared" ref="D71:AI71" si="5">SUM(D61:D69)-D70</f>
        <v>11995408.549999999</v>
      </c>
      <c r="E71" s="195">
        <f t="shared" si="5"/>
        <v>41762422.419999979</v>
      </c>
      <c r="F71" s="195">
        <f t="shared" si="5"/>
        <v>1412464.8700000003</v>
      </c>
      <c r="G71" s="195">
        <f t="shared" si="5"/>
        <v>2750175.3599999994</v>
      </c>
      <c r="H71" s="195">
        <f t="shared" si="5"/>
        <v>0</v>
      </c>
      <c r="I71" s="195">
        <f t="shared" si="5"/>
        <v>0</v>
      </c>
      <c r="J71" s="195">
        <f t="shared" si="5"/>
        <v>0</v>
      </c>
      <c r="K71" s="195">
        <f t="shared" si="5"/>
        <v>0</v>
      </c>
      <c r="L71" s="195">
        <f t="shared" si="5"/>
        <v>0</v>
      </c>
      <c r="M71" s="195">
        <f t="shared" si="5"/>
        <v>6123052.6299999999</v>
      </c>
      <c r="N71" s="195">
        <f t="shared" si="5"/>
        <v>20356249.569999993</v>
      </c>
      <c r="O71" s="195">
        <f t="shared" si="5"/>
        <v>29547383.460000001</v>
      </c>
      <c r="P71" s="195">
        <f t="shared" si="5"/>
        <v>56825268.649999999</v>
      </c>
      <c r="Q71" s="195">
        <f t="shared" si="5"/>
        <v>8410713.4199999999</v>
      </c>
      <c r="R71" s="195">
        <f t="shared" si="5"/>
        <v>1352621.2000000002</v>
      </c>
      <c r="S71" s="195">
        <f t="shared" si="5"/>
        <v>2895057.5500000003</v>
      </c>
      <c r="T71" s="195">
        <f t="shared" si="5"/>
        <v>0</v>
      </c>
      <c r="U71" s="195">
        <f t="shared" si="5"/>
        <v>21083474.649999999</v>
      </c>
      <c r="V71" s="195">
        <f t="shared" si="5"/>
        <v>243226.63</v>
      </c>
      <c r="W71" s="195">
        <f t="shared" si="5"/>
        <v>1458195.6599999997</v>
      </c>
      <c r="X71" s="195">
        <f t="shared" si="5"/>
        <v>2800255.38</v>
      </c>
      <c r="Y71" s="195">
        <f t="shared" si="5"/>
        <v>35213275.070000008</v>
      </c>
      <c r="Z71" s="195">
        <f t="shared" si="5"/>
        <v>7987001.5799999991</v>
      </c>
      <c r="AA71" s="195">
        <f t="shared" si="5"/>
        <v>1027008.3300000002</v>
      </c>
      <c r="AB71" s="195">
        <f t="shared" si="5"/>
        <v>25508689.520000011</v>
      </c>
      <c r="AC71" s="195">
        <f t="shared" si="5"/>
        <v>3632417.81</v>
      </c>
      <c r="AD71" s="195">
        <f t="shared" si="5"/>
        <v>0</v>
      </c>
      <c r="AE71" s="195">
        <f t="shared" si="5"/>
        <v>7393320.6500000013</v>
      </c>
      <c r="AF71" s="195">
        <f t="shared" si="5"/>
        <v>0</v>
      </c>
      <c r="AG71" s="195">
        <f t="shared" si="5"/>
        <v>18671980.219999999</v>
      </c>
      <c r="AH71" s="195">
        <f t="shared" si="5"/>
        <v>0</v>
      </c>
      <c r="AI71" s="195">
        <f t="shared" si="5"/>
        <v>0</v>
      </c>
      <c r="AJ71" s="195">
        <f t="shared" ref="AJ71:BO71" si="6">SUM(AJ61:AJ69)-AJ70</f>
        <v>100109262.19000001</v>
      </c>
      <c r="AK71" s="195">
        <f t="shared" si="6"/>
        <v>0</v>
      </c>
      <c r="AL71" s="195">
        <f t="shared" si="6"/>
        <v>0</v>
      </c>
      <c r="AM71" s="195">
        <f t="shared" si="6"/>
        <v>0</v>
      </c>
      <c r="AN71" s="195">
        <f t="shared" si="6"/>
        <v>0</v>
      </c>
      <c r="AO71" s="195">
        <f t="shared" si="6"/>
        <v>0</v>
      </c>
      <c r="AP71" s="195">
        <f t="shared" si="6"/>
        <v>79820872.239999995</v>
      </c>
      <c r="AQ71" s="195">
        <f t="shared" si="6"/>
        <v>0</v>
      </c>
      <c r="AR71" s="195">
        <f t="shared" si="6"/>
        <v>71372341.429999992</v>
      </c>
      <c r="AS71" s="195">
        <f t="shared" si="6"/>
        <v>0</v>
      </c>
      <c r="AT71" s="195">
        <f t="shared" si="6"/>
        <v>0</v>
      </c>
      <c r="AU71" s="195">
        <f t="shared" si="6"/>
        <v>0</v>
      </c>
      <c r="AV71" s="195">
        <f t="shared" si="6"/>
        <v>4339394.4700000016</v>
      </c>
      <c r="AW71" s="195">
        <f t="shared" si="6"/>
        <v>-1592350.4900000002</v>
      </c>
      <c r="AX71" s="195">
        <f t="shared" si="6"/>
        <v>4731566.4300000006</v>
      </c>
      <c r="AY71" s="195">
        <f t="shared" si="6"/>
        <v>0</v>
      </c>
      <c r="AZ71" s="195">
        <f t="shared" si="6"/>
        <v>4125014.4799999995</v>
      </c>
      <c r="BA71" s="195">
        <f t="shared" si="6"/>
        <v>1241680.3500000001</v>
      </c>
      <c r="BB71" s="195">
        <f t="shared" si="6"/>
        <v>376507.22</v>
      </c>
      <c r="BC71" s="195">
        <f t="shared" si="6"/>
        <v>490955.84</v>
      </c>
      <c r="BD71" s="195">
        <f t="shared" si="6"/>
        <v>9480990.5800000001</v>
      </c>
      <c r="BE71" s="195">
        <f t="shared" si="6"/>
        <v>9730138.7699999996</v>
      </c>
      <c r="BF71" s="195">
        <f t="shared" si="6"/>
        <v>6375912.0799999991</v>
      </c>
      <c r="BG71" s="195">
        <f t="shared" si="6"/>
        <v>2696893.66</v>
      </c>
      <c r="BH71" s="195">
        <f t="shared" si="6"/>
        <v>39890939.25</v>
      </c>
      <c r="BI71" s="195">
        <f t="shared" si="6"/>
        <v>6604985.7800000012</v>
      </c>
      <c r="BJ71" s="195">
        <f t="shared" si="6"/>
        <v>2356091.35</v>
      </c>
      <c r="BK71" s="195">
        <f t="shared" si="6"/>
        <v>10305075.460000001</v>
      </c>
      <c r="BL71" s="195">
        <f t="shared" si="6"/>
        <v>5925287.3799999999</v>
      </c>
      <c r="BM71" s="195">
        <f t="shared" si="6"/>
        <v>5345751.5200000005</v>
      </c>
      <c r="BN71" s="195">
        <f t="shared" si="6"/>
        <v>12954862.439999999</v>
      </c>
      <c r="BO71" s="195">
        <f t="shared" si="6"/>
        <v>1579781.26</v>
      </c>
      <c r="BP71" s="195">
        <f t="shared" ref="BP71:CC71" si="7">SUM(BP61:BP69)-BP70</f>
        <v>7161145.7800000003</v>
      </c>
      <c r="BQ71" s="195">
        <f t="shared" si="7"/>
        <v>678573.21</v>
      </c>
      <c r="BR71" s="195">
        <f t="shared" si="7"/>
        <v>12626886.880000001</v>
      </c>
      <c r="BS71" s="195">
        <f t="shared" si="7"/>
        <v>202765.82999999996</v>
      </c>
      <c r="BT71" s="195">
        <f t="shared" si="7"/>
        <v>195343.11000000004</v>
      </c>
      <c r="BU71" s="195">
        <f t="shared" si="7"/>
        <v>231032.7</v>
      </c>
      <c r="BV71" s="195">
        <f t="shared" si="7"/>
        <v>6502105.3199999994</v>
      </c>
      <c r="BW71" s="195">
        <f t="shared" si="7"/>
        <v>3662539.5999999996</v>
      </c>
      <c r="BX71" s="195">
        <f t="shared" si="7"/>
        <v>7372396.1600000011</v>
      </c>
      <c r="BY71" s="195">
        <f t="shared" si="7"/>
        <v>2070945.9000000001</v>
      </c>
      <c r="BZ71" s="195">
        <f t="shared" si="7"/>
        <v>4963605.21</v>
      </c>
      <c r="CA71" s="195">
        <f t="shared" si="7"/>
        <v>2915201.06</v>
      </c>
      <c r="CB71" s="195">
        <f t="shared" si="7"/>
        <v>6559272.1799999997</v>
      </c>
      <c r="CC71" s="195">
        <f t="shared" si="7"/>
        <v>6284358.8300000001</v>
      </c>
      <c r="CD71" s="245">
        <f>CD69-CD70</f>
        <v>9138508.1300000008</v>
      </c>
      <c r="CE71" s="195">
        <f>SUM(CE61:CE69)-CE70</f>
        <v>781075986.72999966</v>
      </c>
      <c r="CF71" s="252"/>
    </row>
    <row r="72" spans="1:84" ht="12.65" customHeight="1" x14ac:dyDescent="0.35">
      <c r="A72" s="171" t="s">
        <v>244</v>
      </c>
      <c r="B72" s="175"/>
      <c r="C72" s="249" t="s">
        <v>221</v>
      </c>
      <c r="D72" s="249" t="s">
        <v>221</v>
      </c>
      <c r="E72" s="249" t="s">
        <v>221</v>
      </c>
      <c r="F72" s="249" t="s">
        <v>221</v>
      </c>
      <c r="G72" s="249" t="s">
        <v>221</v>
      </c>
      <c r="H72" s="249" t="s">
        <v>221</v>
      </c>
      <c r="I72" s="249" t="s">
        <v>221</v>
      </c>
      <c r="J72" s="249" t="s">
        <v>221</v>
      </c>
      <c r="K72" s="253" t="s">
        <v>221</v>
      </c>
      <c r="L72" s="249" t="s">
        <v>221</v>
      </c>
      <c r="M72" s="249" t="s">
        <v>221</v>
      </c>
      <c r="N72" s="249" t="s">
        <v>221</v>
      </c>
      <c r="O72" s="249" t="s">
        <v>221</v>
      </c>
      <c r="P72" s="249" t="s">
        <v>221</v>
      </c>
      <c r="Q72" s="249" t="s">
        <v>221</v>
      </c>
      <c r="R72" s="249" t="s">
        <v>221</v>
      </c>
      <c r="S72" s="249" t="s">
        <v>221</v>
      </c>
      <c r="T72" s="249" t="s">
        <v>221</v>
      </c>
      <c r="U72" s="249" t="s">
        <v>221</v>
      </c>
      <c r="V72" s="249" t="s">
        <v>221</v>
      </c>
      <c r="W72" s="249" t="s">
        <v>221</v>
      </c>
      <c r="X72" s="249" t="s">
        <v>221</v>
      </c>
      <c r="Y72" s="249" t="s">
        <v>221</v>
      </c>
      <c r="Z72" s="249" t="s">
        <v>221</v>
      </c>
      <c r="AA72" s="249" t="s">
        <v>221</v>
      </c>
      <c r="AB72" s="249" t="s">
        <v>221</v>
      </c>
      <c r="AC72" s="249" t="s">
        <v>221</v>
      </c>
      <c r="AD72" s="249" t="s">
        <v>221</v>
      </c>
      <c r="AE72" s="249" t="s">
        <v>221</v>
      </c>
      <c r="AF72" s="249" t="s">
        <v>221</v>
      </c>
      <c r="AG72" s="249" t="s">
        <v>221</v>
      </c>
      <c r="AH72" s="249" t="s">
        <v>221</v>
      </c>
      <c r="AI72" s="249" t="s">
        <v>221</v>
      </c>
      <c r="AJ72" s="249" t="s">
        <v>221</v>
      </c>
      <c r="AK72" s="249" t="s">
        <v>221</v>
      </c>
      <c r="AL72" s="249" t="s">
        <v>221</v>
      </c>
      <c r="AM72" s="249" t="s">
        <v>221</v>
      </c>
      <c r="AN72" s="249" t="s">
        <v>221</v>
      </c>
      <c r="AO72" s="249" t="s">
        <v>221</v>
      </c>
      <c r="AP72" s="249" t="s">
        <v>221</v>
      </c>
      <c r="AQ72" s="249" t="s">
        <v>221</v>
      </c>
      <c r="AR72" s="249" t="s">
        <v>221</v>
      </c>
      <c r="AS72" s="249" t="s">
        <v>221</v>
      </c>
      <c r="AT72" s="249" t="s">
        <v>221</v>
      </c>
      <c r="AU72" s="249" t="s">
        <v>221</v>
      </c>
      <c r="AV72" s="249" t="s">
        <v>221</v>
      </c>
      <c r="AW72" s="249" t="s">
        <v>221</v>
      </c>
      <c r="AX72" s="249" t="s">
        <v>221</v>
      </c>
      <c r="AY72" s="249" t="s">
        <v>221</v>
      </c>
      <c r="AZ72" s="249" t="s">
        <v>221</v>
      </c>
      <c r="BA72" s="249" t="s">
        <v>221</v>
      </c>
      <c r="BB72" s="249" t="s">
        <v>221</v>
      </c>
      <c r="BC72" s="249" t="s">
        <v>221</v>
      </c>
      <c r="BD72" s="249" t="s">
        <v>221</v>
      </c>
      <c r="BE72" s="249" t="s">
        <v>221</v>
      </c>
      <c r="BF72" s="249" t="s">
        <v>221</v>
      </c>
      <c r="BG72" s="249" t="s">
        <v>221</v>
      </c>
      <c r="BH72" s="249" t="s">
        <v>221</v>
      </c>
      <c r="BI72" s="249" t="s">
        <v>221</v>
      </c>
      <c r="BJ72" s="249" t="s">
        <v>221</v>
      </c>
      <c r="BK72" s="249" t="s">
        <v>221</v>
      </c>
      <c r="BL72" s="249" t="s">
        <v>221</v>
      </c>
      <c r="BM72" s="249" t="s">
        <v>221</v>
      </c>
      <c r="BN72" s="249" t="s">
        <v>221</v>
      </c>
      <c r="BO72" s="249" t="s">
        <v>221</v>
      </c>
      <c r="BP72" s="249" t="s">
        <v>221</v>
      </c>
      <c r="BQ72" s="249" t="s">
        <v>221</v>
      </c>
      <c r="BR72" s="249" t="s">
        <v>221</v>
      </c>
      <c r="BS72" s="249" t="s">
        <v>221</v>
      </c>
      <c r="BT72" s="249" t="s">
        <v>221</v>
      </c>
      <c r="BU72" s="249" t="s">
        <v>221</v>
      </c>
      <c r="BV72" s="249" t="s">
        <v>221</v>
      </c>
      <c r="BW72" s="249" t="s">
        <v>221</v>
      </c>
      <c r="BX72" s="249" t="s">
        <v>221</v>
      </c>
      <c r="BY72" s="249" t="s">
        <v>221</v>
      </c>
      <c r="BZ72" s="249" t="s">
        <v>221</v>
      </c>
      <c r="CA72" s="249" t="s">
        <v>221</v>
      </c>
      <c r="CB72" s="249" t="s">
        <v>221</v>
      </c>
      <c r="CC72" s="249" t="s">
        <v>221</v>
      </c>
      <c r="CD72" s="249" t="s">
        <v>221</v>
      </c>
      <c r="CE72" s="188"/>
      <c r="CF72" s="252"/>
    </row>
    <row r="73" spans="1:84" ht="12.65" customHeight="1" x14ac:dyDescent="0.35">
      <c r="A73" s="171" t="s">
        <v>245</v>
      </c>
      <c r="B73" s="175"/>
      <c r="C73" s="184">
        <v>81926691.040000007</v>
      </c>
      <c r="D73" s="184">
        <v>48349974.57</v>
      </c>
      <c r="E73" s="185">
        <v>138453400.66999999</v>
      </c>
      <c r="F73" s="185">
        <v>0</v>
      </c>
      <c r="G73" s="184">
        <v>13841087.310000001</v>
      </c>
      <c r="H73" s="184">
        <v>0</v>
      </c>
      <c r="I73" s="185">
        <v>0</v>
      </c>
      <c r="J73" s="185">
        <v>0</v>
      </c>
      <c r="K73" s="185">
        <v>0</v>
      </c>
      <c r="L73" s="185">
        <v>0</v>
      </c>
      <c r="M73" s="184">
        <f>5759915.97-10538.64</f>
        <v>5749377.3300000001</v>
      </c>
      <c r="N73" s="184">
        <v>19220243</v>
      </c>
      <c r="O73" s="184">
        <v>105901189.18000001</v>
      </c>
      <c r="P73" s="185">
        <v>77853637</v>
      </c>
      <c r="Q73" s="185">
        <v>5734359</v>
      </c>
      <c r="R73" s="185">
        <v>11149640</v>
      </c>
      <c r="S73" s="185">
        <v>0</v>
      </c>
      <c r="T73" s="185">
        <v>0</v>
      </c>
      <c r="U73" s="185">
        <v>72389141</v>
      </c>
      <c r="V73" s="185">
        <v>2127999</v>
      </c>
      <c r="W73" s="185">
        <v>5811312</v>
      </c>
      <c r="X73" s="185">
        <v>23971883</v>
      </c>
      <c r="Y73" s="185">
        <v>44220207</v>
      </c>
      <c r="Z73" s="185">
        <v>780043</v>
      </c>
      <c r="AA73" s="185">
        <v>1067322</v>
      </c>
      <c r="AB73" s="185">
        <v>79485575.290000007</v>
      </c>
      <c r="AC73" s="185">
        <v>21682835</v>
      </c>
      <c r="AD73" s="185">
        <v>0</v>
      </c>
      <c r="AE73" s="185">
        <v>13659570</v>
      </c>
      <c r="AF73" s="185">
        <v>0</v>
      </c>
      <c r="AG73" s="185">
        <v>38241925.390000001</v>
      </c>
      <c r="AH73" s="185">
        <v>0</v>
      </c>
      <c r="AI73" s="185">
        <v>0</v>
      </c>
      <c r="AJ73" s="185">
        <v>28153211.449999999</v>
      </c>
      <c r="AK73" s="185">
        <v>0</v>
      </c>
      <c r="AL73" s="185">
        <v>0</v>
      </c>
      <c r="AM73" s="185"/>
      <c r="AN73" s="185"/>
      <c r="AO73" s="185"/>
      <c r="AP73" s="185">
        <v>4201995.5</v>
      </c>
      <c r="AQ73" s="185"/>
      <c r="AR73" s="185"/>
      <c r="AS73" s="185"/>
      <c r="AT73" s="185"/>
      <c r="AU73" s="185"/>
      <c r="AV73" s="185">
        <f>2902372+620326.24</f>
        <v>3522698.24</v>
      </c>
      <c r="AW73" s="249" t="s">
        <v>221</v>
      </c>
      <c r="AX73" s="249" t="s">
        <v>221</v>
      </c>
      <c r="AY73" s="249" t="s">
        <v>221</v>
      </c>
      <c r="AZ73" s="249" t="s">
        <v>221</v>
      </c>
      <c r="BA73" s="249" t="s">
        <v>221</v>
      </c>
      <c r="BB73" s="249" t="s">
        <v>221</v>
      </c>
      <c r="BC73" s="249" t="s">
        <v>221</v>
      </c>
      <c r="BD73" s="249" t="s">
        <v>221</v>
      </c>
      <c r="BE73" s="249" t="s">
        <v>221</v>
      </c>
      <c r="BF73" s="249" t="s">
        <v>221</v>
      </c>
      <c r="BG73" s="249" t="s">
        <v>221</v>
      </c>
      <c r="BH73" s="249" t="s">
        <v>221</v>
      </c>
      <c r="BI73" s="249" t="s">
        <v>221</v>
      </c>
      <c r="BJ73" s="249" t="s">
        <v>221</v>
      </c>
      <c r="BK73" s="249" t="s">
        <v>221</v>
      </c>
      <c r="BL73" s="249" t="s">
        <v>221</v>
      </c>
      <c r="BM73" s="249" t="s">
        <v>221</v>
      </c>
      <c r="BN73" s="249" t="s">
        <v>221</v>
      </c>
      <c r="BO73" s="249" t="s">
        <v>221</v>
      </c>
      <c r="BP73" s="249" t="s">
        <v>221</v>
      </c>
      <c r="BQ73" s="249" t="s">
        <v>221</v>
      </c>
      <c r="BR73" s="249" t="s">
        <v>221</v>
      </c>
      <c r="BS73" s="249" t="s">
        <v>221</v>
      </c>
      <c r="BT73" s="249" t="s">
        <v>221</v>
      </c>
      <c r="BU73" s="249" t="s">
        <v>221</v>
      </c>
      <c r="BV73" s="249" t="s">
        <v>221</v>
      </c>
      <c r="BW73" s="249" t="s">
        <v>221</v>
      </c>
      <c r="BX73" s="249" t="s">
        <v>221</v>
      </c>
      <c r="BY73" s="249" t="s">
        <v>221</v>
      </c>
      <c r="BZ73" s="249" t="s">
        <v>221</v>
      </c>
      <c r="CA73" s="249" t="s">
        <v>221</v>
      </c>
      <c r="CB73" s="249" t="s">
        <v>221</v>
      </c>
      <c r="CC73" s="249" t="s">
        <v>221</v>
      </c>
      <c r="CD73" s="249" t="s">
        <v>221</v>
      </c>
      <c r="CE73" s="195">
        <f t="shared" ref="CE73:CE80" si="8">SUM(C73:CD73)</f>
        <v>847495316.96999991</v>
      </c>
      <c r="CF73" s="252"/>
    </row>
    <row r="74" spans="1:84" ht="12.65" customHeight="1" x14ac:dyDescent="0.35">
      <c r="A74" s="171" t="s">
        <v>246</v>
      </c>
      <c r="B74" s="175"/>
      <c r="C74" s="184">
        <v>-70353</v>
      </c>
      <c r="D74" s="184">
        <v>535373</v>
      </c>
      <c r="E74" s="185">
        <v>6620204.9100000001</v>
      </c>
      <c r="F74" s="185">
        <v>0</v>
      </c>
      <c r="G74" s="184">
        <v>-4108</v>
      </c>
      <c r="H74" s="184">
        <v>0</v>
      </c>
      <c r="I74" s="184">
        <v>0</v>
      </c>
      <c r="J74" s="185">
        <v>0</v>
      </c>
      <c r="K74" s="185">
        <v>0</v>
      </c>
      <c r="L74" s="185">
        <v>0</v>
      </c>
      <c r="M74" s="184">
        <v>222317</v>
      </c>
      <c r="N74" s="184">
        <v>1760059.01</v>
      </c>
      <c r="O74" s="184">
        <v>4835476</v>
      </c>
      <c r="P74" s="185">
        <v>201857071</v>
      </c>
      <c r="Q74" s="185">
        <v>21037370</v>
      </c>
      <c r="R74" s="185">
        <v>32146512</v>
      </c>
      <c r="S74" s="185">
        <v>0</v>
      </c>
      <c r="T74" s="185">
        <v>0</v>
      </c>
      <c r="U74" s="185">
        <v>70816412.75</v>
      </c>
      <c r="V74" s="185">
        <v>747397</v>
      </c>
      <c r="W74" s="185">
        <v>10318080</v>
      </c>
      <c r="X74" s="185">
        <v>49573661</v>
      </c>
      <c r="Y74" s="185">
        <v>143108373.94999999</v>
      </c>
      <c r="Z74" s="185">
        <v>38746178</v>
      </c>
      <c r="AA74" s="185">
        <v>3906615</v>
      </c>
      <c r="AB74" s="185">
        <v>65857035.630000003</v>
      </c>
      <c r="AC74" s="185">
        <v>716225</v>
      </c>
      <c r="AD74" s="185">
        <v>0</v>
      </c>
      <c r="AE74" s="185">
        <v>20523283.129999999</v>
      </c>
      <c r="AF74" s="185">
        <v>0</v>
      </c>
      <c r="AG74" s="185">
        <v>131145287.45</v>
      </c>
      <c r="AH74" s="185">
        <v>0</v>
      </c>
      <c r="AI74" s="185">
        <v>0</v>
      </c>
      <c r="AJ74" s="185">
        <v>171234296.55000001</v>
      </c>
      <c r="AK74" s="185"/>
      <c r="AL74" s="185"/>
      <c r="AM74" s="185"/>
      <c r="AN74" s="185"/>
      <c r="AO74" s="185"/>
      <c r="AP74" s="185">
        <v>129829512.22999999</v>
      </c>
      <c r="AQ74" s="185">
        <v>0</v>
      </c>
      <c r="AR74" s="185">
        <v>137334541.94999999</v>
      </c>
      <c r="AS74" s="185">
        <v>0</v>
      </c>
      <c r="AT74" s="185">
        <v>0</v>
      </c>
      <c r="AU74" s="185">
        <v>0</v>
      </c>
      <c r="AV74" s="185">
        <f>9507353.39+512280.23+698104.43</f>
        <v>10717738.050000001</v>
      </c>
      <c r="AW74" s="249" t="s">
        <v>221</v>
      </c>
      <c r="AX74" s="249" t="s">
        <v>221</v>
      </c>
      <c r="AY74" s="249" t="s">
        <v>221</v>
      </c>
      <c r="AZ74" s="249" t="s">
        <v>221</v>
      </c>
      <c r="BA74" s="249" t="s">
        <v>221</v>
      </c>
      <c r="BB74" s="249" t="s">
        <v>221</v>
      </c>
      <c r="BC74" s="249" t="s">
        <v>221</v>
      </c>
      <c r="BD74" s="249" t="s">
        <v>221</v>
      </c>
      <c r="BE74" s="249" t="s">
        <v>221</v>
      </c>
      <c r="BF74" s="249" t="s">
        <v>221</v>
      </c>
      <c r="BG74" s="249" t="s">
        <v>221</v>
      </c>
      <c r="BH74" s="249" t="s">
        <v>221</v>
      </c>
      <c r="BI74" s="249" t="s">
        <v>221</v>
      </c>
      <c r="BJ74" s="249" t="s">
        <v>221</v>
      </c>
      <c r="BK74" s="249" t="s">
        <v>221</v>
      </c>
      <c r="BL74" s="249" t="s">
        <v>221</v>
      </c>
      <c r="BM74" s="249" t="s">
        <v>221</v>
      </c>
      <c r="BN74" s="249" t="s">
        <v>221</v>
      </c>
      <c r="BO74" s="249" t="s">
        <v>221</v>
      </c>
      <c r="BP74" s="249" t="s">
        <v>221</v>
      </c>
      <c r="BQ74" s="249" t="s">
        <v>221</v>
      </c>
      <c r="BR74" s="249" t="s">
        <v>221</v>
      </c>
      <c r="BS74" s="249" t="s">
        <v>221</v>
      </c>
      <c r="BT74" s="249" t="s">
        <v>221</v>
      </c>
      <c r="BU74" s="249" t="s">
        <v>221</v>
      </c>
      <c r="BV74" s="249" t="s">
        <v>221</v>
      </c>
      <c r="BW74" s="249" t="s">
        <v>221</v>
      </c>
      <c r="BX74" s="249" t="s">
        <v>221</v>
      </c>
      <c r="BY74" s="249" t="s">
        <v>221</v>
      </c>
      <c r="BZ74" s="249" t="s">
        <v>221</v>
      </c>
      <c r="CA74" s="249" t="s">
        <v>221</v>
      </c>
      <c r="CB74" s="249" t="s">
        <v>221</v>
      </c>
      <c r="CC74" s="249" t="s">
        <v>221</v>
      </c>
      <c r="CD74" s="249" t="s">
        <v>221</v>
      </c>
      <c r="CE74" s="195">
        <f t="shared" si="8"/>
        <v>1253514559.6099999</v>
      </c>
      <c r="CF74" s="252"/>
    </row>
    <row r="75" spans="1:84" ht="12.65" customHeight="1" x14ac:dyDescent="0.35">
      <c r="A75" s="171" t="s">
        <v>247</v>
      </c>
      <c r="B75" s="175"/>
      <c r="C75" s="195">
        <f t="shared" ref="C75:AV75" si="9">SUM(C73:C74)</f>
        <v>81856338.040000007</v>
      </c>
      <c r="D75" s="195">
        <f t="shared" si="9"/>
        <v>48885347.57</v>
      </c>
      <c r="E75" s="195">
        <f t="shared" si="9"/>
        <v>145073605.57999998</v>
      </c>
      <c r="F75" s="195">
        <f t="shared" si="9"/>
        <v>0</v>
      </c>
      <c r="G75" s="195">
        <f t="shared" si="9"/>
        <v>13836979.310000001</v>
      </c>
      <c r="H75" s="195">
        <f t="shared" si="9"/>
        <v>0</v>
      </c>
      <c r="I75" s="195">
        <f t="shared" si="9"/>
        <v>0</v>
      </c>
      <c r="J75" s="195">
        <f t="shared" si="9"/>
        <v>0</v>
      </c>
      <c r="K75" s="195">
        <f t="shared" si="9"/>
        <v>0</v>
      </c>
      <c r="L75" s="195">
        <f t="shared" si="9"/>
        <v>0</v>
      </c>
      <c r="M75" s="195">
        <f t="shared" si="9"/>
        <v>5971694.3300000001</v>
      </c>
      <c r="N75" s="195">
        <f t="shared" si="9"/>
        <v>20980302.010000002</v>
      </c>
      <c r="O75" s="195">
        <f t="shared" si="9"/>
        <v>110736665.18000001</v>
      </c>
      <c r="P75" s="195">
        <f t="shared" si="9"/>
        <v>279710708</v>
      </c>
      <c r="Q75" s="195">
        <f t="shared" si="9"/>
        <v>26771729</v>
      </c>
      <c r="R75" s="195">
        <f t="shared" si="9"/>
        <v>43296152</v>
      </c>
      <c r="S75" s="195">
        <f t="shared" si="9"/>
        <v>0</v>
      </c>
      <c r="T75" s="195">
        <f t="shared" si="9"/>
        <v>0</v>
      </c>
      <c r="U75" s="195">
        <f t="shared" si="9"/>
        <v>143205553.75</v>
      </c>
      <c r="V75" s="195">
        <f t="shared" si="9"/>
        <v>2875396</v>
      </c>
      <c r="W75" s="195">
        <f t="shared" si="9"/>
        <v>16129392</v>
      </c>
      <c r="X75" s="195">
        <f t="shared" si="9"/>
        <v>73545544</v>
      </c>
      <c r="Y75" s="195">
        <f t="shared" si="9"/>
        <v>187328580.94999999</v>
      </c>
      <c r="Z75" s="195">
        <f t="shared" si="9"/>
        <v>39526221</v>
      </c>
      <c r="AA75" s="195">
        <f t="shared" si="9"/>
        <v>4973937</v>
      </c>
      <c r="AB75" s="195">
        <f t="shared" si="9"/>
        <v>145342610.92000002</v>
      </c>
      <c r="AC75" s="195">
        <f t="shared" si="9"/>
        <v>22399060</v>
      </c>
      <c r="AD75" s="195">
        <f t="shared" si="9"/>
        <v>0</v>
      </c>
      <c r="AE75" s="195">
        <f t="shared" si="9"/>
        <v>34182853.129999995</v>
      </c>
      <c r="AF75" s="195">
        <f t="shared" si="9"/>
        <v>0</v>
      </c>
      <c r="AG75" s="195">
        <f t="shared" si="9"/>
        <v>169387212.84</v>
      </c>
      <c r="AH75" s="195">
        <f t="shared" si="9"/>
        <v>0</v>
      </c>
      <c r="AI75" s="195">
        <f t="shared" si="9"/>
        <v>0</v>
      </c>
      <c r="AJ75" s="195">
        <f t="shared" si="9"/>
        <v>199387508</v>
      </c>
      <c r="AK75" s="195">
        <f t="shared" si="9"/>
        <v>0</v>
      </c>
      <c r="AL75" s="195">
        <f t="shared" si="9"/>
        <v>0</v>
      </c>
      <c r="AM75" s="195">
        <f t="shared" si="9"/>
        <v>0</v>
      </c>
      <c r="AN75" s="195">
        <f t="shared" si="9"/>
        <v>0</v>
      </c>
      <c r="AO75" s="195">
        <f t="shared" si="9"/>
        <v>0</v>
      </c>
      <c r="AP75" s="195">
        <f t="shared" si="9"/>
        <v>134031507.72999999</v>
      </c>
      <c r="AQ75" s="195">
        <f t="shared" si="9"/>
        <v>0</v>
      </c>
      <c r="AR75" s="195">
        <f t="shared" si="9"/>
        <v>137334541.94999999</v>
      </c>
      <c r="AS75" s="195">
        <f t="shared" si="9"/>
        <v>0</v>
      </c>
      <c r="AT75" s="195">
        <f t="shared" si="9"/>
        <v>0</v>
      </c>
      <c r="AU75" s="195">
        <f t="shared" si="9"/>
        <v>0</v>
      </c>
      <c r="AV75" s="195">
        <f t="shared" si="9"/>
        <v>14240436.290000001</v>
      </c>
      <c r="AW75" s="249" t="s">
        <v>221</v>
      </c>
      <c r="AX75" s="249" t="s">
        <v>221</v>
      </c>
      <c r="AY75" s="249" t="s">
        <v>221</v>
      </c>
      <c r="AZ75" s="249" t="s">
        <v>221</v>
      </c>
      <c r="BA75" s="249" t="s">
        <v>221</v>
      </c>
      <c r="BB75" s="249" t="s">
        <v>221</v>
      </c>
      <c r="BC75" s="249" t="s">
        <v>221</v>
      </c>
      <c r="BD75" s="249" t="s">
        <v>221</v>
      </c>
      <c r="BE75" s="249" t="s">
        <v>221</v>
      </c>
      <c r="BF75" s="249" t="s">
        <v>221</v>
      </c>
      <c r="BG75" s="249" t="s">
        <v>221</v>
      </c>
      <c r="BH75" s="249" t="s">
        <v>221</v>
      </c>
      <c r="BI75" s="249" t="s">
        <v>221</v>
      </c>
      <c r="BJ75" s="249" t="s">
        <v>221</v>
      </c>
      <c r="BK75" s="249" t="s">
        <v>221</v>
      </c>
      <c r="BL75" s="249" t="s">
        <v>221</v>
      </c>
      <c r="BM75" s="249" t="s">
        <v>221</v>
      </c>
      <c r="BN75" s="249" t="s">
        <v>221</v>
      </c>
      <c r="BO75" s="249" t="s">
        <v>221</v>
      </c>
      <c r="BP75" s="249" t="s">
        <v>221</v>
      </c>
      <c r="BQ75" s="249" t="s">
        <v>221</v>
      </c>
      <c r="BR75" s="249" t="s">
        <v>221</v>
      </c>
      <c r="BS75" s="249" t="s">
        <v>221</v>
      </c>
      <c r="BT75" s="249" t="s">
        <v>221</v>
      </c>
      <c r="BU75" s="249" t="s">
        <v>221</v>
      </c>
      <c r="BV75" s="249" t="s">
        <v>221</v>
      </c>
      <c r="BW75" s="249" t="s">
        <v>221</v>
      </c>
      <c r="BX75" s="249" t="s">
        <v>221</v>
      </c>
      <c r="BY75" s="249" t="s">
        <v>221</v>
      </c>
      <c r="BZ75" s="249" t="s">
        <v>221</v>
      </c>
      <c r="CA75" s="249" t="s">
        <v>221</v>
      </c>
      <c r="CB75" s="249" t="s">
        <v>221</v>
      </c>
      <c r="CC75" s="249" t="s">
        <v>221</v>
      </c>
      <c r="CD75" s="249" t="s">
        <v>221</v>
      </c>
      <c r="CE75" s="195">
        <f t="shared" si="8"/>
        <v>2101009876.5799999</v>
      </c>
      <c r="CF75" s="252"/>
    </row>
    <row r="76" spans="1:84" ht="12.65" customHeight="1" x14ac:dyDescent="0.35">
      <c r="A76" s="171" t="s">
        <v>248</v>
      </c>
      <c r="B76" s="175"/>
      <c r="C76" s="184">
        <v>31983</v>
      </c>
      <c r="D76" s="184">
        <v>24368</v>
      </c>
      <c r="E76" s="185">
        <v>112482</v>
      </c>
      <c r="F76" s="185"/>
      <c r="G76" s="184">
        <v>9095</v>
      </c>
      <c r="H76" s="184"/>
      <c r="I76" s="185"/>
      <c r="J76" s="185"/>
      <c r="K76" s="185"/>
      <c r="L76" s="185"/>
      <c r="M76" s="185">
        <v>20520</v>
      </c>
      <c r="N76" s="185">
        <v>5055</v>
      </c>
      <c r="O76" s="185">
        <v>54397</v>
      </c>
      <c r="P76" s="185">
        <v>71966</v>
      </c>
      <c r="Q76" s="185">
        <v>5119</v>
      </c>
      <c r="R76" s="185">
        <v>651</v>
      </c>
      <c r="S76" s="185">
        <v>10270</v>
      </c>
      <c r="T76" s="185"/>
      <c r="U76" s="185">
        <v>15470</v>
      </c>
      <c r="V76" s="185">
        <v>298</v>
      </c>
      <c r="W76" s="185">
        <v>3104</v>
      </c>
      <c r="X76" s="185">
        <v>3166</v>
      </c>
      <c r="Y76" s="185">
        <v>50628</v>
      </c>
      <c r="Z76" s="185">
        <v>16493</v>
      </c>
      <c r="AA76" s="185">
        <v>1139</v>
      </c>
      <c r="AB76" s="185">
        <v>7695</v>
      </c>
      <c r="AC76" s="185">
        <v>2635</v>
      </c>
      <c r="AD76" s="185"/>
      <c r="AE76" s="185">
        <v>17259</v>
      </c>
      <c r="AF76" s="185"/>
      <c r="AG76" s="185">
        <v>55060</v>
      </c>
      <c r="AH76" s="185"/>
      <c r="AI76" s="185"/>
      <c r="AJ76" s="185">
        <v>144637</v>
      </c>
      <c r="AK76" s="185"/>
      <c r="AL76" s="185"/>
      <c r="AM76" s="185"/>
      <c r="AN76" s="185"/>
      <c r="AO76" s="185"/>
      <c r="AP76" s="185">
        <v>45968</v>
      </c>
      <c r="AQ76" s="185"/>
      <c r="AR76" s="185"/>
      <c r="AS76" s="185"/>
      <c r="AT76" s="185"/>
      <c r="AU76" s="185"/>
      <c r="AV76" s="185">
        <v>13135</v>
      </c>
      <c r="AW76" s="185">
        <v>3911</v>
      </c>
      <c r="AX76" s="185"/>
      <c r="AY76" s="185"/>
      <c r="AZ76" s="185">
        <v>23579</v>
      </c>
      <c r="BA76" s="185">
        <v>3589</v>
      </c>
      <c r="BB76" s="185"/>
      <c r="BC76" s="185"/>
      <c r="BD76" s="185">
        <v>9077</v>
      </c>
      <c r="BE76" s="185">
        <v>679195</v>
      </c>
      <c r="BF76" s="185">
        <v>9629</v>
      </c>
      <c r="BG76" s="185">
        <v>5077</v>
      </c>
      <c r="BH76" s="185">
        <v>24834</v>
      </c>
      <c r="BI76" s="185">
        <v>26210</v>
      </c>
      <c r="BJ76" s="185">
        <v>4555</v>
      </c>
      <c r="BK76" s="185">
        <v>11014</v>
      </c>
      <c r="BL76" s="185">
        <v>5010</v>
      </c>
      <c r="BM76" s="185">
        <v>4678</v>
      </c>
      <c r="BN76" s="185">
        <v>14258</v>
      </c>
      <c r="BO76" s="185">
        <v>2082</v>
      </c>
      <c r="BP76" s="185">
        <v>1894</v>
      </c>
      <c r="BQ76" s="185">
        <v>1677</v>
      </c>
      <c r="BR76" s="185">
        <v>3400</v>
      </c>
      <c r="BS76" s="185">
        <v>5109</v>
      </c>
      <c r="BT76" s="185">
        <v>947</v>
      </c>
      <c r="BU76" s="185"/>
      <c r="BV76" s="185">
        <v>17194</v>
      </c>
      <c r="BW76" s="185">
        <v>3446</v>
      </c>
      <c r="BX76" s="185">
        <v>3549</v>
      </c>
      <c r="BY76" s="185">
        <v>1319</v>
      </c>
      <c r="BZ76" s="185"/>
      <c r="CA76" s="185">
        <v>5571</v>
      </c>
      <c r="CB76" s="185">
        <v>4031</v>
      </c>
      <c r="CC76" s="185">
        <v>7876</v>
      </c>
      <c r="CD76" s="249" t="s">
        <v>221</v>
      </c>
      <c r="CE76" s="195">
        <f t="shared" si="8"/>
        <v>1605304</v>
      </c>
      <c r="CF76" s="195">
        <f>BE59-CE76</f>
        <v>-926109</v>
      </c>
    </row>
    <row r="77" spans="1:84" ht="12.65" customHeight="1" x14ac:dyDescent="0.35">
      <c r="A77" s="171" t="s">
        <v>249</v>
      </c>
      <c r="B77" s="175"/>
      <c r="C77" s="184">
        <v>8432</v>
      </c>
      <c r="D77" s="184">
        <v>29212</v>
      </c>
      <c r="E77" s="184">
        <v>128071</v>
      </c>
      <c r="F77" s="184"/>
      <c r="G77" s="184">
        <v>9866</v>
      </c>
      <c r="H77" s="184"/>
      <c r="I77" s="184"/>
      <c r="J77" s="184"/>
      <c r="K77" s="184"/>
      <c r="L77" s="184"/>
      <c r="M77" s="184">
        <v>5542</v>
      </c>
      <c r="N77" s="184"/>
      <c r="O77" s="184">
        <v>27122</v>
      </c>
      <c r="P77" s="184"/>
      <c r="Q77" s="184"/>
      <c r="R77" s="184"/>
      <c r="S77" s="184"/>
      <c r="T77" s="184"/>
      <c r="U77" s="184"/>
      <c r="V77" s="184"/>
      <c r="W77" s="184"/>
      <c r="X77" s="184"/>
      <c r="Y77" s="184">
        <v>50</v>
      </c>
      <c r="Z77" s="184"/>
      <c r="AA77" s="184"/>
      <c r="AB77" s="184"/>
      <c r="AC77" s="184"/>
      <c r="AD77" s="184"/>
      <c r="AE77" s="184"/>
      <c r="AF77" s="184"/>
      <c r="AG77" s="184">
        <v>5081</v>
      </c>
      <c r="AH77" s="184"/>
      <c r="AI77" s="184"/>
      <c r="AJ77" s="184"/>
      <c r="AK77" s="184"/>
      <c r="AL77" s="184"/>
      <c r="AM77" s="184"/>
      <c r="AN77" s="184"/>
      <c r="AO77" s="184"/>
      <c r="AP77" s="184"/>
      <c r="AQ77" s="184"/>
      <c r="AR77" s="184"/>
      <c r="AS77" s="184"/>
      <c r="AT77" s="184"/>
      <c r="AU77" s="184"/>
      <c r="AV77" s="184"/>
      <c r="AW77" s="184"/>
      <c r="AX77" s="249" t="s">
        <v>221</v>
      </c>
      <c r="AY77" s="249" t="s">
        <v>221</v>
      </c>
      <c r="AZ77" s="184"/>
      <c r="BA77" s="184"/>
      <c r="BB77" s="184"/>
      <c r="BC77" s="184"/>
      <c r="BD77" s="249" t="s">
        <v>221</v>
      </c>
      <c r="BE77" s="249" t="s">
        <v>221</v>
      </c>
      <c r="BF77" s="184"/>
      <c r="BG77" s="249" t="s">
        <v>221</v>
      </c>
      <c r="BH77" s="184"/>
      <c r="BI77" s="184"/>
      <c r="BJ77" s="249" t="s">
        <v>221</v>
      </c>
      <c r="BK77" s="184"/>
      <c r="BL77" s="184"/>
      <c r="BM77" s="184"/>
      <c r="BN77" s="249" t="s">
        <v>221</v>
      </c>
      <c r="BO77" s="249" t="s">
        <v>221</v>
      </c>
      <c r="BP77" s="249" t="s">
        <v>221</v>
      </c>
      <c r="BQ77" s="249" t="s">
        <v>221</v>
      </c>
      <c r="BR77" s="184"/>
      <c r="BS77" s="184"/>
      <c r="BT77" s="184"/>
      <c r="BU77" s="184"/>
      <c r="BV77" s="184"/>
      <c r="BW77" s="184"/>
      <c r="BX77" s="184"/>
      <c r="BY77" s="184"/>
      <c r="BZ77" s="184"/>
      <c r="CA77" s="184"/>
      <c r="CB77" s="184"/>
      <c r="CC77" s="249" t="s">
        <v>221</v>
      </c>
      <c r="CD77" s="249" t="s">
        <v>221</v>
      </c>
      <c r="CE77" s="195">
        <f>SUM(C77:CD77)</f>
        <v>213376</v>
      </c>
      <c r="CF77" s="195">
        <f>AY59-CE77</f>
        <v>-213376</v>
      </c>
    </row>
    <row r="78" spans="1:84" ht="12.65" customHeight="1" x14ac:dyDescent="0.35">
      <c r="A78" s="171" t="s">
        <v>250</v>
      </c>
      <c r="B78" s="175"/>
      <c r="C78" s="184">
        <v>4073</v>
      </c>
      <c r="D78" s="184">
        <v>3103</v>
      </c>
      <c r="E78" s="184">
        <v>14323</v>
      </c>
      <c r="F78" s="184"/>
      <c r="G78" s="184">
        <v>1158</v>
      </c>
      <c r="H78" s="184"/>
      <c r="I78" s="184"/>
      <c r="J78" s="184"/>
      <c r="K78" s="184"/>
      <c r="L78" s="184"/>
      <c r="M78" s="184">
        <v>2613</v>
      </c>
      <c r="N78" s="184">
        <v>644</v>
      </c>
      <c r="O78" s="184">
        <v>6927</v>
      </c>
      <c r="P78" s="184">
        <v>9167</v>
      </c>
      <c r="Q78" s="184">
        <v>652</v>
      </c>
      <c r="R78" s="184">
        <v>83</v>
      </c>
      <c r="S78" s="184">
        <v>1308</v>
      </c>
      <c r="T78" s="184"/>
      <c r="U78" s="184">
        <v>1970</v>
      </c>
      <c r="V78" s="184">
        <v>38</v>
      </c>
      <c r="W78" s="184">
        <v>395</v>
      </c>
      <c r="X78" s="184">
        <v>403</v>
      </c>
      <c r="Y78" s="184">
        <v>6447</v>
      </c>
      <c r="Z78" s="184">
        <v>2100</v>
      </c>
      <c r="AA78" s="184">
        <v>145</v>
      </c>
      <c r="AB78" s="184">
        <v>980</v>
      </c>
      <c r="AC78" s="184">
        <v>336</v>
      </c>
      <c r="AD78" s="184"/>
      <c r="AE78" s="184">
        <v>2232</v>
      </c>
      <c r="AF78" s="184"/>
      <c r="AG78" s="184">
        <v>7011</v>
      </c>
      <c r="AH78" s="184"/>
      <c r="AI78" s="184"/>
      <c r="AJ78" s="184">
        <v>18418</v>
      </c>
      <c r="AK78" s="184"/>
      <c r="AL78" s="184"/>
      <c r="AM78" s="184"/>
      <c r="AN78" s="184"/>
      <c r="AO78" s="184"/>
      <c r="AP78" s="184">
        <v>5854</v>
      </c>
      <c r="AQ78" s="184"/>
      <c r="AR78" s="184"/>
      <c r="AS78" s="184"/>
      <c r="AT78" s="184"/>
      <c r="AU78" s="184"/>
      <c r="AV78" s="184">
        <v>1673</v>
      </c>
      <c r="AW78" s="184">
        <v>498</v>
      </c>
      <c r="AX78" s="249" t="s">
        <v>221</v>
      </c>
      <c r="AY78" s="249" t="s">
        <v>221</v>
      </c>
      <c r="AZ78" s="249" t="s">
        <v>221</v>
      </c>
      <c r="BA78" s="184">
        <v>457</v>
      </c>
      <c r="BB78" s="184"/>
      <c r="BC78" s="184"/>
      <c r="BD78" s="249" t="s">
        <v>221</v>
      </c>
      <c r="BE78" s="249" t="s">
        <v>221</v>
      </c>
      <c r="BF78" s="249" t="s">
        <v>221</v>
      </c>
      <c r="BG78" s="249" t="s">
        <v>221</v>
      </c>
      <c r="BH78" s="184">
        <v>3162</v>
      </c>
      <c r="BI78" s="184">
        <v>3338</v>
      </c>
      <c r="BJ78" s="249" t="s">
        <v>221</v>
      </c>
      <c r="BK78" s="184">
        <v>1402</v>
      </c>
      <c r="BL78" s="184">
        <v>638</v>
      </c>
      <c r="BM78" s="184">
        <v>596</v>
      </c>
      <c r="BN78" s="249" t="s">
        <v>221</v>
      </c>
      <c r="BO78" s="249" t="s">
        <v>221</v>
      </c>
      <c r="BP78" s="249" t="s">
        <v>221</v>
      </c>
      <c r="BQ78" s="249" t="s">
        <v>221</v>
      </c>
      <c r="BR78" s="249" t="s">
        <v>221</v>
      </c>
      <c r="BS78" s="184">
        <v>651</v>
      </c>
      <c r="BT78" s="184">
        <v>121</v>
      </c>
      <c r="BU78" s="184"/>
      <c r="BV78" s="184">
        <v>2190</v>
      </c>
      <c r="BW78" s="184">
        <v>439</v>
      </c>
      <c r="BX78" s="184">
        <v>452</v>
      </c>
      <c r="BY78" s="184">
        <v>168</v>
      </c>
      <c r="BZ78" s="184"/>
      <c r="CA78" s="184">
        <v>709</v>
      </c>
      <c r="CB78" s="184">
        <v>513</v>
      </c>
      <c r="CC78" s="249" t="s">
        <v>221</v>
      </c>
      <c r="CD78" s="249" t="s">
        <v>221</v>
      </c>
      <c r="CE78" s="195">
        <f t="shared" si="8"/>
        <v>107387</v>
      </c>
      <c r="CF78" s="195"/>
    </row>
    <row r="79" spans="1:84" ht="12.65" customHeight="1" x14ac:dyDescent="0.35">
      <c r="A79" s="171" t="s">
        <v>251</v>
      </c>
      <c r="B79" s="175"/>
      <c r="C79" s="225">
        <v>180193.28</v>
      </c>
      <c r="D79" s="225">
        <v>210015.85</v>
      </c>
      <c r="E79" s="184">
        <v>539544.76</v>
      </c>
      <c r="F79" s="184">
        <v>0</v>
      </c>
      <c r="G79" s="184">
        <v>31911.47</v>
      </c>
      <c r="H79" s="184"/>
      <c r="I79" s="184">
        <v>0</v>
      </c>
      <c r="J79" s="184"/>
      <c r="K79" s="184"/>
      <c r="L79" s="184"/>
      <c r="M79" s="184">
        <v>27725.599999999999</v>
      </c>
      <c r="N79" s="184"/>
      <c r="O79" s="184">
        <v>368240.08</v>
      </c>
      <c r="P79" s="184">
        <v>192441.32</v>
      </c>
      <c r="Q79" s="184">
        <v>0</v>
      </c>
      <c r="R79" s="184">
        <v>0</v>
      </c>
      <c r="S79" s="184">
        <v>17748.63</v>
      </c>
      <c r="T79" s="184">
        <v>0</v>
      </c>
      <c r="U79" s="184">
        <v>1925.25</v>
      </c>
      <c r="V79" s="184">
        <v>0</v>
      </c>
      <c r="W79" s="184">
        <v>21144.52</v>
      </c>
      <c r="X79" s="184"/>
      <c r="Y79" s="184">
        <v>280119.38</v>
      </c>
      <c r="Z79" s="184">
        <v>45184.5</v>
      </c>
      <c r="AA79" s="184"/>
      <c r="AB79" s="184"/>
      <c r="AC79" s="184"/>
      <c r="AD79" s="184"/>
      <c r="AE79" s="184"/>
      <c r="AF79" s="184"/>
      <c r="AG79" s="184">
        <v>370208.2</v>
      </c>
      <c r="AH79" s="184">
        <v>0</v>
      </c>
      <c r="AI79" s="184">
        <v>0</v>
      </c>
      <c r="AJ79" s="184">
        <v>88729.2</v>
      </c>
      <c r="AK79" s="184"/>
      <c r="AL79" s="184"/>
      <c r="AM79" s="184"/>
      <c r="AN79" s="184"/>
      <c r="AO79" s="184"/>
      <c r="AP79" s="184"/>
      <c r="AQ79" s="184"/>
      <c r="AR79" s="184"/>
      <c r="AS79" s="184"/>
      <c r="AT79" s="184"/>
      <c r="AU79" s="184"/>
      <c r="AV79" s="184">
        <v>28262.06</v>
      </c>
      <c r="AW79" s="184"/>
      <c r="AX79" s="249" t="s">
        <v>221</v>
      </c>
      <c r="AY79" s="249" t="s">
        <v>221</v>
      </c>
      <c r="AZ79" s="249" t="s">
        <v>221</v>
      </c>
      <c r="BA79" s="249" t="s">
        <v>221</v>
      </c>
      <c r="BB79" s="184"/>
      <c r="BC79" s="184"/>
      <c r="BD79" s="249" t="s">
        <v>221</v>
      </c>
      <c r="BE79" s="249" t="s">
        <v>221</v>
      </c>
      <c r="BF79" s="249" t="s">
        <v>221</v>
      </c>
      <c r="BG79" s="249" t="s">
        <v>221</v>
      </c>
      <c r="BH79" s="184"/>
      <c r="BI79" s="184">
        <v>49423</v>
      </c>
      <c r="BJ79" s="249" t="s">
        <v>221</v>
      </c>
      <c r="BK79" s="184"/>
      <c r="BL79" s="184"/>
      <c r="BM79" s="184"/>
      <c r="BN79" s="249" t="s">
        <v>221</v>
      </c>
      <c r="BO79" s="249" t="s">
        <v>221</v>
      </c>
      <c r="BP79" s="249" t="s">
        <v>221</v>
      </c>
      <c r="BQ79" s="249" t="s">
        <v>221</v>
      </c>
      <c r="BR79" s="249" t="s">
        <v>221</v>
      </c>
      <c r="BS79" s="184"/>
      <c r="BT79" s="184"/>
      <c r="BU79" s="184"/>
      <c r="BV79" s="184"/>
      <c r="BW79" s="184"/>
      <c r="BX79" s="184"/>
      <c r="BY79" s="184"/>
      <c r="BZ79" s="184"/>
      <c r="CA79" s="184"/>
      <c r="CB79" s="184"/>
      <c r="CC79" s="249" t="s">
        <v>221</v>
      </c>
      <c r="CD79" s="249" t="s">
        <v>221</v>
      </c>
      <c r="CE79" s="195">
        <f t="shared" si="8"/>
        <v>2452817.1000000006</v>
      </c>
      <c r="CF79" s="195">
        <f>BA59</f>
        <v>0</v>
      </c>
    </row>
    <row r="80" spans="1:84" ht="21" customHeight="1" x14ac:dyDescent="0.35">
      <c r="A80" s="171" t="s">
        <v>252</v>
      </c>
      <c r="B80" s="175"/>
      <c r="C80" s="187">
        <v>98.057163461538465</v>
      </c>
      <c r="D80" s="187">
        <v>45.436730769230763</v>
      </c>
      <c r="E80" s="187">
        <v>184.78013942307692</v>
      </c>
      <c r="F80" s="187">
        <v>0.41763461538461538</v>
      </c>
      <c r="G80" s="187">
        <v>11.122442307692308</v>
      </c>
      <c r="H80" s="187"/>
      <c r="I80" s="187"/>
      <c r="J80" s="187"/>
      <c r="K80" s="187"/>
      <c r="L80" s="187"/>
      <c r="M80" s="187">
        <f>14.4946923076923+3.15</f>
        <v>17.644692307692299</v>
      </c>
      <c r="N80" s="187"/>
      <c r="O80" s="187">
        <v>132.01289903846154</v>
      </c>
      <c r="P80" s="187">
        <v>51.87710096153846</v>
      </c>
      <c r="Q80" s="187">
        <v>40.69363461538461</v>
      </c>
      <c r="R80" s="187">
        <v>0</v>
      </c>
      <c r="S80" s="187">
        <v>9.1346153846153851E-3</v>
      </c>
      <c r="T80" s="187">
        <v>0</v>
      </c>
      <c r="U80" s="187">
        <v>0.68947115384615376</v>
      </c>
      <c r="V80" s="187">
        <v>0</v>
      </c>
      <c r="W80" s="187">
        <v>1.6826923076923078E-3</v>
      </c>
      <c r="X80" s="187">
        <v>0</v>
      </c>
      <c r="Y80" s="187">
        <v>30.538735576923077</v>
      </c>
      <c r="Z80" s="187">
        <v>4.2729519230769233</v>
      </c>
      <c r="AA80" s="187"/>
      <c r="AB80" s="187"/>
      <c r="AC80" s="187"/>
      <c r="AD80" s="187"/>
      <c r="AE80" s="187"/>
      <c r="AF80" s="187"/>
      <c r="AG80" s="187">
        <v>65.661836538461543</v>
      </c>
      <c r="AH80" s="187">
        <v>0</v>
      </c>
      <c r="AI80" s="187">
        <v>0</v>
      </c>
      <c r="AJ80" s="187">
        <v>53.624048076923081</v>
      </c>
      <c r="AK80" s="187"/>
      <c r="AL80" s="187"/>
      <c r="AM80" s="187"/>
      <c r="AN80" s="187"/>
      <c r="AO80" s="187"/>
      <c r="AP80" s="187">
        <v>15.406192307692308</v>
      </c>
      <c r="AQ80" s="187">
        <v>0</v>
      </c>
      <c r="AR80" s="187">
        <f>145.924403846154+28.33</f>
        <v>174.25440384615399</v>
      </c>
      <c r="AS80" s="187">
        <v>0</v>
      </c>
      <c r="AT80" s="187">
        <v>0</v>
      </c>
      <c r="AU80" s="187">
        <v>0</v>
      </c>
      <c r="AV80" s="187">
        <f>7.69842788461538+2.15+0.02+0.02+0.03+5.98+0.18+0.03+3.73+2.48+12.83+8.18+0.2+17.11+3.98</f>
        <v>64.618427884615386</v>
      </c>
      <c r="AW80" s="249" t="s">
        <v>221</v>
      </c>
      <c r="AX80" s="249" t="s">
        <v>221</v>
      </c>
      <c r="AY80" s="249" t="s">
        <v>221</v>
      </c>
      <c r="AZ80" s="249" t="s">
        <v>221</v>
      </c>
      <c r="BA80" s="249" t="s">
        <v>221</v>
      </c>
      <c r="BB80" s="249" t="s">
        <v>221</v>
      </c>
      <c r="BC80" s="249" t="s">
        <v>221</v>
      </c>
      <c r="BD80" s="249" t="s">
        <v>221</v>
      </c>
      <c r="BE80" s="249" t="s">
        <v>221</v>
      </c>
      <c r="BF80" s="249" t="s">
        <v>221</v>
      </c>
      <c r="BG80" s="249" t="s">
        <v>221</v>
      </c>
      <c r="BH80" s="249" t="s">
        <v>221</v>
      </c>
      <c r="BI80" s="249" t="s">
        <v>221</v>
      </c>
      <c r="BJ80" s="249" t="s">
        <v>221</v>
      </c>
      <c r="BK80" s="249" t="s">
        <v>221</v>
      </c>
      <c r="BL80" s="249" t="s">
        <v>221</v>
      </c>
      <c r="BM80" s="249" t="s">
        <v>221</v>
      </c>
      <c r="BN80" s="249" t="s">
        <v>221</v>
      </c>
      <c r="BO80" s="249" t="s">
        <v>221</v>
      </c>
      <c r="BP80" s="249" t="s">
        <v>221</v>
      </c>
      <c r="BQ80" s="249" t="s">
        <v>221</v>
      </c>
      <c r="BR80" s="249" t="s">
        <v>221</v>
      </c>
      <c r="BS80" s="249" t="s">
        <v>221</v>
      </c>
      <c r="BT80" s="249" t="s">
        <v>221</v>
      </c>
      <c r="BU80" s="254"/>
      <c r="BV80" s="254"/>
      <c r="BW80" s="254"/>
      <c r="BX80" s="254"/>
      <c r="BY80" s="254"/>
      <c r="BZ80" s="254"/>
      <c r="CA80" s="254"/>
      <c r="CB80" s="254"/>
      <c r="CC80" s="249" t="s">
        <v>221</v>
      </c>
      <c r="CD80" s="249" t="s">
        <v>221</v>
      </c>
      <c r="CE80" s="255">
        <f t="shared" si="8"/>
        <v>991.11932211538465</v>
      </c>
      <c r="CF80" s="255"/>
    </row>
    <row r="81" spans="1:5" ht="12.65" customHeight="1" x14ac:dyDescent="0.35">
      <c r="A81" s="208" t="s">
        <v>253</v>
      </c>
      <c r="B81" s="208"/>
      <c r="C81" s="208"/>
      <c r="D81" s="208"/>
      <c r="E81" s="208"/>
    </row>
    <row r="82" spans="1:5" ht="12.65" customHeight="1" x14ac:dyDescent="0.35">
      <c r="A82" s="171" t="s">
        <v>254</v>
      </c>
      <c r="B82" s="172"/>
      <c r="C82" s="314" t="s">
        <v>1279</v>
      </c>
      <c r="D82" s="256"/>
      <c r="E82" s="175"/>
    </row>
    <row r="83" spans="1:5" ht="12.65" customHeight="1" x14ac:dyDescent="0.35">
      <c r="A83" s="173" t="s">
        <v>255</v>
      </c>
      <c r="B83" s="172" t="s">
        <v>256</v>
      </c>
      <c r="C83" s="316" t="s">
        <v>1268</v>
      </c>
      <c r="D83" s="256"/>
      <c r="E83" s="175"/>
    </row>
    <row r="84" spans="1:5" ht="12.65" customHeight="1" x14ac:dyDescent="0.35">
      <c r="A84" s="173" t="s">
        <v>257</v>
      </c>
      <c r="B84" s="172" t="s">
        <v>256</v>
      </c>
      <c r="C84" s="229" t="s">
        <v>1269</v>
      </c>
      <c r="D84" s="205"/>
      <c r="E84" s="204"/>
    </row>
    <row r="85" spans="1:5" ht="12.65" customHeight="1" x14ac:dyDescent="0.35">
      <c r="A85" s="173" t="s">
        <v>1250</v>
      </c>
      <c r="B85" s="172"/>
      <c r="C85" s="271" t="s">
        <v>1270</v>
      </c>
      <c r="D85" s="205"/>
      <c r="E85" s="204"/>
    </row>
    <row r="86" spans="1:5" ht="12.65" customHeight="1" x14ac:dyDescent="0.35">
      <c r="A86" s="173" t="s">
        <v>1251</v>
      </c>
      <c r="B86" s="172" t="s">
        <v>256</v>
      </c>
      <c r="C86" s="230"/>
      <c r="D86" s="205"/>
      <c r="E86" s="204"/>
    </row>
    <row r="87" spans="1:5" ht="12.65" customHeight="1" x14ac:dyDescent="0.35">
      <c r="A87" s="173" t="s">
        <v>258</v>
      </c>
      <c r="B87" s="172" t="s">
        <v>256</v>
      </c>
      <c r="C87" s="229" t="s">
        <v>1271</v>
      </c>
      <c r="D87" s="205"/>
      <c r="E87" s="204"/>
    </row>
    <row r="88" spans="1:5" ht="12.65" customHeight="1" x14ac:dyDescent="0.35">
      <c r="A88" s="173" t="s">
        <v>259</v>
      </c>
      <c r="B88" s="172" t="s">
        <v>256</v>
      </c>
      <c r="C88" s="229" t="s">
        <v>1272</v>
      </c>
      <c r="D88" s="205"/>
      <c r="E88" s="204"/>
    </row>
    <row r="89" spans="1:5" ht="12.65" customHeight="1" x14ac:dyDescent="0.35">
      <c r="A89" s="173" t="s">
        <v>260</v>
      </c>
      <c r="B89" s="172" t="s">
        <v>256</v>
      </c>
      <c r="C89" s="229" t="s">
        <v>1273</v>
      </c>
      <c r="D89" s="205"/>
      <c r="E89" s="204"/>
    </row>
    <row r="90" spans="1:5" ht="12.65" customHeight="1" x14ac:dyDescent="0.35">
      <c r="A90" s="173" t="s">
        <v>261</v>
      </c>
      <c r="B90" s="172" t="s">
        <v>256</v>
      </c>
      <c r="C90" s="229" t="s">
        <v>1274</v>
      </c>
      <c r="D90" s="205"/>
      <c r="E90" s="204"/>
    </row>
    <row r="91" spans="1:5" ht="12.65" customHeight="1" x14ac:dyDescent="0.35">
      <c r="A91" s="173" t="s">
        <v>262</v>
      </c>
      <c r="B91" s="172" t="s">
        <v>256</v>
      </c>
      <c r="C91" s="229" t="s">
        <v>1275</v>
      </c>
      <c r="D91" s="205"/>
      <c r="E91" s="204"/>
    </row>
    <row r="92" spans="1:5" ht="12.65" customHeight="1" x14ac:dyDescent="0.35">
      <c r="A92" s="173" t="s">
        <v>263</v>
      </c>
      <c r="B92" s="172" t="s">
        <v>256</v>
      </c>
      <c r="C92" s="226" t="s">
        <v>1276</v>
      </c>
      <c r="D92" s="256"/>
      <c r="E92" s="175"/>
    </row>
    <row r="93" spans="1:5" ht="12.65" customHeight="1" x14ac:dyDescent="0.35">
      <c r="A93" s="173" t="s">
        <v>264</v>
      </c>
      <c r="B93" s="172" t="s">
        <v>256</v>
      </c>
      <c r="C93" s="270" t="s">
        <v>1277</v>
      </c>
      <c r="D93" s="256"/>
      <c r="E93" s="175"/>
    </row>
    <row r="94" spans="1:5" ht="12.65" customHeight="1" x14ac:dyDescent="0.35">
      <c r="A94" s="173"/>
      <c r="B94" s="173"/>
      <c r="C94" s="191"/>
      <c r="D94" s="175"/>
      <c r="E94" s="175"/>
    </row>
    <row r="95" spans="1:5" ht="12.65" customHeight="1" x14ac:dyDescent="0.35">
      <c r="A95" s="208" t="s">
        <v>265</v>
      </c>
      <c r="B95" s="208"/>
      <c r="C95" s="208"/>
      <c r="D95" s="208"/>
      <c r="E95" s="208"/>
    </row>
    <row r="96" spans="1:5" ht="12.65" customHeight="1" x14ac:dyDescent="0.35">
      <c r="A96" s="257" t="s">
        <v>266</v>
      </c>
      <c r="B96" s="257"/>
      <c r="C96" s="257"/>
      <c r="D96" s="257"/>
      <c r="E96" s="257"/>
    </row>
    <row r="97" spans="1:5" ht="12.65" customHeight="1" x14ac:dyDescent="0.35">
      <c r="A97" s="173" t="s">
        <v>267</v>
      </c>
      <c r="B97" s="172" t="s">
        <v>256</v>
      </c>
      <c r="C97" s="189"/>
      <c r="D97" s="175"/>
      <c r="E97" s="175"/>
    </row>
    <row r="98" spans="1:5" ht="12.65" customHeight="1" x14ac:dyDescent="0.35">
      <c r="A98" s="173" t="s">
        <v>259</v>
      </c>
      <c r="B98" s="172" t="s">
        <v>256</v>
      </c>
      <c r="C98" s="189"/>
      <c r="D98" s="175"/>
      <c r="E98" s="175"/>
    </row>
    <row r="99" spans="1:5" ht="12.65" customHeight="1" x14ac:dyDescent="0.35">
      <c r="A99" s="173" t="s">
        <v>268</v>
      </c>
      <c r="B99" s="172" t="s">
        <v>256</v>
      </c>
      <c r="C99" s="189" t="s">
        <v>1278</v>
      </c>
      <c r="D99" s="175"/>
      <c r="E99" s="175"/>
    </row>
    <row r="100" spans="1:5" ht="12.65" customHeight="1" x14ac:dyDescent="0.35">
      <c r="A100" s="257" t="s">
        <v>269</v>
      </c>
      <c r="B100" s="257"/>
      <c r="C100" s="257"/>
      <c r="D100" s="257"/>
      <c r="E100" s="257"/>
    </row>
    <row r="101" spans="1:5" ht="12.65" customHeight="1" x14ac:dyDescent="0.35">
      <c r="A101" s="173" t="s">
        <v>270</v>
      </c>
      <c r="B101" s="172" t="s">
        <v>256</v>
      </c>
      <c r="C101" s="189"/>
      <c r="D101" s="175"/>
      <c r="E101" s="175"/>
    </row>
    <row r="102" spans="1:5" ht="12.65" customHeight="1" x14ac:dyDescent="0.35">
      <c r="A102" s="173" t="s">
        <v>132</v>
      </c>
      <c r="B102" s="172" t="s">
        <v>256</v>
      </c>
      <c r="C102" s="222"/>
      <c r="D102" s="175"/>
      <c r="E102" s="175"/>
    </row>
    <row r="103" spans="1:5" ht="12.65" customHeight="1" x14ac:dyDescent="0.35">
      <c r="A103" s="257" t="s">
        <v>271</v>
      </c>
      <c r="B103" s="257"/>
      <c r="C103" s="257"/>
      <c r="D103" s="257"/>
      <c r="E103" s="257"/>
    </row>
    <row r="104" spans="1:5" ht="12.65" customHeight="1" x14ac:dyDescent="0.35">
      <c r="A104" s="173" t="s">
        <v>272</v>
      </c>
      <c r="B104" s="172" t="s">
        <v>256</v>
      </c>
      <c r="C104" s="189"/>
      <c r="D104" s="175"/>
      <c r="E104" s="175"/>
    </row>
    <row r="105" spans="1:5" ht="12.65" customHeight="1" x14ac:dyDescent="0.35">
      <c r="A105" s="173" t="s">
        <v>273</v>
      </c>
      <c r="B105" s="172" t="s">
        <v>256</v>
      </c>
      <c r="C105" s="189"/>
      <c r="D105" s="175"/>
      <c r="E105" s="175"/>
    </row>
    <row r="106" spans="1:5" ht="12.65" customHeight="1" x14ac:dyDescent="0.35">
      <c r="A106" s="173" t="s">
        <v>274</v>
      </c>
      <c r="B106" s="172" t="s">
        <v>256</v>
      </c>
      <c r="C106" s="189"/>
      <c r="D106" s="175"/>
      <c r="E106" s="175"/>
    </row>
    <row r="107" spans="1:5" ht="21.75" customHeight="1" x14ac:dyDescent="0.35">
      <c r="A107" s="173"/>
      <c r="B107" s="172"/>
      <c r="C107" s="190"/>
      <c r="D107" s="175"/>
      <c r="E107" s="175"/>
    </row>
    <row r="108" spans="1:5" ht="13.5" customHeight="1" x14ac:dyDescent="0.35">
      <c r="A108" s="207" t="s">
        <v>275</v>
      </c>
      <c r="B108" s="208"/>
      <c r="C108" s="208"/>
      <c r="D108" s="208"/>
      <c r="E108" s="208"/>
    </row>
    <row r="109" spans="1:5" ht="13.5" customHeight="1" x14ac:dyDescent="0.35">
      <c r="A109" s="173"/>
      <c r="B109" s="172"/>
      <c r="C109" s="190"/>
      <c r="D109" s="175"/>
      <c r="E109" s="175"/>
    </row>
    <row r="110" spans="1:5" ht="12.65" customHeight="1" x14ac:dyDescent="0.35">
      <c r="A110" s="171" t="s">
        <v>276</v>
      </c>
      <c r="B110" s="175"/>
      <c r="C110" s="182" t="s">
        <v>277</v>
      </c>
      <c r="D110" s="170" t="s">
        <v>215</v>
      </c>
      <c r="E110" s="175"/>
    </row>
    <row r="111" spans="1:5" ht="12.65" customHeight="1" x14ac:dyDescent="0.35">
      <c r="A111" s="173" t="s">
        <v>278</v>
      </c>
      <c r="B111" s="172" t="s">
        <v>256</v>
      </c>
      <c r="C111" s="189">
        <v>14650</v>
      </c>
      <c r="D111" s="174">
        <v>66833</v>
      </c>
      <c r="E111" s="175"/>
    </row>
    <row r="112" spans="1:5" ht="12.65" customHeight="1" x14ac:dyDescent="0.35">
      <c r="A112" s="173" t="s">
        <v>279</v>
      </c>
      <c r="B112" s="172" t="s">
        <v>256</v>
      </c>
      <c r="C112" s="189"/>
      <c r="D112" s="174"/>
      <c r="E112" s="175"/>
    </row>
    <row r="113" spans="1:5" ht="12.65" customHeight="1" x14ac:dyDescent="0.35">
      <c r="A113" s="173" t="s">
        <v>280</v>
      </c>
      <c r="B113" s="172" t="s">
        <v>256</v>
      </c>
      <c r="C113" s="189"/>
      <c r="D113" s="174"/>
      <c r="E113" s="175"/>
    </row>
    <row r="114" spans="1:5" ht="12.65" customHeight="1" x14ac:dyDescent="0.35">
      <c r="A114" s="173" t="s">
        <v>281</v>
      </c>
      <c r="B114" s="172" t="s">
        <v>256</v>
      </c>
      <c r="C114" s="189">
        <v>4833</v>
      </c>
      <c r="D114" s="174"/>
      <c r="E114" s="175"/>
    </row>
    <row r="115" spans="1:5" ht="12.65" customHeight="1" x14ac:dyDescent="0.35">
      <c r="A115" s="171" t="s">
        <v>282</v>
      </c>
      <c r="B115" s="175"/>
      <c r="C115" s="182" t="s">
        <v>167</v>
      </c>
      <c r="D115" s="175"/>
      <c r="E115" s="175"/>
    </row>
    <row r="116" spans="1:5" ht="12.65" customHeight="1" x14ac:dyDescent="0.35">
      <c r="A116" s="173" t="s">
        <v>283</v>
      </c>
      <c r="B116" s="172" t="s">
        <v>256</v>
      </c>
      <c r="C116" s="189">
        <v>20</v>
      </c>
      <c r="D116" s="175"/>
      <c r="E116" s="175"/>
    </row>
    <row r="117" spans="1:5" ht="12.65" customHeight="1" x14ac:dyDescent="0.35">
      <c r="A117" s="173" t="s">
        <v>284</v>
      </c>
      <c r="B117" s="172" t="s">
        <v>256</v>
      </c>
      <c r="C117" s="189">
        <v>31</v>
      </c>
      <c r="D117" s="175"/>
      <c r="E117" s="175"/>
    </row>
    <row r="118" spans="1:5" ht="12.65" customHeight="1" x14ac:dyDescent="0.35">
      <c r="A118" s="173" t="s">
        <v>1238</v>
      </c>
      <c r="B118" s="172" t="s">
        <v>256</v>
      </c>
      <c r="C118" s="189">
        <v>173</v>
      </c>
      <c r="D118" s="175"/>
      <c r="E118" s="175"/>
    </row>
    <row r="119" spans="1:5" ht="12.65" customHeight="1" x14ac:dyDescent="0.35">
      <c r="A119" s="173" t="s">
        <v>285</v>
      </c>
      <c r="B119" s="172" t="s">
        <v>256</v>
      </c>
      <c r="C119" s="189">
        <v>1</v>
      </c>
      <c r="D119" s="175"/>
      <c r="E119" s="175"/>
    </row>
    <row r="120" spans="1:5" ht="12.65" customHeight="1" x14ac:dyDescent="0.35">
      <c r="A120" s="173" t="s">
        <v>286</v>
      </c>
      <c r="B120" s="172" t="s">
        <v>256</v>
      </c>
      <c r="C120" s="189">
        <v>36</v>
      </c>
      <c r="D120" s="175"/>
      <c r="E120" s="175"/>
    </row>
    <row r="121" spans="1:5" ht="12.65" customHeight="1" x14ac:dyDescent="0.35">
      <c r="A121" s="173" t="s">
        <v>287</v>
      </c>
      <c r="B121" s="172" t="s">
        <v>256</v>
      </c>
      <c r="C121" s="189">
        <v>14</v>
      </c>
      <c r="D121" s="175"/>
      <c r="E121" s="175"/>
    </row>
    <row r="122" spans="1:5" ht="12.65" customHeight="1" x14ac:dyDescent="0.35">
      <c r="A122" s="173" t="s">
        <v>97</v>
      </c>
      <c r="B122" s="172" t="s">
        <v>256</v>
      </c>
      <c r="C122" s="189"/>
      <c r="D122" s="175"/>
      <c r="E122" s="175"/>
    </row>
    <row r="123" spans="1:5" ht="12.65" customHeight="1" x14ac:dyDescent="0.35">
      <c r="A123" s="173" t="s">
        <v>288</v>
      </c>
      <c r="B123" s="172" t="s">
        <v>256</v>
      </c>
      <c r="C123" s="189"/>
      <c r="D123" s="175"/>
      <c r="E123" s="175"/>
    </row>
    <row r="124" spans="1:5" ht="12.65" customHeight="1" x14ac:dyDescent="0.35">
      <c r="A124" s="173" t="s">
        <v>289</v>
      </c>
      <c r="B124" s="172"/>
      <c r="C124" s="189"/>
      <c r="D124" s="175"/>
      <c r="E124" s="175"/>
    </row>
    <row r="125" spans="1:5" ht="12.65" customHeight="1" x14ac:dyDescent="0.35">
      <c r="A125" s="173" t="s">
        <v>280</v>
      </c>
      <c r="B125" s="172" t="s">
        <v>256</v>
      </c>
      <c r="C125" s="189"/>
      <c r="D125" s="175"/>
      <c r="E125" s="175"/>
    </row>
    <row r="126" spans="1:5" ht="12.65" customHeight="1" x14ac:dyDescent="0.35">
      <c r="A126" s="173" t="s">
        <v>290</v>
      </c>
      <c r="B126" s="172" t="s">
        <v>256</v>
      </c>
      <c r="C126" s="189">
        <v>42</v>
      </c>
      <c r="D126" s="175"/>
      <c r="E126" s="175"/>
    </row>
    <row r="127" spans="1:5" ht="12.65" customHeight="1" x14ac:dyDescent="0.35">
      <c r="A127" s="173" t="s">
        <v>291</v>
      </c>
      <c r="B127" s="175"/>
      <c r="C127" s="191"/>
      <c r="D127" s="175"/>
      <c r="E127" s="175">
        <f>SUM(C116:C126)</f>
        <v>317</v>
      </c>
    </row>
    <row r="128" spans="1:5" ht="12.65" customHeight="1" x14ac:dyDescent="0.35">
      <c r="A128" s="173" t="s">
        <v>292</v>
      </c>
      <c r="B128" s="172" t="s">
        <v>256</v>
      </c>
      <c r="C128" s="189">
        <v>318</v>
      </c>
      <c r="D128" s="175"/>
      <c r="E128" s="175"/>
    </row>
    <row r="129" spans="1:6" ht="12.65" customHeight="1" x14ac:dyDescent="0.35">
      <c r="A129" s="173" t="s">
        <v>293</v>
      </c>
      <c r="B129" s="172" t="s">
        <v>256</v>
      </c>
      <c r="C129" s="189"/>
      <c r="D129" s="175"/>
      <c r="E129" s="175"/>
    </row>
    <row r="130" spans="1:6" ht="12.65" customHeight="1" x14ac:dyDescent="0.35">
      <c r="A130" s="173"/>
      <c r="B130" s="175"/>
      <c r="C130" s="191"/>
      <c r="D130" s="175"/>
      <c r="E130" s="175"/>
    </row>
    <row r="131" spans="1:6" ht="12.65" customHeight="1" x14ac:dyDescent="0.35">
      <c r="A131" s="173" t="s">
        <v>294</v>
      </c>
      <c r="B131" s="172" t="s">
        <v>256</v>
      </c>
      <c r="C131" s="189"/>
      <c r="D131" s="175"/>
      <c r="E131" s="175"/>
    </row>
    <row r="132" spans="1:6" ht="12.65" customHeight="1" x14ac:dyDescent="0.35">
      <c r="A132" s="173"/>
      <c r="B132" s="173"/>
      <c r="C132" s="191"/>
      <c r="D132" s="175"/>
      <c r="E132" s="175"/>
    </row>
    <row r="133" spans="1:6" ht="12.65" customHeight="1" x14ac:dyDescent="0.35">
      <c r="A133" s="173"/>
      <c r="B133" s="173"/>
      <c r="C133" s="191"/>
      <c r="D133" s="175"/>
      <c r="E133" s="175"/>
    </row>
    <row r="134" spans="1:6" ht="12.65" customHeight="1" x14ac:dyDescent="0.35">
      <c r="A134" s="173"/>
      <c r="B134" s="173"/>
      <c r="C134" s="191"/>
      <c r="D134" s="175"/>
      <c r="E134" s="175"/>
    </row>
    <row r="135" spans="1:6" ht="18" customHeight="1" x14ac:dyDescent="0.35">
      <c r="A135" s="173"/>
      <c r="B135" s="173"/>
      <c r="C135" s="191"/>
      <c r="D135" s="175"/>
      <c r="E135" s="175"/>
    </row>
    <row r="136" spans="1:6" ht="12.65" customHeight="1" x14ac:dyDescent="0.35">
      <c r="A136" s="208" t="s">
        <v>1239</v>
      </c>
      <c r="B136" s="207"/>
      <c r="C136" s="207"/>
      <c r="D136" s="207"/>
      <c r="E136" s="207"/>
    </row>
    <row r="137" spans="1:6" ht="12.65" customHeight="1" x14ac:dyDescent="0.35">
      <c r="A137" s="258" t="s">
        <v>295</v>
      </c>
      <c r="B137" s="176" t="s">
        <v>296</v>
      </c>
      <c r="C137" s="192" t="s">
        <v>297</v>
      </c>
      <c r="D137" s="176" t="s">
        <v>132</v>
      </c>
      <c r="E137" s="176" t="s">
        <v>203</v>
      </c>
    </row>
    <row r="138" spans="1:6" ht="12.65" customHeight="1" x14ac:dyDescent="0.35">
      <c r="A138" s="173" t="s">
        <v>277</v>
      </c>
      <c r="B138" s="174">
        <v>5611</v>
      </c>
      <c r="C138" s="189">
        <v>5472</v>
      </c>
      <c r="D138" s="174">
        <f>14650-5611-5472</f>
        <v>3567</v>
      </c>
      <c r="E138" s="175">
        <f>SUM(B138:D138)</f>
        <v>14650</v>
      </c>
    </row>
    <row r="139" spans="1:6" ht="12.65" customHeight="1" x14ac:dyDescent="0.35">
      <c r="A139" s="173" t="s">
        <v>215</v>
      </c>
      <c r="B139" s="174">
        <v>39261</v>
      </c>
      <c r="C139" s="189">
        <v>10432</v>
      </c>
      <c r="D139" s="174">
        <f>66833-39261-10432</f>
        <v>17140</v>
      </c>
      <c r="E139" s="175">
        <f>SUM(B139:D139)</f>
        <v>66833</v>
      </c>
    </row>
    <row r="140" spans="1:6" ht="12.65" customHeight="1" x14ac:dyDescent="0.35">
      <c r="A140" s="173" t="s">
        <v>298</v>
      </c>
      <c r="B140" s="174"/>
      <c r="C140" s="174"/>
      <c r="D140" s="174"/>
      <c r="E140" s="175">
        <f>SUM(B140:D140)</f>
        <v>0</v>
      </c>
    </row>
    <row r="141" spans="1:6" ht="12.65" customHeight="1" x14ac:dyDescent="0.35">
      <c r="A141" s="173" t="s">
        <v>245</v>
      </c>
      <c r="B141" s="174">
        <v>400385844</v>
      </c>
      <c r="C141" s="189">
        <v>100991324</v>
      </c>
      <c r="D141" s="174">
        <f>346118149+1</f>
        <v>346118150</v>
      </c>
      <c r="E141" s="175">
        <f>SUM(B141:D141)</f>
        <v>847495318</v>
      </c>
      <c r="F141" s="199"/>
    </row>
    <row r="142" spans="1:6" ht="12.65" customHeight="1" x14ac:dyDescent="0.35">
      <c r="A142" s="173" t="s">
        <v>246</v>
      </c>
      <c r="B142" s="174">
        <v>493100168</v>
      </c>
      <c r="C142" s="189">
        <v>108672622</v>
      </c>
      <c r="D142" s="174">
        <v>651741769</v>
      </c>
      <c r="E142" s="175">
        <f>SUM(B142:D142)</f>
        <v>1253514559</v>
      </c>
      <c r="F142" s="199"/>
    </row>
    <row r="143" spans="1:6" ht="12.65" customHeight="1" x14ac:dyDescent="0.35">
      <c r="A143" s="258" t="s">
        <v>299</v>
      </c>
      <c r="B143" s="176" t="s">
        <v>296</v>
      </c>
      <c r="C143" s="192" t="s">
        <v>297</v>
      </c>
      <c r="D143" s="176" t="s">
        <v>132</v>
      </c>
      <c r="E143" s="176" t="s">
        <v>203</v>
      </c>
    </row>
    <row r="144" spans="1:6" ht="12.65" customHeight="1" x14ac:dyDescent="0.35">
      <c r="A144" s="173" t="s">
        <v>277</v>
      </c>
      <c r="B144" s="174"/>
      <c r="C144" s="189"/>
      <c r="D144" s="174"/>
      <c r="E144" s="175">
        <f>SUM(B144:D144)</f>
        <v>0</v>
      </c>
    </row>
    <row r="145" spans="1:5" ht="12.65" customHeight="1" x14ac:dyDescent="0.35">
      <c r="A145" s="173" t="s">
        <v>215</v>
      </c>
      <c r="B145" s="174"/>
      <c r="C145" s="189"/>
      <c r="D145" s="174"/>
      <c r="E145" s="175">
        <f>SUM(B145:D145)</f>
        <v>0</v>
      </c>
    </row>
    <row r="146" spans="1:5" ht="12.65" customHeight="1" x14ac:dyDescent="0.35">
      <c r="A146" s="173" t="s">
        <v>298</v>
      </c>
      <c r="B146" s="174"/>
      <c r="C146" s="189"/>
      <c r="D146" s="174"/>
      <c r="E146" s="175">
        <f>SUM(B146:D146)</f>
        <v>0</v>
      </c>
    </row>
    <row r="147" spans="1:5" ht="12.65" customHeight="1" x14ac:dyDescent="0.35">
      <c r="A147" s="173" t="s">
        <v>245</v>
      </c>
      <c r="B147" s="174"/>
      <c r="C147" s="189"/>
      <c r="D147" s="174"/>
      <c r="E147" s="175">
        <f>SUM(B147:D147)</f>
        <v>0</v>
      </c>
    </row>
    <row r="148" spans="1:5" ht="12.65" customHeight="1" x14ac:dyDescent="0.35">
      <c r="A148" s="173" t="s">
        <v>246</v>
      </c>
      <c r="B148" s="174"/>
      <c r="C148" s="189"/>
      <c r="D148" s="174"/>
      <c r="E148" s="175">
        <f>SUM(B148:D148)</f>
        <v>0</v>
      </c>
    </row>
    <row r="149" spans="1:5" ht="12.65" customHeight="1" x14ac:dyDescent="0.35">
      <c r="A149" s="258" t="s">
        <v>300</v>
      </c>
      <c r="B149" s="176" t="s">
        <v>296</v>
      </c>
      <c r="C149" s="192" t="s">
        <v>297</v>
      </c>
      <c r="D149" s="176" t="s">
        <v>132</v>
      </c>
      <c r="E149" s="176" t="s">
        <v>203</v>
      </c>
    </row>
    <row r="150" spans="1:5" ht="12.65" customHeight="1" x14ac:dyDescent="0.35">
      <c r="A150" s="173" t="s">
        <v>277</v>
      </c>
      <c r="B150" s="174"/>
      <c r="C150" s="189"/>
      <c r="D150" s="174"/>
      <c r="E150" s="175">
        <f>SUM(B150:D150)</f>
        <v>0</v>
      </c>
    </row>
    <row r="151" spans="1:5" ht="12.65" customHeight="1" x14ac:dyDescent="0.35">
      <c r="A151" s="173" t="s">
        <v>215</v>
      </c>
      <c r="B151" s="174"/>
      <c r="C151" s="189"/>
      <c r="D151" s="174"/>
      <c r="E151" s="175">
        <f>SUM(B151:D151)</f>
        <v>0</v>
      </c>
    </row>
    <row r="152" spans="1:5" ht="12.65" customHeight="1" x14ac:dyDescent="0.35">
      <c r="A152" s="173" t="s">
        <v>298</v>
      </c>
      <c r="B152" s="174"/>
      <c r="C152" s="189"/>
      <c r="D152" s="174"/>
      <c r="E152" s="175">
        <f>SUM(B152:D152)</f>
        <v>0</v>
      </c>
    </row>
    <row r="153" spans="1:5" ht="12.65" customHeight="1" x14ac:dyDescent="0.35">
      <c r="A153" s="173" t="s">
        <v>245</v>
      </c>
      <c r="B153" s="174"/>
      <c r="C153" s="189"/>
      <c r="D153" s="174"/>
      <c r="E153" s="175">
        <f>SUM(B153:D153)</f>
        <v>0</v>
      </c>
    </row>
    <row r="154" spans="1:5" ht="12.65" customHeight="1" x14ac:dyDescent="0.35">
      <c r="A154" s="173" t="s">
        <v>246</v>
      </c>
      <c r="B154" s="174"/>
      <c r="C154" s="189"/>
      <c r="D154" s="174"/>
      <c r="E154" s="175">
        <f>SUM(B154:D154)</f>
        <v>0</v>
      </c>
    </row>
    <row r="155" spans="1:5" ht="12.65" customHeight="1" x14ac:dyDescent="0.35">
      <c r="A155" s="177"/>
      <c r="B155" s="177"/>
      <c r="C155" s="193"/>
      <c r="D155" s="178"/>
      <c r="E155" s="175"/>
    </row>
    <row r="156" spans="1:5" ht="12.65" customHeight="1" x14ac:dyDescent="0.35">
      <c r="A156" s="258" t="s">
        <v>301</v>
      </c>
      <c r="B156" s="176" t="s">
        <v>302</v>
      </c>
      <c r="C156" s="192" t="s">
        <v>303</v>
      </c>
      <c r="D156" s="175"/>
      <c r="E156" s="175"/>
    </row>
    <row r="157" spans="1:5" ht="12.65" customHeight="1" x14ac:dyDescent="0.35">
      <c r="A157" s="177" t="s">
        <v>304</v>
      </c>
      <c r="B157" s="174">
        <v>7835412</v>
      </c>
      <c r="C157" s="174">
        <v>16660393</v>
      </c>
      <c r="D157" s="175"/>
      <c r="E157" s="175"/>
    </row>
    <row r="158" spans="1:5" ht="12.65" customHeight="1" x14ac:dyDescent="0.35">
      <c r="A158" s="177"/>
      <c r="B158" s="178"/>
      <c r="C158" s="193"/>
      <c r="D158" s="175"/>
      <c r="E158" s="175"/>
    </row>
    <row r="159" spans="1:5" ht="12.65" customHeight="1" x14ac:dyDescent="0.35">
      <c r="A159" s="177"/>
      <c r="B159" s="177"/>
      <c r="C159" s="193"/>
      <c r="D159" s="178"/>
      <c r="E159" s="175"/>
    </row>
    <row r="160" spans="1:5" ht="12.65" customHeight="1" x14ac:dyDescent="0.35">
      <c r="A160" s="177"/>
      <c r="B160" s="177"/>
      <c r="C160" s="193"/>
      <c r="D160" s="178"/>
      <c r="E160" s="175"/>
    </row>
    <row r="161" spans="1:5" ht="12.65" customHeight="1" x14ac:dyDescent="0.35">
      <c r="A161" s="177"/>
      <c r="B161" s="177"/>
      <c r="C161" s="193"/>
      <c r="D161" s="178"/>
      <c r="E161" s="175"/>
    </row>
    <row r="162" spans="1:5" ht="21.75" customHeight="1" x14ac:dyDescent="0.35">
      <c r="A162" s="177"/>
      <c r="B162" s="177"/>
      <c r="C162" s="193"/>
      <c r="D162" s="178"/>
      <c r="E162" s="175"/>
    </row>
    <row r="163" spans="1:5" ht="11.5" customHeight="1" x14ac:dyDescent="0.35">
      <c r="A163" s="207" t="s">
        <v>305</v>
      </c>
      <c r="B163" s="208"/>
      <c r="C163" s="208"/>
      <c r="D163" s="208"/>
      <c r="E163" s="208"/>
    </row>
    <row r="164" spans="1:5" ht="11.5" customHeight="1" x14ac:dyDescent="0.35">
      <c r="A164" s="257" t="s">
        <v>306</v>
      </c>
      <c r="B164" s="257"/>
      <c r="C164" s="257"/>
      <c r="D164" s="257"/>
      <c r="E164" s="257"/>
    </row>
    <row r="165" spans="1:5" ht="11.5" customHeight="1" x14ac:dyDescent="0.35">
      <c r="A165" s="173" t="s">
        <v>307</v>
      </c>
      <c r="B165" s="172" t="s">
        <v>256</v>
      </c>
      <c r="C165" s="189">
        <v>27566399</v>
      </c>
      <c r="D165" s="175"/>
      <c r="E165" s="175"/>
    </row>
    <row r="166" spans="1:5" ht="11.5" customHeight="1" x14ac:dyDescent="0.35">
      <c r="A166" s="173" t="s">
        <v>308</v>
      </c>
      <c r="B166" s="172" t="s">
        <v>256</v>
      </c>
      <c r="C166" s="189">
        <v>11058</v>
      </c>
      <c r="D166" s="175"/>
      <c r="E166" s="175"/>
    </row>
    <row r="167" spans="1:5" ht="11.5" customHeight="1" x14ac:dyDescent="0.35">
      <c r="A167" s="177" t="s">
        <v>309</v>
      </c>
      <c r="B167" s="172" t="s">
        <v>256</v>
      </c>
      <c r="C167" s="189">
        <v>2813235</v>
      </c>
      <c r="D167" s="175"/>
      <c r="E167" s="175"/>
    </row>
    <row r="168" spans="1:5" ht="11.5" customHeight="1" x14ac:dyDescent="0.35">
      <c r="A168" s="173" t="s">
        <v>310</v>
      </c>
      <c r="B168" s="172" t="s">
        <v>256</v>
      </c>
      <c r="C168" s="189">
        <v>48803374</v>
      </c>
      <c r="D168" s="175"/>
      <c r="E168" s="175"/>
    </row>
    <row r="169" spans="1:5" ht="11.5" customHeight="1" x14ac:dyDescent="0.35">
      <c r="A169" s="173" t="s">
        <v>311</v>
      </c>
      <c r="B169" s="172" t="s">
        <v>256</v>
      </c>
      <c r="C169" s="189">
        <v>206869</v>
      </c>
      <c r="D169" s="175"/>
      <c r="E169" s="175"/>
    </row>
    <row r="170" spans="1:5" ht="11.5" customHeight="1" x14ac:dyDescent="0.35">
      <c r="A170" s="173" t="s">
        <v>312</v>
      </c>
      <c r="B170" s="172" t="s">
        <v>256</v>
      </c>
      <c r="C170" s="189">
        <v>21453089</v>
      </c>
      <c r="D170" s="175"/>
      <c r="E170" s="175"/>
    </row>
    <row r="171" spans="1:5" ht="11.5" customHeight="1" x14ac:dyDescent="0.35">
      <c r="A171" s="173" t="s">
        <v>313</v>
      </c>
      <c r="B171" s="172" t="s">
        <v>256</v>
      </c>
      <c r="C171" s="189">
        <v>1573712</v>
      </c>
      <c r="D171" s="175"/>
      <c r="E171" s="175"/>
    </row>
    <row r="172" spans="1:5" ht="11.5" customHeight="1" x14ac:dyDescent="0.35">
      <c r="A172" s="173" t="s">
        <v>313</v>
      </c>
      <c r="B172" s="172" t="s">
        <v>256</v>
      </c>
      <c r="C172" s="189"/>
      <c r="D172" s="175"/>
      <c r="E172" s="175"/>
    </row>
    <row r="173" spans="1:5" ht="11.5" customHeight="1" x14ac:dyDescent="0.35">
      <c r="A173" s="173" t="s">
        <v>203</v>
      </c>
      <c r="B173" s="175"/>
      <c r="C173" s="191"/>
      <c r="D173" s="175">
        <f>SUM(C165:C172)</f>
        <v>102427736</v>
      </c>
      <c r="E173" s="175"/>
    </row>
    <row r="174" spans="1:5" ht="11.5" customHeight="1" x14ac:dyDescent="0.35">
      <c r="A174" s="257" t="s">
        <v>314</v>
      </c>
      <c r="B174" s="257"/>
      <c r="C174" s="257"/>
      <c r="D174" s="257"/>
      <c r="E174" s="257"/>
    </row>
    <row r="175" spans="1:5" ht="11.5" customHeight="1" x14ac:dyDescent="0.35">
      <c r="A175" s="173" t="s">
        <v>315</v>
      </c>
      <c r="B175" s="172" t="s">
        <v>256</v>
      </c>
      <c r="C175" s="189">
        <v>13656735</v>
      </c>
      <c r="D175" s="175"/>
      <c r="E175" s="175"/>
    </row>
    <row r="176" spans="1:5" ht="11.5" customHeight="1" x14ac:dyDescent="0.35">
      <c r="A176" s="173" t="s">
        <v>316</v>
      </c>
      <c r="B176" s="172" t="s">
        <v>256</v>
      </c>
      <c r="C176" s="189">
        <v>3123056</v>
      </c>
      <c r="D176" s="175"/>
      <c r="E176" s="175"/>
    </row>
    <row r="177" spans="1:5" ht="11.5" customHeight="1" x14ac:dyDescent="0.35">
      <c r="A177" s="173" t="s">
        <v>203</v>
      </c>
      <c r="B177" s="175"/>
      <c r="C177" s="191"/>
      <c r="D177" s="175">
        <f>SUM(C175:C176)</f>
        <v>16779791</v>
      </c>
      <c r="E177" s="175"/>
    </row>
    <row r="178" spans="1:5" ht="11.5" customHeight="1" x14ac:dyDescent="0.35">
      <c r="A178" s="257" t="s">
        <v>317</v>
      </c>
      <c r="B178" s="257"/>
      <c r="C178" s="257"/>
      <c r="D178" s="257"/>
      <c r="E178" s="257"/>
    </row>
    <row r="179" spans="1:5" ht="11.5" customHeight="1" x14ac:dyDescent="0.35">
      <c r="A179" s="173" t="s">
        <v>318</v>
      </c>
      <c r="B179" s="172" t="s">
        <v>256</v>
      </c>
      <c r="C179" s="189">
        <v>1412203</v>
      </c>
      <c r="D179" s="175"/>
      <c r="E179" s="175"/>
    </row>
    <row r="180" spans="1:5" ht="11.5" customHeight="1" x14ac:dyDescent="0.35">
      <c r="A180" s="173" t="s">
        <v>319</v>
      </c>
      <c r="B180" s="172" t="s">
        <v>256</v>
      </c>
      <c r="C180" s="189">
        <v>1832793</v>
      </c>
      <c r="D180" s="175"/>
      <c r="E180" s="175"/>
    </row>
    <row r="181" spans="1:5" ht="11.5" customHeight="1" x14ac:dyDescent="0.35">
      <c r="A181" s="173" t="s">
        <v>203</v>
      </c>
      <c r="B181" s="175"/>
      <c r="C181" s="191"/>
      <c r="D181" s="175">
        <f>SUM(C179:C180)</f>
        <v>3244996</v>
      </c>
      <c r="E181" s="175"/>
    </row>
    <row r="182" spans="1:5" ht="11.5" customHeight="1" x14ac:dyDescent="0.35">
      <c r="A182" s="257" t="s">
        <v>320</v>
      </c>
      <c r="B182" s="257"/>
      <c r="C182" s="257"/>
      <c r="D182" s="257"/>
      <c r="E182" s="257"/>
    </row>
    <row r="183" spans="1:5" ht="11.5" customHeight="1" x14ac:dyDescent="0.35">
      <c r="A183" s="173" t="s">
        <v>321</v>
      </c>
      <c r="B183" s="172" t="s">
        <v>256</v>
      </c>
      <c r="C183" s="189">
        <v>469973</v>
      </c>
      <c r="D183" s="175"/>
      <c r="E183" s="175"/>
    </row>
    <row r="184" spans="1:5" ht="11.5" customHeight="1" x14ac:dyDescent="0.35">
      <c r="A184" s="173" t="s">
        <v>322</v>
      </c>
      <c r="B184" s="172" t="s">
        <v>256</v>
      </c>
      <c r="C184" s="189">
        <v>6802635</v>
      </c>
      <c r="D184" s="175"/>
      <c r="E184" s="175"/>
    </row>
    <row r="185" spans="1:5" ht="11.5" customHeight="1" x14ac:dyDescent="0.35">
      <c r="A185" s="173" t="s">
        <v>132</v>
      </c>
      <c r="B185" s="172" t="s">
        <v>256</v>
      </c>
      <c r="C185" s="189"/>
      <c r="D185" s="175"/>
      <c r="E185" s="175"/>
    </row>
    <row r="186" spans="1:5" ht="11.5" customHeight="1" x14ac:dyDescent="0.35">
      <c r="A186" s="173" t="s">
        <v>203</v>
      </c>
      <c r="B186" s="175"/>
      <c r="C186" s="191"/>
      <c r="D186" s="175">
        <f>SUM(C183:C185)</f>
        <v>7272608</v>
      </c>
      <c r="E186" s="175"/>
    </row>
    <row r="187" spans="1:5" ht="11.5" customHeight="1" x14ac:dyDescent="0.35">
      <c r="A187" s="257" t="s">
        <v>323</v>
      </c>
      <c r="B187" s="257"/>
      <c r="C187" s="257"/>
      <c r="D187" s="257"/>
      <c r="E187" s="257"/>
    </row>
    <row r="188" spans="1:5" ht="11.5" customHeight="1" x14ac:dyDescent="0.35">
      <c r="A188" s="173" t="s">
        <v>324</v>
      </c>
      <c r="B188" s="172" t="s">
        <v>256</v>
      </c>
      <c r="C188" s="189">
        <v>9081161</v>
      </c>
      <c r="D188" s="175"/>
      <c r="E188" s="175"/>
    </row>
    <row r="189" spans="1:5" ht="11.5" customHeight="1" x14ac:dyDescent="0.35">
      <c r="A189" s="173" t="s">
        <v>325</v>
      </c>
      <c r="B189" s="172" t="s">
        <v>256</v>
      </c>
      <c r="C189" s="189"/>
      <c r="D189" s="175"/>
      <c r="E189" s="175"/>
    </row>
    <row r="190" spans="1:5" ht="11.5" customHeight="1" x14ac:dyDescent="0.35">
      <c r="A190" s="173" t="s">
        <v>203</v>
      </c>
      <c r="B190" s="175"/>
      <c r="C190" s="191"/>
      <c r="D190" s="175">
        <f>SUM(C188:C189)</f>
        <v>9081161</v>
      </c>
      <c r="E190" s="175"/>
    </row>
    <row r="191" spans="1:5" ht="18" customHeight="1" x14ac:dyDescent="0.35">
      <c r="A191" s="173"/>
      <c r="B191" s="175"/>
      <c r="C191" s="191"/>
      <c r="D191" s="175"/>
      <c r="E191" s="175"/>
    </row>
    <row r="192" spans="1:5" ht="12.65" customHeight="1" x14ac:dyDescent="0.35">
      <c r="A192" s="208" t="s">
        <v>326</v>
      </c>
      <c r="B192" s="208"/>
      <c r="C192" s="208"/>
      <c r="D192" s="208"/>
      <c r="E192" s="208"/>
    </row>
    <row r="193" spans="1:8" ht="12.65" customHeight="1" x14ac:dyDescent="0.35">
      <c r="A193" s="207" t="s">
        <v>327</v>
      </c>
      <c r="B193" s="208"/>
      <c r="C193" s="208"/>
      <c r="D193" s="208"/>
      <c r="E193" s="208"/>
    </row>
    <row r="194" spans="1:8" ht="12.65" customHeight="1" x14ac:dyDescent="0.35">
      <c r="A194" s="171"/>
      <c r="B194" s="170" t="s">
        <v>328</v>
      </c>
      <c r="C194" s="182" t="s">
        <v>329</v>
      </c>
      <c r="D194" s="170" t="s">
        <v>330</v>
      </c>
      <c r="E194" s="170" t="s">
        <v>331</v>
      </c>
    </row>
    <row r="195" spans="1:8" ht="12.65" customHeight="1" x14ac:dyDescent="0.35">
      <c r="A195" s="173" t="s">
        <v>332</v>
      </c>
      <c r="B195" s="174">
        <v>4913659.68</v>
      </c>
      <c r="C195" s="189"/>
      <c r="D195" s="174"/>
      <c r="E195" s="175">
        <f t="shared" ref="E195:E203" si="10">SUM(B195:C195)-D195</f>
        <v>4913659.68</v>
      </c>
    </row>
    <row r="196" spans="1:8" ht="12.65" customHeight="1" x14ac:dyDescent="0.35">
      <c r="A196" s="173" t="s">
        <v>333</v>
      </c>
      <c r="B196" s="174">
        <v>13123911</v>
      </c>
      <c r="C196" s="189"/>
      <c r="D196" s="174">
        <v>2805</v>
      </c>
      <c r="E196" s="175">
        <f t="shared" si="10"/>
        <v>13121106</v>
      </c>
    </row>
    <row r="197" spans="1:8" ht="12.65" customHeight="1" x14ac:dyDescent="0.35">
      <c r="A197" s="173" t="s">
        <v>334</v>
      </c>
      <c r="B197" s="174">
        <v>340376358</v>
      </c>
      <c r="C197" s="189">
        <v>18633496</v>
      </c>
      <c r="D197" s="174">
        <v>683557</v>
      </c>
      <c r="E197" s="175">
        <f t="shared" si="10"/>
        <v>358326297</v>
      </c>
    </row>
    <row r="198" spans="1:8" ht="12.65" customHeight="1" x14ac:dyDescent="0.35">
      <c r="A198" s="173" t="s">
        <v>335</v>
      </c>
      <c r="B198" s="174">
        <v>130279560</v>
      </c>
      <c r="C198" s="189">
        <v>3839889</v>
      </c>
      <c r="D198" s="174">
        <v>350948</v>
      </c>
      <c r="E198" s="175">
        <f t="shared" si="10"/>
        <v>133768501</v>
      </c>
    </row>
    <row r="199" spans="1:8" ht="12.65" customHeight="1" x14ac:dyDescent="0.35">
      <c r="A199" s="173" t="s">
        <v>336</v>
      </c>
      <c r="B199" s="174">
        <v>23123</v>
      </c>
      <c r="C199" s="189"/>
      <c r="D199" s="174">
        <v>12522</v>
      </c>
      <c r="E199" s="175">
        <f t="shared" si="10"/>
        <v>10601</v>
      </c>
    </row>
    <row r="200" spans="1:8" ht="12.65" customHeight="1" x14ac:dyDescent="0.35">
      <c r="A200" s="173" t="s">
        <v>337</v>
      </c>
      <c r="B200" s="174">
        <v>301103323</v>
      </c>
      <c r="C200" s="189">
        <v>19964651</v>
      </c>
      <c r="D200" s="174">
        <v>31909848</v>
      </c>
      <c r="E200" s="175">
        <f t="shared" si="10"/>
        <v>289158126</v>
      </c>
    </row>
    <row r="201" spans="1:8" ht="12.65" customHeight="1" x14ac:dyDescent="0.35">
      <c r="A201" s="173" t="s">
        <v>338</v>
      </c>
      <c r="B201" s="174"/>
      <c r="C201" s="189"/>
      <c r="D201" s="174"/>
      <c r="E201" s="175">
        <f t="shared" si="10"/>
        <v>0</v>
      </c>
    </row>
    <row r="202" spans="1:8" ht="12.65" customHeight="1" x14ac:dyDescent="0.35">
      <c r="A202" s="173" t="s">
        <v>339</v>
      </c>
      <c r="B202" s="174">
        <v>39940622</v>
      </c>
      <c r="C202" s="189">
        <v>71762</v>
      </c>
      <c r="D202" s="174">
        <v>156740</v>
      </c>
      <c r="E202" s="175">
        <f t="shared" si="10"/>
        <v>39855644</v>
      </c>
    </row>
    <row r="203" spans="1:8" ht="12.65" customHeight="1" x14ac:dyDescent="0.35">
      <c r="A203" s="173" t="s">
        <v>340</v>
      </c>
      <c r="B203" s="174">
        <v>24573853</v>
      </c>
      <c r="C203" s="189">
        <v>55099847</v>
      </c>
      <c r="D203" s="174">
        <v>46387444</v>
      </c>
      <c r="E203" s="175">
        <f t="shared" si="10"/>
        <v>33286256</v>
      </c>
    </row>
    <row r="204" spans="1:8" ht="12.65" customHeight="1" x14ac:dyDescent="0.35">
      <c r="A204" s="173" t="s">
        <v>203</v>
      </c>
      <c r="B204" s="175">
        <f>SUM(B195:B203)</f>
        <v>854334409.68000007</v>
      </c>
      <c r="C204" s="191">
        <f>SUM(C195:C203)</f>
        <v>97609645</v>
      </c>
      <c r="D204" s="175">
        <f>SUM(D195:D203)</f>
        <v>79503864</v>
      </c>
      <c r="E204" s="175">
        <f>SUM(E195:E203)</f>
        <v>872440190.68000007</v>
      </c>
    </row>
    <row r="205" spans="1:8" ht="12.65" customHeight="1" x14ac:dyDescent="0.35">
      <c r="A205" s="173"/>
      <c r="B205" s="173"/>
      <c r="C205" s="191"/>
      <c r="D205" s="175"/>
      <c r="E205" s="175"/>
    </row>
    <row r="206" spans="1:8" ht="12.65" customHeight="1" x14ac:dyDescent="0.35">
      <c r="A206" s="207" t="s">
        <v>341</v>
      </c>
      <c r="B206" s="207"/>
      <c r="C206" s="207"/>
      <c r="D206" s="207"/>
      <c r="E206" s="207"/>
    </row>
    <row r="207" spans="1:8" ht="12.65" customHeight="1" x14ac:dyDescent="0.35">
      <c r="A207" s="171"/>
      <c r="B207" s="170" t="s">
        <v>328</v>
      </c>
      <c r="C207" s="182" t="s">
        <v>329</v>
      </c>
      <c r="D207" s="170" t="s">
        <v>330</v>
      </c>
      <c r="E207" s="170" t="s">
        <v>331</v>
      </c>
      <c r="H207" s="259"/>
    </row>
    <row r="208" spans="1:8" ht="12.65" customHeight="1" x14ac:dyDescent="0.35">
      <c r="A208" s="173" t="s">
        <v>332</v>
      </c>
      <c r="B208" s="178"/>
      <c r="C208" s="193"/>
      <c r="D208" s="178"/>
      <c r="E208" s="175"/>
      <c r="H208" s="259"/>
    </row>
    <row r="209" spans="1:8" ht="12.65" customHeight="1" x14ac:dyDescent="0.35">
      <c r="A209" s="173" t="s">
        <v>333</v>
      </c>
      <c r="B209" s="174">
        <v>11308055</v>
      </c>
      <c r="C209" s="189">
        <v>355809</v>
      </c>
      <c r="D209" s="174">
        <v>2805</v>
      </c>
      <c r="E209" s="175">
        <f t="shared" ref="E209:E216" si="11">SUM(B209:C209)-D209</f>
        <v>11661059</v>
      </c>
      <c r="H209" s="259"/>
    </row>
    <row r="210" spans="1:8" ht="12.65" customHeight="1" x14ac:dyDescent="0.35">
      <c r="A210" s="173" t="s">
        <v>334</v>
      </c>
      <c r="B210" s="174">
        <v>182460179</v>
      </c>
      <c r="C210" s="189">
        <v>11974387</v>
      </c>
      <c r="D210" s="174">
        <v>683557</v>
      </c>
      <c r="E210" s="175">
        <f t="shared" si="11"/>
        <v>193751009</v>
      </c>
      <c r="H210" s="259"/>
    </row>
    <row r="211" spans="1:8" ht="12.65" customHeight="1" x14ac:dyDescent="0.35">
      <c r="A211" s="173" t="s">
        <v>335</v>
      </c>
      <c r="B211" s="174">
        <v>96254498</v>
      </c>
      <c r="C211" s="189">
        <v>4414448</v>
      </c>
      <c r="D211" s="174">
        <v>350948</v>
      </c>
      <c r="E211" s="175">
        <f t="shared" si="11"/>
        <v>100317998</v>
      </c>
      <c r="H211" s="259"/>
    </row>
    <row r="212" spans="1:8" ht="12.65" customHeight="1" x14ac:dyDescent="0.35">
      <c r="A212" s="173" t="s">
        <v>336</v>
      </c>
      <c r="B212" s="174">
        <v>21268</v>
      </c>
      <c r="C212" s="189">
        <v>530</v>
      </c>
      <c r="D212" s="174">
        <v>12522</v>
      </c>
      <c r="E212" s="175">
        <f t="shared" si="11"/>
        <v>9276</v>
      </c>
      <c r="H212" s="259"/>
    </row>
    <row r="213" spans="1:8" ht="12.65" customHeight="1" x14ac:dyDescent="0.35">
      <c r="A213" s="173" t="s">
        <v>337</v>
      </c>
      <c r="B213" s="174">
        <v>230163888</v>
      </c>
      <c r="C213" s="189">
        <v>19085474</v>
      </c>
      <c r="D213" s="174">
        <v>31274217</v>
      </c>
      <c r="E213" s="175">
        <f t="shared" si="11"/>
        <v>217975145</v>
      </c>
      <c r="H213" s="259"/>
    </row>
    <row r="214" spans="1:8" ht="12.65" customHeight="1" x14ac:dyDescent="0.35">
      <c r="A214" s="173" t="s">
        <v>338</v>
      </c>
      <c r="B214" s="174"/>
      <c r="C214" s="189"/>
      <c r="D214" s="174"/>
      <c r="E214" s="175">
        <f t="shared" si="11"/>
        <v>0</v>
      </c>
      <c r="H214" s="259"/>
    </row>
    <row r="215" spans="1:8" ht="12.65" customHeight="1" x14ac:dyDescent="0.35">
      <c r="A215" s="173" t="s">
        <v>339</v>
      </c>
      <c r="B215" s="174">
        <v>23969317</v>
      </c>
      <c r="C215" s="189">
        <v>2470979</v>
      </c>
      <c r="D215" s="174">
        <v>156740</v>
      </c>
      <c r="E215" s="175">
        <f t="shared" si="11"/>
        <v>26283556</v>
      </c>
      <c r="H215" s="259"/>
    </row>
    <row r="216" spans="1:8" ht="12.65" customHeight="1" x14ac:dyDescent="0.35">
      <c r="A216" s="173" t="s">
        <v>340</v>
      </c>
      <c r="B216" s="174"/>
      <c r="C216" s="189"/>
      <c r="D216" s="174"/>
      <c r="E216" s="175">
        <f t="shared" si="11"/>
        <v>0</v>
      </c>
      <c r="H216" s="259"/>
    </row>
    <row r="217" spans="1:8" ht="12.65" customHeight="1" x14ac:dyDescent="0.35">
      <c r="A217" s="173" t="s">
        <v>203</v>
      </c>
      <c r="B217" s="175">
        <f>SUM(B208:B216)</f>
        <v>544177205</v>
      </c>
      <c r="C217" s="191">
        <f>SUM(C208:C216)</f>
        <v>38301627</v>
      </c>
      <c r="D217" s="175">
        <f>SUM(D208:D216)</f>
        <v>32480789</v>
      </c>
      <c r="E217" s="175">
        <f>SUM(E208:E216)</f>
        <v>549998043</v>
      </c>
    </row>
    <row r="218" spans="1:8" ht="21.75" customHeight="1" x14ac:dyDescent="0.35">
      <c r="A218" s="173"/>
      <c r="B218" s="175"/>
      <c r="C218" s="191"/>
      <c r="D218" s="175"/>
      <c r="E218" s="175"/>
    </row>
    <row r="219" spans="1:8" ht="12.65" customHeight="1" x14ac:dyDescent="0.35">
      <c r="A219" s="208" t="s">
        <v>342</v>
      </c>
      <c r="B219" s="208"/>
      <c r="C219" s="208"/>
      <c r="D219" s="208"/>
      <c r="E219" s="208"/>
    </row>
    <row r="220" spans="1:8" ht="12.65" customHeight="1" x14ac:dyDescent="0.35">
      <c r="A220" s="208"/>
      <c r="B220" s="342" t="s">
        <v>1254</v>
      </c>
      <c r="C220" s="342"/>
      <c r="D220" s="208"/>
      <c r="E220" s="208"/>
    </row>
    <row r="221" spans="1:8" ht="12.65" customHeight="1" x14ac:dyDescent="0.35">
      <c r="A221" s="272" t="s">
        <v>1254</v>
      </c>
      <c r="B221" s="208"/>
      <c r="C221" s="189">
        <v>16930347</v>
      </c>
      <c r="D221" s="172">
        <f>C221</f>
        <v>16930347</v>
      </c>
      <c r="E221" s="208"/>
    </row>
    <row r="222" spans="1:8" ht="12.65" customHeight="1" x14ac:dyDescent="0.35">
      <c r="A222" s="257" t="s">
        <v>343</v>
      </c>
      <c r="B222" s="257"/>
      <c r="C222" s="257"/>
      <c r="D222" s="257"/>
      <c r="E222" s="257"/>
    </row>
    <row r="223" spans="1:8" ht="12.65" customHeight="1" x14ac:dyDescent="0.35">
      <c r="A223" s="173" t="s">
        <v>344</v>
      </c>
      <c r="B223" s="172" t="s">
        <v>256</v>
      </c>
      <c r="C223" s="189">
        <v>636075632</v>
      </c>
      <c r="D223" s="175"/>
      <c r="E223" s="175"/>
    </row>
    <row r="224" spans="1:8" ht="12.65" customHeight="1" x14ac:dyDescent="0.35">
      <c r="A224" s="173" t="s">
        <v>345</v>
      </c>
      <c r="B224" s="172" t="s">
        <v>256</v>
      </c>
      <c r="C224" s="189">
        <v>146018542</v>
      </c>
      <c r="D224" s="175"/>
      <c r="E224" s="175"/>
    </row>
    <row r="225" spans="1:5" ht="12.65" customHeight="1" x14ac:dyDescent="0.35">
      <c r="A225" s="173" t="s">
        <v>346</v>
      </c>
      <c r="B225" s="172" t="s">
        <v>256</v>
      </c>
      <c r="C225" s="189">
        <v>9103062</v>
      </c>
      <c r="D225" s="175"/>
      <c r="E225" s="175"/>
    </row>
    <row r="226" spans="1:5" ht="12.65" customHeight="1" x14ac:dyDescent="0.35">
      <c r="A226" s="173" t="s">
        <v>347</v>
      </c>
      <c r="B226" s="172" t="s">
        <v>256</v>
      </c>
      <c r="C226" s="189">
        <v>8198226</v>
      </c>
      <c r="D226" s="175"/>
      <c r="E226" s="175"/>
    </row>
    <row r="227" spans="1:5" ht="12.65" customHeight="1" x14ac:dyDescent="0.35">
      <c r="A227" s="173" t="s">
        <v>348</v>
      </c>
      <c r="B227" s="172" t="s">
        <v>256</v>
      </c>
      <c r="C227" s="189">
        <v>502508168</v>
      </c>
      <c r="D227" s="175"/>
      <c r="E227" s="175"/>
    </row>
    <row r="228" spans="1:5" ht="12.65" customHeight="1" x14ac:dyDescent="0.35">
      <c r="A228" s="173" t="s">
        <v>349</v>
      </c>
      <c r="B228" s="172" t="s">
        <v>256</v>
      </c>
      <c r="C228" s="189">
        <v>465710</v>
      </c>
      <c r="D228" s="175"/>
      <c r="E228" s="175"/>
    </row>
    <row r="229" spans="1:5" ht="12.65" customHeight="1" x14ac:dyDescent="0.35">
      <c r="A229" s="173" t="s">
        <v>350</v>
      </c>
      <c r="B229" s="175"/>
      <c r="C229" s="191"/>
      <c r="D229" s="175">
        <f>SUM(C223:C228)</f>
        <v>1302369340</v>
      </c>
      <c r="E229" s="175"/>
    </row>
    <row r="230" spans="1:5" ht="12.65" customHeight="1" x14ac:dyDescent="0.35">
      <c r="A230" s="257" t="s">
        <v>351</v>
      </c>
      <c r="B230" s="257"/>
      <c r="C230" s="257"/>
      <c r="D230" s="257"/>
      <c r="E230" s="257"/>
    </row>
    <row r="231" spans="1:5" ht="12.65" customHeight="1" x14ac:dyDescent="0.35">
      <c r="A231" s="171" t="s">
        <v>352</v>
      </c>
      <c r="B231" s="172" t="s">
        <v>256</v>
      </c>
      <c r="C231" s="189">
        <v>3855</v>
      </c>
      <c r="D231" s="175"/>
      <c r="E231" s="175"/>
    </row>
    <row r="232" spans="1:5" ht="12.65" customHeight="1" x14ac:dyDescent="0.35">
      <c r="A232" s="171"/>
      <c r="B232" s="172"/>
      <c r="C232" s="191"/>
      <c r="D232" s="175"/>
      <c r="E232" s="175"/>
    </row>
    <row r="233" spans="1:5" ht="12.65" customHeight="1" x14ac:dyDescent="0.35">
      <c r="A233" s="171" t="s">
        <v>353</v>
      </c>
      <c r="B233" s="172" t="s">
        <v>256</v>
      </c>
      <c r="C233" s="189">
        <v>3406539</v>
      </c>
      <c r="D233" s="175"/>
      <c r="E233" s="175"/>
    </row>
    <row r="234" spans="1:5" ht="12.65" customHeight="1" x14ac:dyDescent="0.35">
      <c r="A234" s="171" t="s">
        <v>354</v>
      </c>
      <c r="B234" s="172" t="s">
        <v>256</v>
      </c>
      <c r="C234" s="189">
        <v>5038549</v>
      </c>
      <c r="D234" s="175"/>
      <c r="E234" s="175"/>
    </row>
    <row r="235" spans="1:5" ht="12.65" customHeight="1" x14ac:dyDescent="0.35">
      <c r="A235" s="173"/>
      <c r="B235" s="175"/>
      <c r="C235" s="191"/>
      <c r="D235" s="175"/>
      <c r="E235" s="175"/>
    </row>
    <row r="236" spans="1:5" ht="12.65" customHeight="1" x14ac:dyDescent="0.35">
      <c r="A236" s="171" t="s">
        <v>355</v>
      </c>
      <c r="B236" s="175"/>
      <c r="C236" s="191"/>
      <c r="D236" s="175">
        <f>SUM(C233:C235)</f>
        <v>8445088</v>
      </c>
      <c r="E236" s="175"/>
    </row>
    <row r="237" spans="1:5" ht="12.65" customHeight="1" x14ac:dyDescent="0.35">
      <c r="A237" s="257" t="s">
        <v>356</v>
      </c>
      <c r="B237" s="257"/>
      <c r="C237" s="257"/>
      <c r="D237" s="257"/>
      <c r="E237" s="257"/>
    </row>
    <row r="238" spans="1:5" ht="12.65" customHeight="1" x14ac:dyDescent="0.35">
      <c r="A238" s="173" t="s">
        <v>357</v>
      </c>
      <c r="B238" s="172" t="s">
        <v>256</v>
      </c>
      <c r="C238" s="189">
        <v>4732488</v>
      </c>
      <c r="D238" s="175"/>
      <c r="E238" s="175"/>
    </row>
    <row r="239" spans="1:5" ht="12.65" customHeight="1" x14ac:dyDescent="0.35">
      <c r="A239" s="173" t="s">
        <v>356</v>
      </c>
      <c r="B239" s="172" t="s">
        <v>256</v>
      </c>
      <c r="C239" s="189"/>
      <c r="D239" s="175"/>
      <c r="E239" s="175"/>
    </row>
    <row r="240" spans="1:5" ht="12.65" customHeight="1" x14ac:dyDescent="0.35">
      <c r="A240" s="173" t="s">
        <v>358</v>
      </c>
      <c r="B240" s="175"/>
      <c r="C240" s="191"/>
      <c r="D240" s="175">
        <f>SUM(C238:C239)</f>
        <v>4732488</v>
      </c>
      <c r="E240" s="175"/>
    </row>
    <row r="241" spans="1:5" ht="12.65" customHeight="1" x14ac:dyDescent="0.35">
      <c r="A241" s="173"/>
      <c r="B241" s="175"/>
      <c r="C241" s="191"/>
      <c r="D241" s="175"/>
      <c r="E241" s="175"/>
    </row>
    <row r="242" spans="1:5" ht="12.65" customHeight="1" x14ac:dyDescent="0.35">
      <c r="A242" s="173" t="s">
        <v>359</v>
      </c>
      <c r="B242" s="175"/>
      <c r="C242" s="191"/>
      <c r="D242" s="175">
        <f>D221+D229+D236+D240</f>
        <v>1332477263</v>
      </c>
      <c r="E242" s="175"/>
    </row>
    <row r="243" spans="1:5" ht="12.65" customHeight="1" x14ac:dyDescent="0.35">
      <c r="A243" s="173"/>
      <c r="B243" s="173"/>
      <c r="C243" s="191"/>
      <c r="D243" s="175"/>
      <c r="E243" s="175"/>
    </row>
    <row r="244" spans="1:5" ht="12.65" customHeight="1" x14ac:dyDescent="0.35">
      <c r="A244" s="173"/>
      <c r="B244" s="173"/>
      <c r="C244" s="191"/>
      <c r="D244" s="175"/>
      <c r="E244" s="175"/>
    </row>
    <row r="245" spans="1:5" ht="12.65" customHeight="1" x14ac:dyDescent="0.35">
      <c r="A245" s="173"/>
      <c r="B245" s="173"/>
      <c r="C245" s="191"/>
      <c r="D245" s="175"/>
      <c r="E245" s="175"/>
    </row>
    <row r="246" spans="1:5" ht="12.65" customHeight="1" x14ac:dyDescent="0.35">
      <c r="A246" s="173"/>
      <c r="B246" s="173"/>
      <c r="C246" s="191"/>
      <c r="D246" s="175"/>
      <c r="E246" s="175"/>
    </row>
    <row r="247" spans="1:5" ht="21.75" customHeight="1" x14ac:dyDescent="0.35">
      <c r="A247" s="173"/>
      <c r="B247" s="173"/>
      <c r="C247" s="191"/>
      <c r="D247" s="175"/>
      <c r="E247" s="175"/>
    </row>
    <row r="248" spans="1:5" ht="12.65" customHeight="1" x14ac:dyDescent="0.35">
      <c r="A248" s="208" t="s">
        <v>360</v>
      </c>
      <c r="B248" s="208"/>
      <c r="C248" s="208"/>
      <c r="D248" s="208"/>
      <c r="E248" s="208"/>
    </row>
    <row r="249" spans="1:5" ht="11.25" customHeight="1" x14ac:dyDescent="0.35">
      <c r="A249" s="257" t="s">
        <v>361</v>
      </c>
      <c r="B249" s="257"/>
      <c r="C249" s="257"/>
      <c r="D249" s="257"/>
      <c r="E249" s="257"/>
    </row>
    <row r="250" spans="1:5" ht="12.65" customHeight="1" x14ac:dyDescent="0.35">
      <c r="A250" s="173" t="s">
        <v>362</v>
      </c>
      <c r="B250" s="172" t="s">
        <v>256</v>
      </c>
      <c r="C250" s="189">
        <v>121853533</v>
      </c>
      <c r="D250" s="175"/>
      <c r="E250" s="175"/>
    </row>
    <row r="251" spans="1:5" ht="12.65" customHeight="1" x14ac:dyDescent="0.35">
      <c r="A251" s="173" t="s">
        <v>363</v>
      </c>
      <c r="B251" s="172" t="s">
        <v>256</v>
      </c>
      <c r="C251" s="189"/>
      <c r="D251" s="175"/>
      <c r="E251" s="175"/>
    </row>
    <row r="252" spans="1:5" ht="12.65" customHeight="1" x14ac:dyDescent="0.35">
      <c r="A252" s="173" t="s">
        <v>364</v>
      </c>
      <c r="B252" s="172" t="s">
        <v>256</v>
      </c>
      <c r="C252" s="189">
        <v>344927595</v>
      </c>
      <c r="D252" s="175"/>
      <c r="E252" s="175"/>
    </row>
    <row r="253" spans="1:5" ht="12.65" customHeight="1" x14ac:dyDescent="0.35">
      <c r="A253" s="173" t="s">
        <v>365</v>
      </c>
      <c r="B253" s="172" t="s">
        <v>256</v>
      </c>
      <c r="C253" s="189">
        <v>230910979</v>
      </c>
      <c r="D253" s="175"/>
      <c r="E253" s="175"/>
    </row>
    <row r="254" spans="1:5" ht="12.65" customHeight="1" x14ac:dyDescent="0.35">
      <c r="A254" s="173" t="s">
        <v>1240</v>
      </c>
      <c r="B254" s="172" t="s">
        <v>256</v>
      </c>
      <c r="C254" s="189">
        <v>4893510</v>
      </c>
      <c r="D254" s="175"/>
      <c r="E254" s="175"/>
    </row>
    <row r="255" spans="1:5" ht="12.65" customHeight="1" x14ac:dyDescent="0.35">
      <c r="A255" s="173" t="s">
        <v>366</v>
      </c>
      <c r="B255" s="172" t="s">
        <v>256</v>
      </c>
      <c r="C255" s="189">
        <v>15858030</v>
      </c>
      <c r="D255" s="175"/>
      <c r="E255" s="175"/>
    </row>
    <row r="256" spans="1:5" ht="12.65" customHeight="1" x14ac:dyDescent="0.35">
      <c r="A256" s="173" t="s">
        <v>367</v>
      </c>
      <c r="B256" s="172" t="s">
        <v>256</v>
      </c>
      <c r="C256" s="189">
        <v>3797293</v>
      </c>
      <c r="D256" s="175"/>
      <c r="E256" s="175"/>
    </row>
    <row r="257" spans="1:5" ht="12.65" customHeight="1" x14ac:dyDescent="0.35">
      <c r="A257" s="173" t="s">
        <v>368</v>
      </c>
      <c r="B257" s="172" t="s">
        <v>256</v>
      </c>
      <c r="C257" s="189">
        <v>8096346</v>
      </c>
      <c r="D257" s="175"/>
      <c r="E257" s="175"/>
    </row>
    <row r="258" spans="1:5" ht="12.65" customHeight="1" x14ac:dyDescent="0.35">
      <c r="A258" s="173" t="s">
        <v>369</v>
      </c>
      <c r="B258" s="172" t="s">
        <v>256</v>
      </c>
      <c r="C258" s="189">
        <v>8710734</v>
      </c>
      <c r="D258" s="175"/>
      <c r="E258" s="175"/>
    </row>
    <row r="259" spans="1:5" ht="12.65" customHeight="1" x14ac:dyDescent="0.35">
      <c r="A259" s="173" t="s">
        <v>370</v>
      </c>
      <c r="B259" s="172" t="s">
        <v>256</v>
      </c>
      <c r="C259" s="189"/>
      <c r="D259" s="175"/>
      <c r="E259" s="175"/>
    </row>
    <row r="260" spans="1:5" ht="12.65" customHeight="1" x14ac:dyDescent="0.35">
      <c r="A260" s="173" t="s">
        <v>371</v>
      </c>
      <c r="B260" s="175"/>
      <c r="C260" s="191"/>
      <c r="D260" s="175">
        <f>SUM(C250:C252)-C253+SUM(C254:C259)</f>
        <v>277226062</v>
      </c>
      <c r="E260" s="175"/>
    </row>
    <row r="261" spans="1:5" ht="11.25" customHeight="1" x14ac:dyDescent="0.35">
      <c r="A261" s="257" t="s">
        <v>372</v>
      </c>
      <c r="B261" s="257"/>
      <c r="C261" s="257"/>
      <c r="D261" s="257"/>
      <c r="E261" s="257"/>
    </row>
    <row r="262" spans="1:5" ht="12.65" customHeight="1" x14ac:dyDescent="0.35">
      <c r="A262" s="173" t="s">
        <v>362</v>
      </c>
      <c r="B262" s="172" t="s">
        <v>256</v>
      </c>
      <c r="C262" s="189">
        <v>249874806</v>
      </c>
      <c r="D262" s="175"/>
      <c r="E262" s="175"/>
    </row>
    <row r="263" spans="1:5" ht="12.65" customHeight="1" x14ac:dyDescent="0.35">
      <c r="A263" s="173" t="s">
        <v>363</v>
      </c>
      <c r="B263" s="172" t="s">
        <v>256</v>
      </c>
      <c r="C263" s="189"/>
      <c r="D263" s="175"/>
      <c r="E263" s="175"/>
    </row>
    <row r="264" spans="1:5" ht="12.65" customHeight="1" x14ac:dyDescent="0.35">
      <c r="A264" s="173" t="s">
        <v>373</v>
      </c>
      <c r="B264" s="172" t="s">
        <v>256</v>
      </c>
      <c r="C264" s="189"/>
      <c r="D264" s="175"/>
      <c r="E264" s="175"/>
    </row>
    <row r="265" spans="1:5" ht="12.65" customHeight="1" x14ac:dyDescent="0.35">
      <c r="A265" s="173" t="s">
        <v>374</v>
      </c>
      <c r="B265" s="175"/>
      <c r="C265" s="191"/>
      <c r="D265" s="175">
        <f>SUM(C262:C264)</f>
        <v>249874806</v>
      </c>
      <c r="E265" s="175"/>
    </row>
    <row r="266" spans="1:5" ht="11.25" customHeight="1" x14ac:dyDescent="0.35">
      <c r="A266" s="257" t="s">
        <v>375</v>
      </c>
      <c r="B266" s="257"/>
      <c r="C266" s="257"/>
      <c r="D266" s="257"/>
      <c r="E266" s="257"/>
    </row>
    <row r="267" spans="1:5" ht="12.65" customHeight="1" x14ac:dyDescent="0.35">
      <c r="A267" s="173" t="s">
        <v>332</v>
      </c>
      <c r="B267" s="172" t="s">
        <v>256</v>
      </c>
      <c r="C267" s="189">
        <v>4913660</v>
      </c>
      <c r="D267" s="175"/>
      <c r="E267" s="175"/>
    </row>
    <row r="268" spans="1:5" ht="12.65" customHeight="1" x14ac:dyDescent="0.35">
      <c r="A268" s="173" t="s">
        <v>333</v>
      </c>
      <c r="B268" s="172" t="s">
        <v>256</v>
      </c>
      <c r="C268" s="189">
        <v>13121106</v>
      </c>
      <c r="D268" s="175"/>
      <c r="E268" s="175"/>
    </row>
    <row r="269" spans="1:5" ht="12.65" customHeight="1" x14ac:dyDescent="0.35">
      <c r="A269" s="173" t="s">
        <v>334</v>
      </c>
      <c r="B269" s="172" t="s">
        <v>256</v>
      </c>
      <c r="C269" s="189">
        <v>358326296</v>
      </c>
      <c r="D269" s="175"/>
      <c r="E269" s="175"/>
    </row>
    <row r="270" spans="1:5" ht="12.65" customHeight="1" x14ac:dyDescent="0.35">
      <c r="A270" s="173" t="s">
        <v>376</v>
      </c>
      <c r="B270" s="172" t="s">
        <v>256</v>
      </c>
      <c r="C270" s="189">
        <v>133768500</v>
      </c>
      <c r="D270" s="175"/>
      <c r="E270" s="175"/>
    </row>
    <row r="271" spans="1:5" ht="12.65" customHeight="1" x14ac:dyDescent="0.35">
      <c r="A271" s="173" t="s">
        <v>377</v>
      </c>
      <c r="B271" s="172" t="s">
        <v>256</v>
      </c>
      <c r="C271" s="189">
        <v>10601</v>
      </c>
      <c r="D271" s="175"/>
      <c r="E271" s="175"/>
    </row>
    <row r="272" spans="1:5" ht="12.65" customHeight="1" x14ac:dyDescent="0.35">
      <c r="A272" s="173" t="s">
        <v>378</v>
      </c>
      <c r="B272" s="172" t="s">
        <v>256</v>
      </c>
      <c r="C272" s="189">
        <v>293035773</v>
      </c>
      <c r="D272" s="175"/>
      <c r="E272" s="175"/>
    </row>
    <row r="273" spans="1:5" ht="12.65" customHeight="1" x14ac:dyDescent="0.35">
      <c r="A273" s="173" t="s">
        <v>339</v>
      </c>
      <c r="B273" s="172" t="s">
        <v>256</v>
      </c>
      <c r="C273" s="189">
        <v>39855644</v>
      </c>
      <c r="D273" s="175"/>
      <c r="E273" s="175"/>
    </row>
    <row r="274" spans="1:5" ht="12.65" customHeight="1" x14ac:dyDescent="0.35">
      <c r="A274" s="173" t="s">
        <v>340</v>
      </c>
      <c r="B274" s="172" t="s">
        <v>256</v>
      </c>
      <c r="C274" s="189">
        <v>33286255</v>
      </c>
      <c r="D274" s="175"/>
      <c r="E274" s="175"/>
    </row>
    <row r="275" spans="1:5" ht="12.65" customHeight="1" x14ac:dyDescent="0.35">
      <c r="A275" s="173" t="s">
        <v>379</v>
      </c>
      <c r="B275" s="175"/>
      <c r="C275" s="191"/>
      <c r="D275" s="175">
        <f>SUM(C267:C274)</f>
        <v>876317835</v>
      </c>
      <c r="E275" s="175"/>
    </row>
    <row r="276" spans="1:5" ht="12.65" customHeight="1" x14ac:dyDescent="0.35">
      <c r="A276" s="173" t="s">
        <v>380</v>
      </c>
      <c r="B276" s="172" t="s">
        <v>256</v>
      </c>
      <c r="C276" s="189">
        <v>549998043</v>
      </c>
      <c r="D276" s="175"/>
      <c r="E276" s="175"/>
    </row>
    <row r="277" spans="1:5" ht="12.65" customHeight="1" x14ac:dyDescent="0.35">
      <c r="A277" s="173" t="s">
        <v>381</v>
      </c>
      <c r="B277" s="175"/>
      <c r="C277" s="191"/>
      <c r="D277" s="175">
        <f>D275-C276</f>
        <v>326319792</v>
      </c>
      <c r="E277" s="175"/>
    </row>
    <row r="278" spans="1:5" ht="12.65" customHeight="1" x14ac:dyDescent="0.35">
      <c r="A278" s="257" t="s">
        <v>382</v>
      </c>
      <c r="B278" s="257"/>
      <c r="C278" s="257"/>
      <c r="D278" s="257"/>
      <c r="E278" s="257"/>
    </row>
    <row r="279" spans="1:5" ht="12.65" customHeight="1" x14ac:dyDescent="0.35">
      <c r="A279" s="173" t="s">
        <v>383</v>
      </c>
      <c r="B279" s="172" t="s">
        <v>256</v>
      </c>
      <c r="C279" s="189">
        <v>0</v>
      </c>
      <c r="D279" s="175"/>
      <c r="E279" s="175"/>
    </row>
    <row r="280" spans="1:5" ht="12.65" customHeight="1" x14ac:dyDescent="0.35">
      <c r="A280" s="173" t="s">
        <v>384</v>
      </c>
      <c r="B280" s="172" t="s">
        <v>256</v>
      </c>
      <c r="C280" s="189">
        <v>0</v>
      </c>
      <c r="D280" s="175"/>
      <c r="E280" s="175"/>
    </row>
    <row r="281" spans="1:5" ht="12.65" customHeight="1" x14ac:dyDescent="0.35">
      <c r="A281" s="173" t="s">
        <v>385</v>
      </c>
      <c r="B281" s="172" t="s">
        <v>256</v>
      </c>
      <c r="C281" s="189">
        <v>7885852</v>
      </c>
      <c r="D281" s="175"/>
      <c r="E281" s="175"/>
    </row>
    <row r="282" spans="1:5" ht="12.65" customHeight="1" x14ac:dyDescent="0.35">
      <c r="A282" s="173" t="s">
        <v>373</v>
      </c>
      <c r="B282" s="172" t="s">
        <v>256</v>
      </c>
      <c r="C282" s="189">
        <v>3417138</v>
      </c>
      <c r="D282" s="175"/>
      <c r="E282" s="175"/>
    </row>
    <row r="283" spans="1:5" ht="12.65" customHeight="1" x14ac:dyDescent="0.35">
      <c r="A283" s="173" t="s">
        <v>386</v>
      </c>
      <c r="B283" s="175"/>
      <c r="C283" s="191"/>
      <c r="D283" s="175">
        <f>C279-C280+C281+C282</f>
        <v>11302990</v>
      </c>
      <c r="E283" s="175"/>
    </row>
    <row r="284" spans="1:5" ht="12.65" customHeight="1" x14ac:dyDescent="0.35">
      <c r="A284" s="173"/>
      <c r="B284" s="175"/>
      <c r="C284" s="191"/>
      <c r="D284" s="175"/>
      <c r="E284" s="175"/>
    </row>
    <row r="285" spans="1:5" ht="12.65" customHeight="1" x14ac:dyDescent="0.35">
      <c r="A285" s="257" t="s">
        <v>387</v>
      </c>
      <c r="B285" s="257"/>
      <c r="C285" s="257"/>
      <c r="D285" s="257"/>
      <c r="E285" s="257"/>
    </row>
    <row r="286" spans="1:5" ht="12.65" customHeight="1" x14ac:dyDescent="0.35">
      <c r="A286" s="173" t="s">
        <v>388</v>
      </c>
      <c r="B286" s="172" t="s">
        <v>256</v>
      </c>
      <c r="C286" s="189">
        <v>24914365</v>
      </c>
      <c r="D286" s="175"/>
      <c r="E286" s="175"/>
    </row>
    <row r="287" spans="1:5" ht="12.65" customHeight="1" x14ac:dyDescent="0.35">
      <c r="A287" s="173" t="s">
        <v>389</v>
      </c>
      <c r="B287" s="172" t="s">
        <v>256</v>
      </c>
      <c r="C287" s="189">
        <v>0</v>
      </c>
      <c r="D287" s="175"/>
      <c r="E287" s="175"/>
    </row>
    <row r="288" spans="1:5" ht="12.65" customHeight="1" x14ac:dyDescent="0.35">
      <c r="A288" s="173" t="s">
        <v>390</v>
      </c>
      <c r="B288" s="172" t="s">
        <v>256</v>
      </c>
      <c r="C288" s="189">
        <v>0</v>
      </c>
      <c r="D288" s="175"/>
      <c r="E288" s="175"/>
    </row>
    <row r="289" spans="1:5" ht="12.65" customHeight="1" x14ac:dyDescent="0.35">
      <c r="A289" s="173" t="s">
        <v>391</v>
      </c>
      <c r="B289" s="172" t="s">
        <v>256</v>
      </c>
      <c r="C289" s="189">
        <v>0</v>
      </c>
      <c r="D289" s="175"/>
      <c r="E289" s="175"/>
    </row>
    <row r="290" spans="1:5" ht="12.65" customHeight="1" x14ac:dyDescent="0.35">
      <c r="A290" s="173" t="s">
        <v>392</v>
      </c>
      <c r="B290" s="175"/>
      <c r="C290" s="191"/>
      <c r="D290" s="175">
        <f>SUM(C286:C289)</f>
        <v>24914365</v>
      </c>
      <c r="E290" s="175"/>
    </row>
    <row r="291" spans="1:5" ht="12.65" customHeight="1" x14ac:dyDescent="0.35">
      <c r="A291" s="173"/>
      <c r="B291" s="175"/>
      <c r="C291" s="191"/>
      <c r="D291" s="175"/>
      <c r="E291" s="175"/>
    </row>
    <row r="292" spans="1:5" ht="12.65" customHeight="1" x14ac:dyDescent="0.35">
      <c r="A292" s="173" t="s">
        <v>393</v>
      </c>
      <c r="B292" s="175"/>
      <c r="C292" s="191"/>
      <c r="D292" s="175">
        <f>D260+D265+D277+D283+D290</f>
        <v>889638015</v>
      </c>
      <c r="E292" s="175"/>
    </row>
    <row r="293" spans="1:5" ht="12.65" customHeight="1" x14ac:dyDescent="0.35">
      <c r="A293" s="173"/>
      <c r="B293" s="173"/>
      <c r="C293" s="191"/>
      <c r="D293" s="175"/>
      <c r="E293" s="175"/>
    </row>
    <row r="294" spans="1:5" ht="12.65" customHeight="1" x14ac:dyDescent="0.35">
      <c r="A294" s="173"/>
      <c r="B294" s="173"/>
      <c r="C294" s="191"/>
      <c r="D294" s="175"/>
      <c r="E294" s="175"/>
    </row>
    <row r="295" spans="1:5" ht="12.65" customHeight="1" x14ac:dyDescent="0.35">
      <c r="A295" s="173"/>
      <c r="B295" s="173"/>
      <c r="C295" s="191"/>
      <c r="D295" s="175"/>
      <c r="E295" s="175"/>
    </row>
    <row r="296" spans="1:5" ht="12.65" customHeight="1" x14ac:dyDescent="0.35">
      <c r="A296" s="173"/>
      <c r="B296" s="173"/>
      <c r="C296" s="191"/>
      <c r="D296" s="175"/>
      <c r="E296" s="175"/>
    </row>
    <row r="297" spans="1:5" ht="12.65" customHeight="1" x14ac:dyDescent="0.35">
      <c r="A297" s="173"/>
      <c r="B297" s="173"/>
      <c r="C297" s="191"/>
      <c r="D297" s="175"/>
      <c r="E297" s="175"/>
    </row>
    <row r="298" spans="1:5" ht="12.65" customHeight="1" x14ac:dyDescent="0.35">
      <c r="A298" s="173"/>
      <c r="B298" s="173"/>
      <c r="C298" s="191"/>
      <c r="D298" s="175"/>
      <c r="E298" s="175"/>
    </row>
    <row r="299" spans="1:5" ht="12.65" customHeight="1" x14ac:dyDescent="0.35">
      <c r="A299" s="173"/>
      <c r="B299" s="173"/>
      <c r="C299" s="191"/>
      <c r="D299" s="175"/>
      <c r="E299" s="175"/>
    </row>
    <row r="300" spans="1:5" ht="12.65" customHeight="1" x14ac:dyDescent="0.35">
      <c r="A300" s="173"/>
      <c r="B300" s="173"/>
      <c r="C300" s="191"/>
      <c r="D300" s="175"/>
      <c r="E300" s="175"/>
    </row>
    <row r="301" spans="1:5" ht="20.25" customHeight="1" x14ac:dyDescent="0.35">
      <c r="A301" s="173"/>
      <c r="B301" s="173"/>
      <c r="C301" s="191"/>
      <c r="D301" s="175"/>
      <c r="E301" s="175"/>
    </row>
    <row r="302" spans="1:5" ht="12.65" customHeight="1" x14ac:dyDescent="0.35">
      <c r="A302" s="208" t="s">
        <v>394</v>
      </c>
      <c r="B302" s="208"/>
      <c r="C302" s="208"/>
      <c r="D302" s="208"/>
      <c r="E302" s="208"/>
    </row>
    <row r="303" spans="1:5" ht="14.25" customHeight="1" x14ac:dyDescent="0.35">
      <c r="A303" s="257" t="s">
        <v>395</v>
      </c>
      <c r="B303" s="257"/>
      <c r="C303" s="257"/>
      <c r="D303" s="257"/>
      <c r="E303" s="257"/>
    </row>
    <row r="304" spans="1:5" ht="12.65" customHeight="1" x14ac:dyDescent="0.35">
      <c r="A304" s="173" t="s">
        <v>396</v>
      </c>
      <c r="B304" s="172" t="s">
        <v>256</v>
      </c>
      <c r="C304" s="189">
        <v>0</v>
      </c>
      <c r="D304" s="175"/>
      <c r="E304" s="175"/>
    </row>
    <row r="305" spans="1:5" ht="12.65" customHeight="1" x14ac:dyDescent="0.35">
      <c r="A305" s="173" t="s">
        <v>397</v>
      </c>
      <c r="B305" s="172" t="s">
        <v>256</v>
      </c>
      <c r="C305" s="189">
        <v>34543779</v>
      </c>
      <c r="D305" s="175"/>
      <c r="E305" s="175"/>
    </row>
    <row r="306" spans="1:5" ht="12.65" customHeight="1" x14ac:dyDescent="0.35">
      <c r="A306" s="173" t="s">
        <v>398</v>
      </c>
      <c r="B306" s="172" t="s">
        <v>256</v>
      </c>
      <c r="C306" s="189">
        <v>53469901</v>
      </c>
      <c r="D306" s="175"/>
      <c r="E306" s="175"/>
    </row>
    <row r="307" spans="1:5" ht="12.65" customHeight="1" x14ac:dyDescent="0.35">
      <c r="A307" s="173" t="s">
        <v>399</v>
      </c>
      <c r="B307" s="172" t="s">
        <v>256</v>
      </c>
      <c r="C307" s="189">
        <v>731431</v>
      </c>
      <c r="D307" s="175"/>
      <c r="E307" s="175"/>
    </row>
    <row r="308" spans="1:5" ht="12.65" customHeight="1" x14ac:dyDescent="0.35">
      <c r="A308" s="173" t="s">
        <v>400</v>
      </c>
      <c r="B308" s="172" t="s">
        <v>256</v>
      </c>
      <c r="C308" s="189">
        <v>0</v>
      </c>
      <c r="D308" s="175"/>
      <c r="E308" s="175"/>
    </row>
    <row r="309" spans="1:5" ht="12.65" customHeight="1" x14ac:dyDescent="0.35">
      <c r="A309" s="173" t="s">
        <v>1241</v>
      </c>
      <c r="B309" s="172" t="s">
        <v>256</v>
      </c>
      <c r="C309" s="189">
        <v>7327761</v>
      </c>
      <c r="D309" s="175"/>
      <c r="E309" s="175"/>
    </row>
    <row r="310" spans="1:5" ht="12.65" customHeight="1" x14ac:dyDescent="0.35">
      <c r="A310" s="173" t="s">
        <v>401</v>
      </c>
      <c r="B310" s="172" t="s">
        <v>256</v>
      </c>
      <c r="C310" s="189">
        <v>0</v>
      </c>
      <c r="D310" s="175"/>
      <c r="E310" s="175"/>
    </row>
    <row r="311" spans="1:5" ht="12.65" customHeight="1" x14ac:dyDescent="0.35">
      <c r="A311" s="173" t="s">
        <v>402</v>
      </c>
      <c r="B311" s="172" t="s">
        <v>256</v>
      </c>
      <c r="C311" s="189">
        <v>0</v>
      </c>
      <c r="D311" s="175"/>
      <c r="E311" s="175"/>
    </row>
    <row r="312" spans="1:5" ht="12.65" customHeight="1" x14ac:dyDescent="0.35">
      <c r="A312" s="173" t="s">
        <v>403</v>
      </c>
      <c r="B312" s="172" t="s">
        <v>256</v>
      </c>
      <c r="C312" s="189">
        <v>1429161</v>
      </c>
      <c r="D312" s="175"/>
      <c r="E312" s="175"/>
    </row>
    <row r="313" spans="1:5" ht="12.65" customHeight="1" x14ac:dyDescent="0.35">
      <c r="A313" s="173" t="s">
        <v>404</v>
      </c>
      <c r="B313" s="172" t="s">
        <v>256</v>
      </c>
      <c r="C313" s="189">
        <v>15389095</v>
      </c>
      <c r="D313" s="175"/>
      <c r="E313" s="175"/>
    </row>
    <row r="314" spans="1:5" ht="12.65" customHeight="1" x14ac:dyDescent="0.35">
      <c r="A314" s="173" t="s">
        <v>405</v>
      </c>
      <c r="B314" s="175"/>
      <c r="C314" s="191"/>
      <c r="D314" s="175">
        <f>SUM(C304:C313)</f>
        <v>112891128</v>
      </c>
      <c r="E314" s="175"/>
    </row>
    <row r="315" spans="1:5" ht="12.65" customHeight="1" x14ac:dyDescent="0.35">
      <c r="A315" s="257" t="s">
        <v>406</v>
      </c>
      <c r="B315" s="257"/>
      <c r="C315" s="257"/>
      <c r="D315" s="257"/>
      <c r="E315" s="257"/>
    </row>
    <row r="316" spans="1:5" ht="12.65" customHeight="1" x14ac:dyDescent="0.35">
      <c r="A316" s="173" t="s">
        <v>407</v>
      </c>
      <c r="B316" s="172" t="s">
        <v>256</v>
      </c>
      <c r="C316" s="189">
        <v>0</v>
      </c>
      <c r="D316" s="175"/>
      <c r="E316" s="175"/>
    </row>
    <row r="317" spans="1:5" ht="12.65" customHeight="1" x14ac:dyDescent="0.35">
      <c r="A317" s="173" t="s">
        <v>408</v>
      </c>
      <c r="B317" s="172" t="s">
        <v>256</v>
      </c>
      <c r="C317" s="189">
        <v>31738822</v>
      </c>
      <c r="D317" s="175"/>
      <c r="E317" s="175"/>
    </row>
    <row r="318" spans="1:5" ht="12.65" customHeight="1" x14ac:dyDescent="0.35">
      <c r="A318" s="173" t="s">
        <v>409</v>
      </c>
      <c r="B318" s="172" t="s">
        <v>256</v>
      </c>
      <c r="C318" s="189">
        <v>1006585</v>
      </c>
      <c r="D318" s="175"/>
      <c r="E318" s="175"/>
    </row>
    <row r="319" spans="1:5" ht="12.65" customHeight="1" x14ac:dyDescent="0.35">
      <c r="A319" s="173" t="s">
        <v>410</v>
      </c>
      <c r="B319" s="175"/>
      <c r="C319" s="191"/>
      <c r="D319" s="175">
        <f>SUM(C316:C318)</f>
        <v>32745407</v>
      </c>
      <c r="E319" s="175"/>
    </row>
    <row r="320" spans="1:5" ht="12.65" customHeight="1" x14ac:dyDescent="0.35">
      <c r="A320" s="257" t="s">
        <v>411</v>
      </c>
      <c r="B320" s="257"/>
      <c r="C320" s="257"/>
      <c r="D320" s="257"/>
      <c r="E320" s="257"/>
    </row>
    <row r="321" spans="1:5" ht="12.65" customHeight="1" x14ac:dyDescent="0.35">
      <c r="A321" s="173" t="s">
        <v>412</v>
      </c>
      <c r="B321" s="172" t="s">
        <v>256</v>
      </c>
      <c r="C321" s="189">
        <v>0</v>
      </c>
      <c r="D321" s="175"/>
      <c r="E321" s="175"/>
    </row>
    <row r="322" spans="1:5" ht="12.65" customHeight="1" x14ac:dyDescent="0.35">
      <c r="A322" s="173" t="s">
        <v>413</v>
      </c>
      <c r="B322" s="172" t="s">
        <v>256</v>
      </c>
      <c r="C322" s="189">
        <v>0</v>
      </c>
      <c r="D322" s="175"/>
      <c r="E322" s="175"/>
    </row>
    <row r="323" spans="1:5" ht="12.65" customHeight="1" x14ac:dyDescent="0.35">
      <c r="A323" s="173" t="s">
        <v>414</v>
      </c>
      <c r="B323" s="172" t="s">
        <v>256</v>
      </c>
      <c r="C323" s="189">
        <v>0</v>
      </c>
      <c r="D323" s="175"/>
      <c r="E323" s="175"/>
    </row>
    <row r="324" spans="1:5" ht="12.65" customHeight="1" x14ac:dyDescent="0.35">
      <c r="A324" s="171" t="s">
        <v>415</v>
      </c>
      <c r="B324" s="172" t="s">
        <v>256</v>
      </c>
      <c r="C324" s="189">
        <v>6048982</v>
      </c>
      <c r="D324" s="175"/>
      <c r="E324" s="175"/>
    </row>
    <row r="325" spans="1:5" ht="12.65" customHeight="1" x14ac:dyDescent="0.35">
      <c r="A325" s="173" t="s">
        <v>416</v>
      </c>
      <c r="B325" s="172" t="s">
        <v>256</v>
      </c>
      <c r="C325" s="189">
        <v>278870835</v>
      </c>
      <c r="D325" s="175"/>
      <c r="E325" s="175"/>
    </row>
    <row r="326" spans="1:5" ht="12.65" customHeight="1" x14ac:dyDescent="0.35">
      <c r="A326" s="171" t="s">
        <v>417</v>
      </c>
      <c r="B326" s="172" t="s">
        <v>256</v>
      </c>
      <c r="C326" s="189">
        <v>0</v>
      </c>
      <c r="D326" s="175"/>
      <c r="E326" s="175"/>
    </row>
    <row r="327" spans="1:5" ht="12.65" customHeight="1" x14ac:dyDescent="0.35">
      <c r="A327" s="173" t="s">
        <v>418</v>
      </c>
      <c r="B327" s="172" t="s">
        <v>256</v>
      </c>
      <c r="C327" s="189">
        <v>18752134</v>
      </c>
      <c r="D327" s="175"/>
      <c r="E327" s="175"/>
    </row>
    <row r="328" spans="1:5" ht="19.5" customHeight="1" x14ac:dyDescent="0.35">
      <c r="A328" s="173" t="s">
        <v>203</v>
      </c>
      <c r="B328" s="175"/>
      <c r="C328" s="191"/>
      <c r="D328" s="175">
        <f>SUM(C321:C327)</f>
        <v>303671951</v>
      </c>
      <c r="E328" s="175"/>
    </row>
    <row r="329" spans="1:5" ht="12.65" customHeight="1" x14ac:dyDescent="0.35">
      <c r="A329" s="173" t="s">
        <v>419</v>
      </c>
      <c r="B329" s="175"/>
      <c r="C329" s="191"/>
      <c r="D329" s="175">
        <f>C313</f>
        <v>15389095</v>
      </c>
      <c r="E329" s="175"/>
    </row>
    <row r="330" spans="1:5" ht="12.65" customHeight="1" x14ac:dyDescent="0.35">
      <c r="A330" s="173" t="s">
        <v>420</v>
      </c>
      <c r="B330" s="175"/>
      <c r="C330" s="191"/>
      <c r="D330" s="175">
        <f>D328-D329</f>
        <v>288282856</v>
      </c>
      <c r="E330" s="175"/>
    </row>
    <row r="331" spans="1:5" ht="12.65" customHeight="1" x14ac:dyDescent="0.35">
      <c r="A331" s="173"/>
      <c r="B331" s="175"/>
      <c r="C331" s="191"/>
      <c r="D331" s="175"/>
      <c r="E331" s="175"/>
    </row>
    <row r="332" spans="1:5" ht="12.65" customHeight="1" x14ac:dyDescent="0.35">
      <c r="A332" s="173" t="s">
        <v>421</v>
      </c>
      <c r="B332" s="172" t="s">
        <v>256</v>
      </c>
      <c r="C332" s="222">
        <v>455718624</v>
      </c>
      <c r="D332" s="175"/>
      <c r="E332" s="175"/>
    </row>
    <row r="333" spans="1:5" ht="12.65" customHeight="1" x14ac:dyDescent="0.35">
      <c r="A333" s="173"/>
      <c r="B333" s="172"/>
      <c r="C333" s="231"/>
      <c r="D333" s="175"/>
      <c r="E333" s="175"/>
    </row>
    <row r="334" spans="1:5" ht="12.65" customHeight="1" x14ac:dyDescent="0.35">
      <c r="A334" s="173" t="s">
        <v>1142</v>
      </c>
      <c r="B334" s="172" t="s">
        <v>256</v>
      </c>
      <c r="C334" s="222">
        <v>0</v>
      </c>
      <c r="D334" s="175"/>
      <c r="E334" s="175"/>
    </row>
    <row r="335" spans="1:5" ht="12.65" customHeight="1" x14ac:dyDescent="0.35">
      <c r="A335" s="173" t="s">
        <v>1143</v>
      </c>
      <c r="B335" s="172" t="s">
        <v>256</v>
      </c>
      <c r="C335" s="222">
        <v>0</v>
      </c>
      <c r="D335" s="175"/>
      <c r="E335" s="175"/>
    </row>
    <row r="336" spans="1:5" ht="12.65" customHeight="1" x14ac:dyDescent="0.35">
      <c r="A336" s="173" t="s">
        <v>423</v>
      </c>
      <c r="B336" s="172" t="s">
        <v>256</v>
      </c>
      <c r="C336" s="222">
        <v>0</v>
      </c>
      <c r="D336" s="175"/>
      <c r="E336" s="175"/>
    </row>
    <row r="337" spans="1:5" ht="12.65" customHeight="1" x14ac:dyDescent="0.35">
      <c r="A337" s="173" t="s">
        <v>422</v>
      </c>
      <c r="B337" s="172" t="s">
        <v>256</v>
      </c>
      <c r="C337" s="189">
        <v>0</v>
      </c>
      <c r="D337" s="175"/>
      <c r="E337" s="175"/>
    </row>
    <row r="338" spans="1:5" ht="12.65" customHeight="1" x14ac:dyDescent="0.35">
      <c r="A338" s="173" t="s">
        <v>1252</v>
      </c>
      <c r="B338" s="172" t="s">
        <v>256</v>
      </c>
      <c r="C338" s="189">
        <v>0</v>
      </c>
      <c r="D338" s="175"/>
      <c r="E338" s="175"/>
    </row>
    <row r="339" spans="1:5" ht="12.65" customHeight="1" x14ac:dyDescent="0.35">
      <c r="A339" s="173" t="s">
        <v>424</v>
      </c>
      <c r="B339" s="175"/>
      <c r="C339" s="191"/>
      <c r="D339" s="175">
        <f>D314+D319+D330+C332+C336+C337</f>
        <v>889638015</v>
      </c>
      <c r="E339" s="175"/>
    </row>
    <row r="340" spans="1:5" ht="12.65" customHeight="1" x14ac:dyDescent="0.35">
      <c r="A340" s="173"/>
      <c r="B340" s="175"/>
      <c r="C340" s="191"/>
      <c r="D340" s="175"/>
      <c r="E340" s="175"/>
    </row>
    <row r="341" spans="1:5" ht="12.65" customHeight="1" x14ac:dyDescent="0.35">
      <c r="A341" s="173" t="s">
        <v>425</v>
      </c>
      <c r="B341" s="175"/>
      <c r="C341" s="191"/>
      <c r="D341" s="175">
        <f>D292</f>
        <v>889638015</v>
      </c>
      <c r="E341" s="175"/>
    </row>
    <row r="342" spans="1:5" ht="12.65" customHeight="1" x14ac:dyDescent="0.35">
      <c r="A342" s="173"/>
      <c r="B342" s="173"/>
      <c r="C342" s="191"/>
      <c r="D342" s="175"/>
      <c r="E342" s="175"/>
    </row>
    <row r="343" spans="1:5" ht="12.65" customHeight="1" x14ac:dyDescent="0.35">
      <c r="A343" s="173"/>
      <c r="B343" s="173"/>
      <c r="C343" s="191"/>
      <c r="D343" s="175"/>
      <c r="E343" s="175"/>
    </row>
    <row r="344" spans="1:5" ht="12.65" customHeight="1" x14ac:dyDescent="0.35">
      <c r="A344" s="173"/>
      <c r="B344" s="173"/>
      <c r="C344" s="191"/>
      <c r="D344" s="175"/>
      <c r="E344" s="175"/>
    </row>
    <row r="345" spans="1:5" ht="12.65" customHeight="1" x14ac:dyDescent="0.35">
      <c r="A345" s="173"/>
      <c r="B345" s="173"/>
      <c r="C345" s="191"/>
      <c r="D345" s="175"/>
      <c r="E345" s="175"/>
    </row>
    <row r="346" spans="1:5" ht="12.65" customHeight="1" x14ac:dyDescent="0.35">
      <c r="A346" s="173"/>
      <c r="B346" s="173"/>
      <c r="C346" s="191"/>
      <c r="D346" s="175"/>
      <c r="E346" s="175"/>
    </row>
    <row r="347" spans="1:5" ht="12.65" customHeight="1" x14ac:dyDescent="0.35">
      <c r="A347" s="173"/>
      <c r="B347" s="173"/>
      <c r="C347" s="191"/>
      <c r="D347" s="175"/>
      <c r="E347" s="175"/>
    </row>
    <row r="348" spans="1:5" ht="12.65" customHeight="1" x14ac:dyDescent="0.35">
      <c r="A348" s="173"/>
      <c r="B348" s="173"/>
      <c r="C348" s="191"/>
      <c r="D348" s="175"/>
      <c r="E348" s="175"/>
    </row>
    <row r="349" spans="1:5" ht="12.65" customHeight="1" x14ac:dyDescent="0.35">
      <c r="A349" s="173"/>
      <c r="B349" s="173"/>
      <c r="C349" s="191"/>
      <c r="D349" s="175"/>
      <c r="E349" s="175"/>
    </row>
    <row r="350" spans="1:5" ht="12.65" customHeight="1" x14ac:dyDescent="0.35">
      <c r="A350" s="173"/>
      <c r="B350" s="173"/>
      <c r="C350" s="191"/>
      <c r="D350" s="175"/>
      <c r="E350" s="175"/>
    </row>
    <row r="351" spans="1:5" ht="12.65" customHeight="1" x14ac:dyDescent="0.35">
      <c r="A351" s="173"/>
      <c r="B351" s="173"/>
      <c r="C351" s="191"/>
      <c r="D351" s="175"/>
      <c r="E351" s="175"/>
    </row>
    <row r="352" spans="1:5" ht="12.65" customHeight="1" x14ac:dyDescent="0.35">
      <c r="A352" s="173"/>
      <c r="B352" s="173"/>
      <c r="C352" s="191"/>
      <c r="D352" s="175"/>
      <c r="E352" s="175"/>
    </row>
    <row r="353" spans="1:5" ht="12.65" customHeight="1" x14ac:dyDescent="0.35">
      <c r="A353" s="173"/>
      <c r="B353" s="173"/>
      <c r="C353" s="191"/>
      <c r="D353" s="175"/>
      <c r="E353" s="175"/>
    </row>
    <row r="354" spans="1:5" ht="12.65" customHeight="1" x14ac:dyDescent="0.35">
      <c r="A354" s="173"/>
      <c r="B354" s="173"/>
      <c r="C354" s="191"/>
      <c r="D354" s="175"/>
      <c r="E354" s="175"/>
    </row>
    <row r="355" spans="1:5" ht="12.65" customHeight="1" x14ac:dyDescent="0.35">
      <c r="A355" s="173"/>
      <c r="B355" s="173"/>
      <c r="C355" s="191"/>
      <c r="D355" s="175"/>
      <c r="E355" s="175"/>
    </row>
    <row r="356" spans="1:5" ht="20.25" customHeight="1" x14ac:dyDescent="0.35">
      <c r="A356" s="173"/>
      <c r="B356" s="173"/>
      <c r="C356" s="191"/>
      <c r="D356" s="175"/>
      <c r="E356" s="175"/>
    </row>
    <row r="357" spans="1:5" ht="12.65" customHeight="1" x14ac:dyDescent="0.35">
      <c r="A357" s="208" t="s">
        <v>426</v>
      </c>
      <c r="B357" s="208"/>
      <c r="C357" s="208"/>
      <c r="D357" s="208"/>
      <c r="E357" s="208"/>
    </row>
    <row r="358" spans="1:5" ht="12.65" customHeight="1" x14ac:dyDescent="0.35">
      <c r="A358" s="257" t="s">
        <v>427</v>
      </c>
      <c r="B358" s="257"/>
      <c r="C358" s="257"/>
      <c r="D358" s="257"/>
      <c r="E358" s="257"/>
    </row>
    <row r="359" spans="1:5" ht="12.65" customHeight="1" x14ac:dyDescent="0.35">
      <c r="A359" s="173" t="s">
        <v>428</v>
      </c>
      <c r="B359" s="172" t="s">
        <v>256</v>
      </c>
      <c r="C359" s="189">
        <v>847495317</v>
      </c>
      <c r="D359" s="175"/>
      <c r="E359" s="175"/>
    </row>
    <row r="360" spans="1:5" ht="12.65" customHeight="1" x14ac:dyDescent="0.35">
      <c r="A360" s="173" t="s">
        <v>429</v>
      </c>
      <c r="B360" s="172" t="s">
        <v>256</v>
      </c>
      <c r="C360" s="189">
        <v>1253514560</v>
      </c>
      <c r="D360" s="175"/>
      <c r="E360" s="175"/>
    </row>
    <row r="361" spans="1:5" ht="12.65" customHeight="1" x14ac:dyDescent="0.35">
      <c r="A361" s="173" t="s">
        <v>430</v>
      </c>
      <c r="B361" s="175"/>
      <c r="C361" s="191"/>
      <c r="D361" s="175">
        <f>SUM(C359:C360)</f>
        <v>2101009877</v>
      </c>
      <c r="E361" s="175"/>
    </row>
    <row r="362" spans="1:5" ht="12.65" customHeight="1" x14ac:dyDescent="0.35">
      <c r="A362" s="257" t="s">
        <v>431</v>
      </c>
      <c r="B362" s="257"/>
      <c r="C362" s="257"/>
      <c r="D362" s="257"/>
      <c r="E362" s="257"/>
    </row>
    <row r="363" spans="1:5" ht="12.65" customHeight="1" x14ac:dyDescent="0.35">
      <c r="A363" s="173" t="s">
        <v>1254</v>
      </c>
      <c r="B363" s="257"/>
      <c r="C363" s="189">
        <v>16930347</v>
      </c>
      <c r="D363" s="175"/>
      <c r="E363" s="257"/>
    </row>
    <row r="364" spans="1:5" ht="12.65" customHeight="1" x14ac:dyDescent="0.35">
      <c r="A364" s="173" t="s">
        <v>432</v>
      </c>
      <c r="B364" s="172" t="s">
        <v>256</v>
      </c>
      <c r="C364" s="189">
        <v>1302369341</v>
      </c>
      <c r="D364" s="175"/>
      <c r="E364" s="175"/>
    </row>
    <row r="365" spans="1:5" ht="12.65" customHeight="1" x14ac:dyDescent="0.35">
      <c r="A365" s="173" t="s">
        <v>433</v>
      </c>
      <c r="B365" s="172" t="s">
        <v>256</v>
      </c>
      <c r="C365" s="189">
        <v>8445088</v>
      </c>
      <c r="D365" s="175"/>
      <c r="E365" s="175"/>
    </row>
    <row r="366" spans="1:5" ht="12.65" customHeight="1" x14ac:dyDescent="0.35">
      <c r="A366" s="173" t="s">
        <v>434</v>
      </c>
      <c r="B366" s="172" t="s">
        <v>256</v>
      </c>
      <c r="C366" s="189">
        <v>4732488</v>
      </c>
      <c r="D366" s="175"/>
      <c r="E366" s="175"/>
    </row>
    <row r="367" spans="1:5" ht="12.65" customHeight="1" x14ac:dyDescent="0.35">
      <c r="A367" s="173" t="s">
        <v>359</v>
      </c>
      <c r="B367" s="175"/>
      <c r="C367" s="191"/>
      <c r="D367" s="175">
        <f>SUM(C363:C366)</f>
        <v>1332477264</v>
      </c>
      <c r="E367" s="175"/>
    </row>
    <row r="368" spans="1:5" ht="12.65" customHeight="1" x14ac:dyDescent="0.35">
      <c r="A368" s="173" t="s">
        <v>435</v>
      </c>
      <c r="B368" s="175"/>
      <c r="C368" s="191"/>
      <c r="D368" s="175">
        <f>D361-D367</f>
        <v>768532613</v>
      </c>
      <c r="E368" s="175"/>
    </row>
    <row r="369" spans="1:5" ht="12.65" customHeight="1" x14ac:dyDescent="0.35">
      <c r="A369" s="257" t="s">
        <v>436</v>
      </c>
      <c r="B369" s="257"/>
      <c r="C369" s="257"/>
      <c r="D369" s="257"/>
      <c r="E369" s="257"/>
    </row>
    <row r="370" spans="1:5" ht="12.65" customHeight="1" x14ac:dyDescent="0.35">
      <c r="A370" s="173" t="s">
        <v>437</v>
      </c>
      <c r="B370" s="172" t="s">
        <v>256</v>
      </c>
      <c r="C370" s="189">
        <v>52999500</v>
      </c>
      <c r="D370" s="175"/>
      <c r="E370" s="175"/>
    </row>
    <row r="371" spans="1:5" ht="12.65" customHeight="1" x14ac:dyDescent="0.35">
      <c r="A371" s="173" t="s">
        <v>438</v>
      </c>
      <c r="B371" s="172" t="s">
        <v>256</v>
      </c>
      <c r="C371" s="189">
        <v>27967605</v>
      </c>
      <c r="D371" s="175"/>
      <c r="E371" s="175"/>
    </row>
    <row r="372" spans="1:5" ht="12.65" customHeight="1" x14ac:dyDescent="0.35">
      <c r="A372" s="173" t="s">
        <v>439</v>
      </c>
      <c r="B372" s="175"/>
      <c r="C372" s="191"/>
      <c r="D372" s="175">
        <f>SUM(C370:C371)</f>
        <v>80967105</v>
      </c>
      <c r="E372" s="175"/>
    </row>
    <row r="373" spans="1:5" ht="12.65" customHeight="1" x14ac:dyDescent="0.35">
      <c r="A373" s="173" t="s">
        <v>440</v>
      </c>
      <c r="B373" s="175"/>
      <c r="C373" s="191"/>
      <c r="D373" s="175">
        <f>D368+D372</f>
        <v>849499718</v>
      </c>
      <c r="E373" s="175"/>
    </row>
    <row r="374" spans="1:5" ht="12.65" customHeight="1" x14ac:dyDescent="0.35">
      <c r="A374" s="173"/>
      <c r="B374" s="175"/>
      <c r="C374" s="191"/>
      <c r="D374" s="175"/>
      <c r="E374" s="175"/>
    </row>
    <row r="375" spans="1:5" ht="12.65" customHeight="1" x14ac:dyDescent="0.35">
      <c r="A375" s="173"/>
      <c r="B375" s="175"/>
      <c r="C375" s="191"/>
      <c r="D375" s="175"/>
      <c r="E375" s="175"/>
    </row>
    <row r="376" spans="1:5" ht="12.65" customHeight="1" x14ac:dyDescent="0.35">
      <c r="A376" s="173"/>
      <c r="B376" s="175"/>
      <c r="C376" s="191"/>
      <c r="D376" s="175"/>
      <c r="E376" s="175"/>
    </row>
    <row r="377" spans="1:5" ht="12.65" customHeight="1" x14ac:dyDescent="0.35">
      <c r="A377" s="257" t="s">
        <v>441</v>
      </c>
      <c r="B377" s="257"/>
      <c r="C377" s="257"/>
      <c r="D377" s="257"/>
      <c r="E377" s="257"/>
    </row>
    <row r="378" spans="1:5" ht="12.65" customHeight="1" x14ac:dyDescent="0.35">
      <c r="A378" s="173" t="s">
        <v>442</v>
      </c>
      <c r="B378" s="172" t="s">
        <v>256</v>
      </c>
      <c r="C378" s="189">
        <v>454782941</v>
      </c>
      <c r="D378" s="175"/>
      <c r="E378" s="175"/>
    </row>
    <row r="379" spans="1:5" ht="12.65" customHeight="1" x14ac:dyDescent="0.35">
      <c r="A379" s="173" t="s">
        <v>3</v>
      </c>
      <c r="B379" s="172" t="s">
        <v>256</v>
      </c>
      <c r="C379" s="189">
        <v>102427735</v>
      </c>
      <c r="D379" s="175"/>
      <c r="E379" s="175"/>
    </row>
    <row r="380" spans="1:5" ht="12.65" customHeight="1" x14ac:dyDescent="0.35">
      <c r="A380" s="173" t="s">
        <v>236</v>
      </c>
      <c r="B380" s="172" t="s">
        <v>256</v>
      </c>
      <c r="C380" s="189">
        <v>19523451</v>
      </c>
      <c r="D380" s="175"/>
      <c r="E380" s="175"/>
    </row>
    <row r="381" spans="1:5" ht="12.65" customHeight="1" x14ac:dyDescent="0.35">
      <c r="A381" s="173" t="s">
        <v>443</v>
      </c>
      <c r="B381" s="172" t="s">
        <v>256</v>
      </c>
      <c r="C381" s="189">
        <v>109418061</v>
      </c>
      <c r="D381" s="175"/>
      <c r="E381" s="175"/>
    </row>
    <row r="382" spans="1:5" ht="12.65" customHeight="1" x14ac:dyDescent="0.35">
      <c r="A382" s="173" t="s">
        <v>444</v>
      </c>
      <c r="B382" s="172" t="s">
        <v>256</v>
      </c>
      <c r="C382" s="189">
        <v>6832969</v>
      </c>
      <c r="D382" s="175"/>
      <c r="E382" s="175"/>
    </row>
    <row r="383" spans="1:5" ht="12.65" customHeight="1" x14ac:dyDescent="0.35">
      <c r="A383" s="173" t="s">
        <v>445</v>
      </c>
      <c r="B383" s="172" t="s">
        <v>256</v>
      </c>
      <c r="C383" s="189">
        <v>64778714</v>
      </c>
      <c r="D383" s="175"/>
      <c r="E383" s="175"/>
    </row>
    <row r="384" spans="1:5" ht="12.65" customHeight="1" x14ac:dyDescent="0.35">
      <c r="A384" s="173" t="s">
        <v>6</v>
      </c>
      <c r="B384" s="172" t="s">
        <v>256</v>
      </c>
      <c r="C384" s="189">
        <v>37830757</v>
      </c>
      <c r="D384" s="175"/>
      <c r="E384" s="175"/>
    </row>
    <row r="385" spans="1:6" ht="12.65" customHeight="1" x14ac:dyDescent="0.35">
      <c r="A385" s="173" t="s">
        <v>446</v>
      </c>
      <c r="B385" s="172" t="s">
        <v>256</v>
      </c>
      <c r="C385" s="189">
        <v>16779791</v>
      </c>
      <c r="D385" s="175"/>
      <c r="E385" s="175"/>
    </row>
    <row r="386" spans="1:6" ht="12.65" customHeight="1" x14ac:dyDescent="0.35">
      <c r="A386" s="173" t="s">
        <v>447</v>
      </c>
      <c r="B386" s="172" t="s">
        <v>256</v>
      </c>
      <c r="C386" s="189">
        <v>3244996</v>
      </c>
      <c r="D386" s="175"/>
      <c r="E386" s="175"/>
    </row>
    <row r="387" spans="1:6" ht="12.65" customHeight="1" x14ac:dyDescent="0.35">
      <c r="A387" s="173" t="s">
        <v>448</v>
      </c>
      <c r="B387" s="172" t="s">
        <v>256</v>
      </c>
      <c r="C387" s="189">
        <v>7272608</v>
      </c>
      <c r="D387" s="175"/>
      <c r="E387" s="175"/>
    </row>
    <row r="388" spans="1:6" ht="12.65" customHeight="1" x14ac:dyDescent="0.35">
      <c r="A388" s="173" t="s">
        <v>449</v>
      </c>
      <c r="B388" s="172" t="s">
        <v>256</v>
      </c>
      <c r="C388" s="189">
        <v>9081161</v>
      </c>
      <c r="D388" s="175"/>
      <c r="E388" s="175"/>
    </row>
    <row r="389" spans="1:6" ht="12.65" customHeight="1" x14ac:dyDescent="0.35">
      <c r="A389" s="173" t="s">
        <v>451</v>
      </c>
      <c r="B389" s="172" t="s">
        <v>256</v>
      </c>
      <c r="C389" s="189">
        <v>11183462</v>
      </c>
      <c r="D389" s="175"/>
      <c r="E389" s="175"/>
    </row>
    <row r="390" spans="1:6" ht="12.65" customHeight="1" x14ac:dyDescent="0.35">
      <c r="A390" s="173" t="s">
        <v>452</v>
      </c>
      <c r="B390" s="175"/>
      <c r="C390" s="191"/>
      <c r="D390" s="175">
        <f>SUM(C378:C389)</f>
        <v>843156646</v>
      </c>
      <c r="E390" s="175"/>
    </row>
    <row r="391" spans="1:6" ht="12.65" customHeight="1" x14ac:dyDescent="0.35">
      <c r="A391" s="173" t="s">
        <v>453</v>
      </c>
      <c r="B391" s="175"/>
      <c r="C391" s="191"/>
      <c r="D391" s="175">
        <f>D373-D390</f>
        <v>6343072</v>
      </c>
      <c r="E391" s="175"/>
    </row>
    <row r="392" spans="1:6" ht="12.65" customHeight="1" x14ac:dyDescent="0.35">
      <c r="A392" s="173" t="s">
        <v>454</v>
      </c>
      <c r="B392" s="172" t="s">
        <v>256</v>
      </c>
      <c r="C392" s="189">
        <v>5307505</v>
      </c>
      <c r="D392" s="175"/>
      <c r="E392" s="175"/>
    </row>
    <row r="393" spans="1:6" ht="12.65" customHeight="1" x14ac:dyDescent="0.35">
      <c r="A393" s="173" t="s">
        <v>455</v>
      </c>
      <c r="B393" s="175"/>
      <c r="C393" s="191"/>
      <c r="D393" s="195">
        <f>D391+C392</f>
        <v>11650577</v>
      </c>
      <c r="E393" s="175"/>
      <c r="F393" s="197"/>
    </row>
    <row r="394" spans="1:6" ht="12.65" customHeight="1" x14ac:dyDescent="0.35">
      <c r="A394" s="173" t="s">
        <v>456</v>
      </c>
      <c r="B394" s="172" t="s">
        <v>256</v>
      </c>
      <c r="C394" s="189">
        <v>0</v>
      </c>
      <c r="D394" s="175"/>
      <c r="E394" s="175"/>
    </row>
    <row r="395" spans="1:6" ht="12.65" customHeight="1" x14ac:dyDescent="0.35">
      <c r="A395" s="173" t="s">
        <v>457</v>
      </c>
      <c r="B395" s="172" t="s">
        <v>256</v>
      </c>
      <c r="C395" s="189">
        <v>0</v>
      </c>
      <c r="D395" s="175"/>
      <c r="E395" s="175"/>
    </row>
    <row r="396" spans="1:6" ht="12.65" customHeight="1" x14ac:dyDescent="0.35">
      <c r="A396" s="173" t="s">
        <v>458</v>
      </c>
      <c r="B396" s="175"/>
      <c r="C396" s="191"/>
      <c r="D396" s="175">
        <f>D393+C394-C395</f>
        <v>11650577</v>
      </c>
      <c r="E396" s="175"/>
    </row>
    <row r="397" spans="1:6" ht="13.5" customHeight="1" x14ac:dyDescent="0.35">
      <c r="A397" s="179"/>
      <c r="B397" s="179"/>
    </row>
    <row r="398" spans="1:6" ht="12.65" customHeight="1" x14ac:dyDescent="0.35">
      <c r="A398" s="179"/>
      <c r="B398" s="179"/>
    </row>
    <row r="399" spans="1:6" ht="12.65" customHeight="1" x14ac:dyDescent="0.35">
      <c r="A399" s="179"/>
      <c r="B399" s="179"/>
    </row>
    <row r="400" spans="1:6" ht="12" customHeight="1" x14ac:dyDescent="0.35">
      <c r="A400" s="179"/>
      <c r="B400" s="179"/>
    </row>
    <row r="401" spans="1:5" ht="12" customHeight="1" x14ac:dyDescent="0.35">
      <c r="A401" s="179"/>
      <c r="B401" s="179"/>
    </row>
    <row r="402" spans="1:5" ht="12" customHeight="1" x14ac:dyDescent="0.35">
      <c r="A402" s="179"/>
      <c r="B402" s="179"/>
    </row>
    <row r="403" spans="1:5" ht="12" customHeight="1" x14ac:dyDescent="0.35">
      <c r="A403" s="179"/>
      <c r="B403" s="179"/>
    </row>
    <row r="404" spans="1:5" ht="12" customHeight="1" x14ac:dyDescent="0.35">
      <c r="A404" s="179"/>
      <c r="B404" s="179"/>
    </row>
    <row r="405" spans="1:5" ht="12.65" customHeight="1" x14ac:dyDescent="0.35">
      <c r="A405" s="179"/>
      <c r="B405" s="179"/>
    </row>
    <row r="406" spans="1:5" ht="12.65" customHeight="1" x14ac:dyDescent="0.35">
      <c r="A406" s="179"/>
      <c r="B406" s="179"/>
    </row>
    <row r="407" spans="1:5" ht="12.65" customHeight="1" x14ac:dyDescent="0.35">
      <c r="A407" s="179"/>
      <c r="B407" s="179"/>
    </row>
    <row r="408" spans="1:5" ht="12.65" customHeight="1" x14ac:dyDescent="0.35">
      <c r="A408" s="179"/>
      <c r="B408" s="179"/>
    </row>
    <row r="409" spans="1:5" ht="12.65" customHeight="1" x14ac:dyDescent="0.35">
      <c r="A409" s="179"/>
      <c r="B409" s="179"/>
    </row>
    <row r="410" spans="1:5" ht="12.65" customHeight="1" x14ac:dyDescent="0.35">
      <c r="A410" s="179"/>
      <c r="B410" s="179"/>
    </row>
    <row r="411" spans="1:5" ht="12.65" customHeight="1" x14ac:dyDescent="0.35">
      <c r="A411" s="179"/>
      <c r="B411" s="179"/>
      <c r="C411" s="181" t="s">
        <v>459</v>
      </c>
      <c r="D411" s="179"/>
      <c r="E411" s="260"/>
    </row>
    <row r="412" spans="1:5" ht="12.65" customHeight="1" x14ac:dyDescent="0.35">
      <c r="A412" s="179" t="str">
        <f>C84&amp;"   "&amp;"H-"&amp;FIXED(C83,0,TRUE)&amp;"     FYE "&amp;C82</f>
        <v>EvergreenHealth Kirkland / King Country Public Hos #2   H-0     FYE 12/31/2021</v>
      </c>
      <c r="B412" s="179"/>
      <c r="C412" s="179"/>
      <c r="D412" s="179"/>
      <c r="E412" s="260"/>
    </row>
    <row r="413" spans="1:5" ht="12.65" customHeight="1" x14ac:dyDescent="0.35">
      <c r="A413" s="179" t="s">
        <v>460</v>
      </c>
      <c r="B413" s="181" t="s">
        <v>461</v>
      </c>
      <c r="C413" s="181" t="s">
        <v>1242</v>
      </c>
      <c r="D413" s="181" t="s">
        <v>462</v>
      </c>
    </row>
    <row r="414" spans="1:5" ht="12.65" customHeight="1" x14ac:dyDescent="0.35">
      <c r="A414" s="179" t="s">
        <v>463</v>
      </c>
      <c r="B414" s="179">
        <f>C111</f>
        <v>14650</v>
      </c>
      <c r="C414" s="194">
        <f>E138</f>
        <v>14650</v>
      </c>
      <c r="D414" s="179"/>
    </row>
    <row r="415" spans="1:5" ht="12.65" customHeight="1" x14ac:dyDescent="0.35">
      <c r="A415" s="179" t="s">
        <v>464</v>
      </c>
      <c r="B415" s="179">
        <f>D111</f>
        <v>66833</v>
      </c>
      <c r="C415" s="179">
        <f>E139</f>
        <v>66833</v>
      </c>
      <c r="D415" s="194">
        <f>SUM(C59:H59)+N59</f>
        <v>59664.369999999995</v>
      </c>
    </row>
    <row r="416" spans="1:5" ht="12.65" customHeight="1" x14ac:dyDescent="0.35">
      <c r="A416" s="179"/>
      <c r="B416" s="179"/>
      <c r="C416" s="194"/>
      <c r="D416" s="179"/>
    </row>
    <row r="417" spans="1:7" ht="12.65" customHeight="1" x14ac:dyDescent="0.35">
      <c r="A417" s="179" t="s">
        <v>465</v>
      </c>
      <c r="B417" s="179">
        <f>C112</f>
        <v>0</v>
      </c>
      <c r="C417" s="194">
        <f>E144</f>
        <v>0</v>
      </c>
      <c r="D417" s="179"/>
    </row>
    <row r="418" spans="1:7" ht="12.65" customHeight="1" x14ac:dyDescent="0.35">
      <c r="A418" s="179" t="s">
        <v>466</v>
      </c>
      <c r="B418" s="179">
        <f>D112</f>
        <v>0</v>
      </c>
      <c r="C418" s="179">
        <f>E145</f>
        <v>0</v>
      </c>
      <c r="D418" s="179">
        <f>K59+L59</f>
        <v>0</v>
      </c>
    </row>
    <row r="419" spans="1:7" ht="12.65" customHeight="1" x14ac:dyDescent="0.35">
      <c r="A419" s="179"/>
      <c r="B419" s="179"/>
      <c r="C419" s="194"/>
      <c r="D419" s="179"/>
    </row>
    <row r="420" spans="1:7" ht="12.65" customHeight="1" x14ac:dyDescent="0.35">
      <c r="A420" s="179" t="s">
        <v>467</v>
      </c>
      <c r="B420" s="179">
        <f>C113</f>
        <v>0</v>
      </c>
      <c r="C420" s="179">
        <f>E150</f>
        <v>0</v>
      </c>
      <c r="D420" s="179"/>
    </row>
    <row r="421" spans="1:7" ht="12.65" customHeight="1" x14ac:dyDescent="0.35">
      <c r="A421" s="179" t="s">
        <v>468</v>
      </c>
      <c r="B421" s="179">
        <f>D113</f>
        <v>0</v>
      </c>
      <c r="C421" s="179">
        <f>E151</f>
        <v>0</v>
      </c>
      <c r="D421" s="179">
        <f>I59</f>
        <v>0</v>
      </c>
    </row>
    <row r="422" spans="1:7" ht="12.65" customHeight="1" x14ac:dyDescent="0.35">
      <c r="A422" s="206"/>
      <c r="B422" s="206"/>
      <c r="C422" s="181"/>
      <c r="D422" s="179"/>
    </row>
    <row r="423" spans="1:7" ht="12.65" customHeight="1" x14ac:dyDescent="0.35">
      <c r="A423" s="180" t="s">
        <v>469</v>
      </c>
      <c r="B423" s="180">
        <f>C114</f>
        <v>4833</v>
      </c>
    </row>
    <row r="424" spans="1:7" ht="12.65" customHeight="1" x14ac:dyDescent="0.35">
      <c r="A424" s="179" t="s">
        <v>1243</v>
      </c>
      <c r="B424" s="179">
        <f>D114</f>
        <v>0</v>
      </c>
      <c r="D424" s="179">
        <f>J59</f>
        <v>0</v>
      </c>
    </row>
    <row r="425" spans="1:7" ht="12.65" customHeight="1" x14ac:dyDescent="0.35">
      <c r="A425" s="206"/>
      <c r="B425" s="206"/>
      <c r="C425" s="206"/>
      <c r="D425" s="206"/>
      <c r="F425" s="206"/>
      <c r="G425" s="206"/>
    </row>
    <row r="426" spans="1:7" ht="12.65" customHeight="1" x14ac:dyDescent="0.35">
      <c r="A426" s="179" t="s">
        <v>470</v>
      </c>
      <c r="B426" s="181" t="s">
        <v>471</v>
      </c>
      <c r="C426" s="181" t="s">
        <v>462</v>
      </c>
      <c r="D426" s="181" t="s">
        <v>472</v>
      </c>
    </row>
    <row r="427" spans="1:7" ht="12.65" customHeight="1" x14ac:dyDescent="0.35">
      <c r="A427" s="179" t="s">
        <v>473</v>
      </c>
      <c r="B427" s="179">
        <f t="shared" ref="B427:B437" si="12">C378</f>
        <v>454782941</v>
      </c>
      <c r="C427" s="179">
        <f t="shared" ref="C427:C434" si="13">CE61</f>
        <v>454782940.53999984</v>
      </c>
      <c r="D427" s="179"/>
    </row>
    <row r="428" spans="1:7" ht="12.65" customHeight="1" x14ac:dyDescent="0.35">
      <c r="A428" s="179" t="s">
        <v>3</v>
      </c>
      <c r="B428" s="179">
        <f t="shared" si="12"/>
        <v>102427735</v>
      </c>
      <c r="C428" s="179">
        <f t="shared" si="13"/>
        <v>102427736</v>
      </c>
      <c r="D428" s="179">
        <f>D173</f>
        <v>102427736</v>
      </c>
    </row>
    <row r="429" spans="1:7" ht="12.65" customHeight="1" x14ac:dyDescent="0.35">
      <c r="A429" s="179" t="s">
        <v>236</v>
      </c>
      <c r="B429" s="179">
        <f t="shared" si="12"/>
        <v>19523451</v>
      </c>
      <c r="C429" s="179">
        <f t="shared" si="13"/>
        <v>19523451.43</v>
      </c>
      <c r="D429" s="179"/>
    </row>
    <row r="430" spans="1:7" ht="12.65" customHeight="1" x14ac:dyDescent="0.35">
      <c r="A430" s="179" t="s">
        <v>237</v>
      </c>
      <c r="B430" s="179">
        <f t="shared" si="12"/>
        <v>109418061</v>
      </c>
      <c r="C430" s="179">
        <f t="shared" si="13"/>
        <v>109418061.00000006</v>
      </c>
      <c r="D430" s="179"/>
    </row>
    <row r="431" spans="1:7" ht="12.65" customHeight="1" x14ac:dyDescent="0.35">
      <c r="A431" s="179" t="s">
        <v>444</v>
      </c>
      <c r="B431" s="179">
        <f t="shared" si="12"/>
        <v>6832969</v>
      </c>
      <c r="C431" s="179">
        <f t="shared" si="13"/>
        <v>6832969.1799999997</v>
      </c>
      <c r="D431" s="179"/>
    </row>
    <row r="432" spans="1:7" ht="12.65" customHeight="1" x14ac:dyDescent="0.35">
      <c r="A432" s="179" t="s">
        <v>445</v>
      </c>
      <c r="B432" s="179">
        <f t="shared" si="12"/>
        <v>64778714</v>
      </c>
      <c r="C432" s="179">
        <f t="shared" si="13"/>
        <v>64778714.180000007</v>
      </c>
      <c r="D432" s="179"/>
    </row>
    <row r="433" spans="1:7" ht="12.65" customHeight="1" x14ac:dyDescent="0.35">
      <c r="A433" s="179" t="s">
        <v>6</v>
      </c>
      <c r="B433" s="179">
        <f t="shared" si="12"/>
        <v>37830757</v>
      </c>
      <c r="C433" s="179">
        <f t="shared" si="13"/>
        <v>37830757</v>
      </c>
      <c r="D433" s="179">
        <f>C217</f>
        <v>38301627</v>
      </c>
    </row>
    <row r="434" spans="1:7" ht="12.65" customHeight="1" x14ac:dyDescent="0.35">
      <c r="A434" s="179" t="s">
        <v>474</v>
      </c>
      <c r="B434" s="179">
        <f t="shared" si="12"/>
        <v>16779791</v>
      </c>
      <c r="C434" s="179">
        <f t="shared" si="13"/>
        <v>16779791.100000001</v>
      </c>
      <c r="D434" s="179">
        <f>D177</f>
        <v>16779791</v>
      </c>
    </row>
    <row r="435" spans="1:7" ht="12.65" customHeight="1" x14ac:dyDescent="0.35">
      <c r="A435" s="179" t="s">
        <v>447</v>
      </c>
      <c r="B435" s="179">
        <f t="shared" si="12"/>
        <v>3244996</v>
      </c>
      <c r="C435" s="179"/>
      <c r="D435" s="179">
        <f>D181</f>
        <v>3244996</v>
      </c>
    </row>
    <row r="436" spans="1:7" ht="12.65" customHeight="1" x14ac:dyDescent="0.35">
      <c r="A436" s="179" t="s">
        <v>475</v>
      </c>
      <c r="B436" s="179">
        <f t="shared" si="12"/>
        <v>7272608</v>
      </c>
      <c r="C436" s="179"/>
      <c r="D436" s="179">
        <f>D186</f>
        <v>7272608</v>
      </c>
    </row>
    <row r="437" spans="1:7" ht="12.65" customHeight="1" x14ac:dyDescent="0.35">
      <c r="A437" s="194" t="s">
        <v>449</v>
      </c>
      <c r="B437" s="194">
        <f t="shared" si="12"/>
        <v>9081161</v>
      </c>
      <c r="C437" s="194"/>
      <c r="D437" s="194">
        <f>D190</f>
        <v>9081161</v>
      </c>
    </row>
    <row r="438" spans="1:7" ht="12.65" customHeight="1" x14ac:dyDescent="0.35">
      <c r="A438" s="194" t="s">
        <v>476</v>
      </c>
      <c r="B438" s="194">
        <f>C386+C387+C388</f>
        <v>19598765</v>
      </c>
      <c r="C438" s="194">
        <f>CD69</f>
        <v>9869834.3200000003</v>
      </c>
      <c r="D438" s="194">
        <f>D181+D186+D190</f>
        <v>19598765</v>
      </c>
    </row>
    <row r="439" spans="1:7" ht="12.65" customHeight="1" x14ac:dyDescent="0.35">
      <c r="A439" s="179" t="s">
        <v>451</v>
      </c>
      <c r="B439" s="194">
        <f>C389</f>
        <v>11183462</v>
      </c>
      <c r="C439" s="194">
        <f>SUM(C69:CC69)</f>
        <v>11831232.07</v>
      </c>
      <c r="D439" s="179"/>
    </row>
    <row r="440" spans="1:7" ht="12.65" customHeight="1" x14ac:dyDescent="0.35">
      <c r="A440" s="179" t="s">
        <v>477</v>
      </c>
      <c r="B440" s="194">
        <f>B438+B439</f>
        <v>30782227</v>
      </c>
      <c r="C440" s="194">
        <f>CE69</f>
        <v>21701066.390000001</v>
      </c>
      <c r="D440" s="179"/>
    </row>
    <row r="441" spans="1:7" ht="12.65" customHeight="1" x14ac:dyDescent="0.35">
      <c r="A441" s="179" t="s">
        <v>478</v>
      </c>
      <c r="B441" s="179">
        <f>D390</f>
        <v>843156646</v>
      </c>
      <c r="C441" s="179">
        <f>SUM(C427:C437)+C440</f>
        <v>834075486.81999969</v>
      </c>
      <c r="D441" s="179"/>
    </row>
    <row r="442" spans="1:7" ht="12.65" customHeight="1" x14ac:dyDescent="0.35">
      <c r="A442" s="206"/>
      <c r="B442" s="206"/>
      <c r="C442" s="206"/>
      <c r="D442" s="206"/>
      <c r="F442" s="206"/>
      <c r="G442" s="206"/>
    </row>
    <row r="443" spans="1:7" ht="12.65" customHeight="1" x14ac:dyDescent="0.35">
      <c r="A443" s="179" t="s">
        <v>479</v>
      </c>
      <c r="B443" s="181" t="s">
        <v>480</v>
      </c>
      <c r="C443" s="181" t="s">
        <v>471</v>
      </c>
      <c r="D443" s="179"/>
    </row>
    <row r="444" spans="1:7" ht="12.65" customHeight="1" x14ac:dyDescent="0.35">
      <c r="A444" s="179" t="s">
        <v>1256</v>
      </c>
      <c r="B444" s="179">
        <f>D221</f>
        <v>16930347</v>
      </c>
      <c r="C444" s="179">
        <f>C363</f>
        <v>16930347</v>
      </c>
      <c r="D444" s="179"/>
    </row>
    <row r="445" spans="1:7" ht="12.65" customHeight="1" x14ac:dyDescent="0.35">
      <c r="A445" s="179" t="s">
        <v>343</v>
      </c>
      <c r="B445" s="179">
        <f>D229</f>
        <v>1302369340</v>
      </c>
      <c r="C445" s="179">
        <f>C364</f>
        <v>1302369341</v>
      </c>
      <c r="D445" s="179"/>
    </row>
    <row r="446" spans="1:7" ht="12.65" customHeight="1" x14ac:dyDescent="0.35">
      <c r="A446" s="179" t="s">
        <v>351</v>
      </c>
      <c r="B446" s="179">
        <f>D236</f>
        <v>8445088</v>
      </c>
      <c r="C446" s="179">
        <f>C365</f>
        <v>8445088</v>
      </c>
      <c r="D446" s="179"/>
    </row>
    <row r="447" spans="1:7" ht="12.65" customHeight="1" x14ac:dyDescent="0.35">
      <c r="A447" s="179" t="s">
        <v>356</v>
      </c>
      <c r="B447" s="179">
        <f>D240</f>
        <v>4732488</v>
      </c>
      <c r="C447" s="179">
        <f>C366</f>
        <v>4732488</v>
      </c>
      <c r="D447" s="179"/>
    </row>
    <row r="448" spans="1:7" ht="12.65" customHeight="1" x14ac:dyDescent="0.35">
      <c r="A448" s="179" t="s">
        <v>358</v>
      </c>
      <c r="B448" s="179">
        <f>D242</f>
        <v>1332477263</v>
      </c>
      <c r="C448" s="179">
        <f>D367</f>
        <v>1332477264</v>
      </c>
      <c r="D448" s="179"/>
    </row>
    <row r="449" spans="1:7" ht="12.65" customHeight="1" x14ac:dyDescent="0.35">
      <c r="A449" s="206"/>
      <c r="B449" s="206"/>
      <c r="C449" s="206"/>
      <c r="D449" s="206"/>
      <c r="F449" s="206"/>
      <c r="G449" s="206"/>
    </row>
    <row r="450" spans="1:7" ht="12.65" customHeight="1" x14ac:dyDescent="0.35">
      <c r="A450" s="180" t="s">
        <v>481</v>
      </c>
      <c r="B450" s="181" t="s">
        <v>482</v>
      </c>
      <c r="C450" s="206"/>
      <c r="D450" s="206"/>
      <c r="F450" s="206"/>
      <c r="G450" s="206"/>
    </row>
    <row r="451" spans="1:7" ht="12.65" customHeight="1" x14ac:dyDescent="0.35">
      <c r="B451" s="181" t="s">
        <v>483</v>
      </c>
    </row>
    <row r="452" spans="1:7" ht="12.65" customHeight="1" x14ac:dyDescent="0.35">
      <c r="B452" s="181" t="s">
        <v>472</v>
      </c>
    </row>
    <row r="453" spans="1:7" ht="12.65" customHeight="1" x14ac:dyDescent="0.35">
      <c r="A453" s="199" t="s">
        <v>484</v>
      </c>
      <c r="B453" s="180">
        <f>C231</f>
        <v>3855</v>
      </c>
    </row>
    <row r="454" spans="1:7" ht="12.65" customHeight="1" x14ac:dyDescent="0.35">
      <c r="A454" s="179" t="s">
        <v>168</v>
      </c>
      <c r="B454" s="179">
        <f>C233</f>
        <v>3406539</v>
      </c>
      <c r="C454" s="179"/>
      <c r="D454" s="179"/>
    </row>
    <row r="455" spans="1:7" ht="12.65" customHeight="1" x14ac:dyDescent="0.35">
      <c r="A455" s="179" t="s">
        <v>131</v>
      </c>
      <c r="B455" s="179">
        <f>C234</f>
        <v>5038549</v>
      </c>
      <c r="C455" s="179"/>
      <c r="D455" s="179"/>
    </row>
    <row r="456" spans="1:7" ht="12.65" customHeight="1" x14ac:dyDescent="0.35">
      <c r="A456" s="206"/>
      <c r="B456" s="206"/>
      <c r="C456" s="206"/>
      <c r="D456" s="206"/>
      <c r="F456" s="206"/>
      <c r="G456" s="206"/>
    </row>
    <row r="457" spans="1:7" ht="12.65" customHeight="1" x14ac:dyDescent="0.35">
      <c r="A457" s="179" t="s">
        <v>485</v>
      </c>
      <c r="B457" s="181" t="s">
        <v>471</v>
      </c>
      <c r="C457" s="181" t="s">
        <v>486</v>
      </c>
      <c r="D457" s="179"/>
    </row>
    <row r="458" spans="1:7" ht="12.65" customHeight="1" x14ac:dyDescent="0.35">
      <c r="A458" s="179" t="s">
        <v>487</v>
      </c>
      <c r="B458" s="194">
        <f>C370</f>
        <v>52999500</v>
      </c>
      <c r="C458" s="194">
        <f>CE70</f>
        <v>52999500.090000004</v>
      </c>
      <c r="D458" s="194"/>
    </row>
    <row r="459" spans="1:7" ht="12.65" customHeight="1" x14ac:dyDescent="0.35">
      <c r="A459" s="179" t="s">
        <v>244</v>
      </c>
      <c r="B459" s="194">
        <f>C371</f>
        <v>27967605</v>
      </c>
      <c r="C459" s="194">
        <f>CE72</f>
        <v>0</v>
      </c>
      <c r="D459" s="194"/>
    </row>
    <row r="460" spans="1:7" ht="12.65" customHeight="1" x14ac:dyDescent="0.35">
      <c r="A460" s="206"/>
      <c r="B460" s="206"/>
      <c r="C460" s="206"/>
      <c r="D460" s="206"/>
      <c r="F460" s="206"/>
      <c r="G460" s="206"/>
    </row>
    <row r="461" spans="1:7" ht="12.65" customHeight="1" x14ac:dyDescent="0.35">
      <c r="A461" s="179" t="s">
        <v>488</v>
      </c>
      <c r="B461" s="181"/>
      <c r="C461" s="181"/>
      <c r="D461" s="181" t="s">
        <v>1244</v>
      </c>
    </row>
    <row r="462" spans="1:7" ht="12.65" customHeight="1" x14ac:dyDescent="0.35">
      <c r="B462" s="181" t="s">
        <v>471</v>
      </c>
      <c r="C462" s="181" t="s">
        <v>486</v>
      </c>
      <c r="D462" s="181" t="s">
        <v>490</v>
      </c>
    </row>
    <row r="463" spans="1:7" ht="12.65" customHeight="1" x14ac:dyDescent="0.35">
      <c r="A463" s="179" t="s">
        <v>245</v>
      </c>
      <c r="B463" s="194">
        <f>C359</f>
        <v>847495317</v>
      </c>
      <c r="C463" s="194">
        <f>CE73</f>
        <v>847495316.96999991</v>
      </c>
      <c r="D463" s="194">
        <f>E141+E147+E153</f>
        <v>847495318</v>
      </c>
    </row>
    <row r="464" spans="1:7" ht="12.65" customHeight="1" x14ac:dyDescent="0.35">
      <c r="A464" s="179" t="s">
        <v>246</v>
      </c>
      <c r="B464" s="194">
        <f>C360</f>
        <v>1253514560</v>
      </c>
      <c r="C464" s="194">
        <f>CE74</f>
        <v>1253514559.6099999</v>
      </c>
      <c r="D464" s="194">
        <f>E142+E148+E154</f>
        <v>1253514559</v>
      </c>
    </row>
    <row r="465" spans="1:7" ht="12.65" customHeight="1" x14ac:dyDescent="0.35">
      <c r="A465" s="179" t="s">
        <v>247</v>
      </c>
      <c r="B465" s="194">
        <f>D361</f>
        <v>2101009877</v>
      </c>
      <c r="C465" s="194">
        <f>CE75</f>
        <v>2101009876.5799999</v>
      </c>
      <c r="D465" s="194">
        <f>D463+D464</f>
        <v>2101009877</v>
      </c>
    </row>
    <row r="466" spans="1:7" ht="12.65" customHeight="1" x14ac:dyDescent="0.35">
      <c r="A466" s="206"/>
      <c r="B466" s="206"/>
      <c r="C466" s="206"/>
      <c r="D466" s="206"/>
      <c r="F466" s="206"/>
      <c r="G466" s="206"/>
    </row>
    <row r="467" spans="1:7" ht="12.65" customHeight="1" x14ac:dyDescent="0.35">
      <c r="A467" s="179" t="s">
        <v>491</v>
      </c>
      <c r="B467" s="181" t="s">
        <v>492</v>
      </c>
      <c r="C467" s="181" t="s">
        <v>493</v>
      </c>
      <c r="D467" s="179"/>
    </row>
    <row r="468" spans="1:7" ht="12.65" customHeight="1" x14ac:dyDescent="0.35">
      <c r="A468" s="179" t="s">
        <v>332</v>
      </c>
      <c r="B468" s="179">
        <f t="shared" ref="B468:B475" si="14">C267</f>
        <v>4913660</v>
      </c>
      <c r="C468" s="179">
        <f>E195</f>
        <v>4913659.68</v>
      </c>
      <c r="D468" s="179"/>
    </row>
    <row r="469" spans="1:7" ht="12.65" customHeight="1" x14ac:dyDescent="0.35">
      <c r="A469" s="179" t="s">
        <v>333</v>
      </c>
      <c r="B469" s="179">
        <f t="shared" si="14"/>
        <v>13121106</v>
      </c>
      <c r="C469" s="179">
        <f>E196</f>
        <v>13121106</v>
      </c>
      <c r="D469" s="179"/>
    </row>
    <row r="470" spans="1:7" ht="12.65" customHeight="1" x14ac:dyDescent="0.35">
      <c r="A470" s="179" t="s">
        <v>334</v>
      </c>
      <c r="B470" s="179">
        <f t="shared" si="14"/>
        <v>358326296</v>
      </c>
      <c r="C470" s="179">
        <f>E197</f>
        <v>358326297</v>
      </c>
      <c r="D470" s="179"/>
    </row>
    <row r="471" spans="1:7" ht="12.65" customHeight="1" x14ac:dyDescent="0.35">
      <c r="A471" s="179" t="s">
        <v>494</v>
      </c>
      <c r="B471" s="179">
        <f t="shared" si="14"/>
        <v>133768500</v>
      </c>
      <c r="C471" s="179">
        <f>E198</f>
        <v>133768501</v>
      </c>
      <c r="D471" s="179"/>
    </row>
    <row r="472" spans="1:7" ht="12.65" customHeight="1" x14ac:dyDescent="0.35">
      <c r="A472" s="179" t="s">
        <v>377</v>
      </c>
      <c r="B472" s="179">
        <f t="shared" si="14"/>
        <v>10601</v>
      </c>
      <c r="C472" s="179">
        <f>E199</f>
        <v>10601</v>
      </c>
      <c r="D472" s="179"/>
    </row>
    <row r="473" spans="1:7" ht="12.65" customHeight="1" x14ac:dyDescent="0.35">
      <c r="A473" s="179" t="s">
        <v>495</v>
      </c>
      <c r="B473" s="179">
        <f t="shared" si="14"/>
        <v>293035773</v>
      </c>
      <c r="C473" s="179">
        <f>SUM(E200:E201)</f>
        <v>289158126</v>
      </c>
      <c r="D473" s="179"/>
    </row>
    <row r="474" spans="1:7" ht="12.65" customHeight="1" x14ac:dyDescent="0.35">
      <c r="A474" s="179" t="s">
        <v>339</v>
      </c>
      <c r="B474" s="179">
        <f t="shared" si="14"/>
        <v>39855644</v>
      </c>
      <c r="C474" s="179">
        <f>E202</f>
        <v>39855644</v>
      </c>
      <c r="D474" s="179"/>
    </row>
    <row r="475" spans="1:7" ht="12.65" customHeight="1" x14ac:dyDescent="0.35">
      <c r="A475" s="179" t="s">
        <v>340</v>
      </c>
      <c r="B475" s="179">
        <f t="shared" si="14"/>
        <v>33286255</v>
      </c>
      <c r="C475" s="179">
        <f>E203</f>
        <v>33286256</v>
      </c>
      <c r="D475" s="179"/>
    </row>
    <row r="476" spans="1:7" ht="12.65" customHeight="1" x14ac:dyDescent="0.35">
      <c r="A476" s="179" t="s">
        <v>203</v>
      </c>
      <c r="B476" s="179">
        <f>D275</f>
        <v>876317835</v>
      </c>
      <c r="C476" s="179">
        <f>E204</f>
        <v>872440190.68000007</v>
      </c>
      <c r="D476" s="179"/>
    </row>
    <row r="477" spans="1:7" ht="12.65" customHeight="1" x14ac:dyDescent="0.35">
      <c r="A477" s="179"/>
      <c r="B477" s="179"/>
      <c r="C477" s="179"/>
      <c r="D477" s="179"/>
    </row>
    <row r="478" spans="1:7" ht="12.65" customHeight="1" x14ac:dyDescent="0.35">
      <c r="A478" s="179" t="s">
        <v>496</v>
      </c>
      <c r="B478" s="179">
        <f>C276</f>
        <v>549998043</v>
      </c>
      <c r="C478" s="179">
        <f>E217</f>
        <v>549998043</v>
      </c>
      <c r="D478" s="179"/>
    </row>
    <row r="480" spans="1:7" ht="12.65" customHeight="1" x14ac:dyDescent="0.35">
      <c r="A480" s="180" t="s">
        <v>497</v>
      </c>
    </row>
    <row r="481" spans="1:12" ht="12.65" customHeight="1" x14ac:dyDescent="0.35">
      <c r="A481" s="180" t="s">
        <v>498</v>
      </c>
      <c r="C481" s="180">
        <f>D341</f>
        <v>889638015</v>
      </c>
    </row>
    <row r="482" spans="1:12" ht="12.65" customHeight="1" x14ac:dyDescent="0.35">
      <c r="A482" s="180" t="s">
        <v>499</v>
      </c>
      <c r="C482" s="180">
        <f>D339</f>
        <v>889638015</v>
      </c>
    </row>
    <row r="485" spans="1:12" ht="12.65" customHeight="1" x14ac:dyDescent="0.35">
      <c r="A485" s="199" t="s">
        <v>500</v>
      </c>
    </row>
    <row r="486" spans="1:12" ht="12.65" customHeight="1" x14ac:dyDescent="0.35">
      <c r="A486" s="199" t="s">
        <v>501</v>
      </c>
    </row>
    <row r="487" spans="1:12" ht="12.65" customHeight="1" x14ac:dyDescent="0.35">
      <c r="A487" s="199" t="s">
        <v>502</v>
      </c>
    </row>
    <row r="488" spans="1:12" ht="12.65" customHeight="1" x14ac:dyDescent="0.35">
      <c r="A488" s="199"/>
    </row>
    <row r="489" spans="1:12" ht="12.65" customHeight="1" x14ac:dyDescent="0.35">
      <c r="A489" s="198" t="s">
        <v>503</v>
      </c>
    </row>
    <row r="490" spans="1:12" ht="12.65" customHeight="1" x14ac:dyDescent="0.35">
      <c r="A490" s="199" t="s">
        <v>504</v>
      </c>
    </row>
    <row r="491" spans="1:12" ht="12.65" customHeight="1" x14ac:dyDescent="0.35">
      <c r="A491" s="199"/>
    </row>
    <row r="493" spans="1:12" ht="12.65" customHeight="1" x14ac:dyDescent="0.35">
      <c r="A493" s="180" t="str">
        <f>C83</f>
        <v>164</v>
      </c>
      <c r="B493" s="261" t="str">
        <f>RIGHT('Prior Year'!C82,4)</f>
        <v>2020</v>
      </c>
      <c r="C493" s="261" t="str">
        <f>RIGHT(C82,4)</f>
        <v>2021</v>
      </c>
      <c r="D493" s="261" t="str">
        <f>RIGHT('Prior Year'!C82,4)</f>
        <v>2020</v>
      </c>
      <c r="E493" s="261" t="str">
        <f>RIGHT(C82,4)</f>
        <v>2021</v>
      </c>
      <c r="F493" s="261" t="str">
        <f>RIGHT('Prior Year'!C82,4)</f>
        <v>2020</v>
      </c>
      <c r="G493" s="261" t="str">
        <f>RIGHT(C82,4)</f>
        <v>2021</v>
      </c>
      <c r="H493" s="261"/>
      <c r="K493" s="261"/>
      <c r="L493" s="261"/>
    </row>
    <row r="494" spans="1:12" ht="12.65" customHeight="1" x14ac:dyDescent="0.35">
      <c r="A494" s="198"/>
      <c r="B494" s="181" t="s">
        <v>505</v>
      </c>
      <c r="C494" s="181" t="s">
        <v>505</v>
      </c>
      <c r="D494" s="262" t="s">
        <v>506</v>
      </c>
      <c r="E494" s="262" t="s">
        <v>506</v>
      </c>
      <c r="F494" s="261" t="s">
        <v>507</v>
      </c>
      <c r="G494" s="261" t="s">
        <v>507</v>
      </c>
      <c r="H494" s="261" t="s">
        <v>508</v>
      </c>
      <c r="K494" s="261"/>
      <c r="L494" s="261"/>
    </row>
    <row r="495" spans="1:12" ht="12.65" customHeight="1" x14ac:dyDescent="0.35">
      <c r="B495" s="181" t="s">
        <v>303</v>
      </c>
      <c r="C495" s="181" t="s">
        <v>303</v>
      </c>
      <c r="D495" s="181" t="s">
        <v>509</v>
      </c>
      <c r="E495" s="181" t="s">
        <v>509</v>
      </c>
      <c r="F495" s="261" t="s">
        <v>510</v>
      </c>
      <c r="G495" s="261" t="s">
        <v>510</v>
      </c>
      <c r="H495" s="261" t="s">
        <v>511</v>
      </c>
      <c r="K495" s="261"/>
      <c r="L495" s="261"/>
    </row>
    <row r="496" spans="1:12" ht="12.65" customHeight="1" x14ac:dyDescent="0.35">
      <c r="A496" s="180" t="s">
        <v>512</v>
      </c>
      <c r="B496" s="240">
        <f>'Prior Year'!C71</f>
        <v>21552545.400000002</v>
      </c>
      <c r="C496" s="240">
        <f>C71</f>
        <v>23799689.959999993</v>
      </c>
      <c r="D496" s="240">
        <f>'Prior Year'!C59</f>
        <v>4943.9799999999996</v>
      </c>
      <c r="E496" s="180">
        <f>C59</f>
        <v>5466.41</v>
      </c>
      <c r="F496" s="263">
        <f t="shared" ref="F496:G511" si="15">IF(B496=0,"",IF(D496=0,"",B496/D496))</f>
        <v>4359.3512514209206</v>
      </c>
      <c r="G496" s="264">
        <f t="shared" si="15"/>
        <v>4353.8062384636341</v>
      </c>
      <c r="H496" s="265" t="str">
        <f>IF(B496=0,"",IF(C496=0,"",IF(D496=0,"",IF(E496=0,"",IF(G496/F496-1&lt;-0.25,G496/F496-1,IF(G496/F496-1&gt;0.25,G496/F496-1,""))))))</f>
        <v/>
      </c>
      <c r="I496" s="267"/>
      <c r="K496" s="261"/>
      <c r="L496" s="261"/>
    </row>
    <row r="497" spans="1:12" ht="12.65" customHeight="1" x14ac:dyDescent="0.35">
      <c r="A497" s="180" t="s">
        <v>513</v>
      </c>
      <c r="B497" s="240">
        <f>'Prior Year'!D71</f>
        <v>10539740.489999998</v>
      </c>
      <c r="C497" s="240">
        <f>D71</f>
        <v>11995408.549999999</v>
      </c>
      <c r="D497" s="240">
        <f>'Prior Year'!D59</f>
        <v>8914.4</v>
      </c>
      <c r="E497" s="180">
        <f>D59</f>
        <v>9975.4599999999991</v>
      </c>
      <c r="F497" s="263">
        <f t="shared" si="15"/>
        <v>1182.3275251278828</v>
      </c>
      <c r="G497" s="263">
        <f t="shared" si="15"/>
        <v>1202.4917698030968</v>
      </c>
      <c r="H497" s="265" t="str">
        <f t="shared" ref="H497:H550" si="16">IF(B497=0,"",IF(C497=0,"",IF(D497=0,"",IF(E497=0,"",IF(G497/F497-1&lt;-0.25,G497/F497-1,IF(G497/F497-1&gt;0.25,G497/F497-1,""))))))</f>
        <v/>
      </c>
      <c r="I497" s="267"/>
      <c r="K497" s="261"/>
      <c r="L497" s="261"/>
    </row>
    <row r="498" spans="1:12" ht="12.65" customHeight="1" x14ac:dyDescent="0.35">
      <c r="A498" s="180" t="s">
        <v>514</v>
      </c>
      <c r="B498" s="240">
        <f>'Prior Year'!E71</f>
        <v>33958631.68</v>
      </c>
      <c r="C498" s="240">
        <f>E71</f>
        <v>41762422.419999979</v>
      </c>
      <c r="D498" s="240">
        <f>'Prior Year'!E59</f>
        <v>37724.47</v>
      </c>
      <c r="E498" s="180">
        <f>E59</f>
        <v>40880.5</v>
      </c>
      <c r="F498" s="263">
        <f t="shared" si="15"/>
        <v>900.17518284551113</v>
      </c>
      <c r="G498" s="263">
        <f t="shared" si="15"/>
        <v>1021.573180856398</v>
      </c>
      <c r="H498" s="265" t="str">
        <f t="shared" si="16"/>
        <v/>
      </c>
      <c r="I498" s="267"/>
      <c r="K498" s="261"/>
      <c r="L498" s="261"/>
    </row>
    <row r="499" spans="1:12" ht="12.65" customHeight="1" x14ac:dyDescent="0.35">
      <c r="A499" s="180" t="s">
        <v>515</v>
      </c>
      <c r="B499" s="240">
        <f>'Prior Year'!F71</f>
        <v>879057.72000000009</v>
      </c>
      <c r="C499" s="240">
        <f>F71</f>
        <v>1412464.8700000003</v>
      </c>
      <c r="D499" s="240">
        <f>'Prior Year'!F59</f>
        <v>0</v>
      </c>
      <c r="E499" s="180">
        <f>F59</f>
        <v>0</v>
      </c>
      <c r="F499" s="263" t="str">
        <f t="shared" si="15"/>
        <v/>
      </c>
      <c r="G499" s="263" t="str">
        <f t="shared" si="15"/>
        <v/>
      </c>
      <c r="H499" s="265" t="str">
        <f t="shared" si="16"/>
        <v/>
      </c>
      <c r="I499" s="267"/>
      <c r="K499" s="261"/>
      <c r="L499" s="261"/>
    </row>
    <row r="500" spans="1:12" ht="12.65" customHeight="1" x14ac:dyDescent="0.35">
      <c r="A500" s="180" t="s">
        <v>516</v>
      </c>
      <c r="B500" s="240">
        <f>'Prior Year'!G71</f>
        <v>2482060.7999999998</v>
      </c>
      <c r="C500" s="240">
        <f>G71</f>
        <v>2750175.3599999994</v>
      </c>
      <c r="D500" s="240">
        <f>'Prior Year'!G59</f>
        <v>3434</v>
      </c>
      <c r="E500" s="180">
        <f>G59</f>
        <v>3342</v>
      </c>
      <c r="F500" s="263">
        <f t="shared" si="15"/>
        <v>722.78998252766451</v>
      </c>
      <c r="G500" s="263">
        <f t="shared" si="15"/>
        <v>822.91303411131037</v>
      </c>
      <c r="H500" s="265" t="str">
        <f t="shared" si="16"/>
        <v/>
      </c>
      <c r="I500" s="267"/>
      <c r="K500" s="261"/>
      <c r="L500" s="261"/>
    </row>
    <row r="501" spans="1:12" ht="12.65" customHeight="1" x14ac:dyDescent="0.35">
      <c r="A501" s="180" t="s">
        <v>517</v>
      </c>
      <c r="B501" s="240">
        <f>'Prior Year'!H71</f>
        <v>0</v>
      </c>
      <c r="C501" s="240">
        <f>H71</f>
        <v>0</v>
      </c>
      <c r="D501" s="240">
        <f>'Prior Year'!H59</f>
        <v>0</v>
      </c>
      <c r="E501" s="180">
        <f>H59</f>
        <v>0</v>
      </c>
      <c r="F501" s="263" t="str">
        <f t="shared" si="15"/>
        <v/>
      </c>
      <c r="G501" s="263" t="str">
        <f t="shared" si="15"/>
        <v/>
      </c>
      <c r="H501" s="265" t="str">
        <f t="shared" si="16"/>
        <v/>
      </c>
      <c r="I501" s="267"/>
      <c r="K501" s="261"/>
      <c r="L501" s="261"/>
    </row>
    <row r="502" spans="1:12" ht="12.65" customHeight="1" x14ac:dyDescent="0.35">
      <c r="A502" s="180" t="s">
        <v>518</v>
      </c>
      <c r="B502" s="240">
        <f>'Prior Year'!I71</f>
        <v>0</v>
      </c>
      <c r="C502" s="240">
        <f>I71</f>
        <v>0</v>
      </c>
      <c r="D502" s="240">
        <f>'Prior Year'!I59</f>
        <v>0</v>
      </c>
      <c r="E502" s="180">
        <f>I59</f>
        <v>0</v>
      </c>
      <c r="F502" s="263" t="str">
        <f t="shared" si="15"/>
        <v/>
      </c>
      <c r="G502" s="263" t="str">
        <f t="shared" si="15"/>
        <v/>
      </c>
      <c r="H502" s="265" t="str">
        <f t="shared" si="16"/>
        <v/>
      </c>
      <c r="I502" s="267"/>
      <c r="K502" s="261"/>
      <c r="L502" s="261"/>
    </row>
    <row r="503" spans="1:12" ht="12.65" customHeight="1" x14ac:dyDescent="0.35">
      <c r="A503" s="180" t="s">
        <v>519</v>
      </c>
      <c r="B503" s="240">
        <f>'Prior Year'!J71</f>
        <v>0</v>
      </c>
      <c r="C503" s="240">
        <f>J71</f>
        <v>0</v>
      </c>
      <c r="D503" s="240">
        <f>'Prior Year'!J59</f>
        <v>0</v>
      </c>
      <c r="E503" s="180">
        <f>J59</f>
        <v>0</v>
      </c>
      <c r="F503" s="263" t="str">
        <f t="shared" si="15"/>
        <v/>
      </c>
      <c r="G503" s="263" t="str">
        <f t="shared" si="15"/>
        <v/>
      </c>
      <c r="H503" s="265" t="str">
        <f t="shared" si="16"/>
        <v/>
      </c>
      <c r="I503" s="267"/>
      <c r="K503" s="261"/>
      <c r="L503" s="261"/>
    </row>
    <row r="504" spans="1:12" ht="12.65" customHeight="1" x14ac:dyDescent="0.35">
      <c r="A504" s="180" t="s">
        <v>520</v>
      </c>
      <c r="B504" s="240">
        <f>'Prior Year'!K71</f>
        <v>0</v>
      </c>
      <c r="C504" s="240">
        <f>K71</f>
        <v>0</v>
      </c>
      <c r="D504" s="240">
        <f>'Prior Year'!K59</f>
        <v>0</v>
      </c>
      <c r="E504" s="180">
        <f>K59</f>
        <v>0</v>
      </c>
      <c r="F504" s="263" t="str">
        <f t="shared" si="15"/>
        <v/>
      </c>
      <c r="G504" s="263" t="str">
        <f t="shared" si="15"/>
        <v/>
      </c>
      <c r="H504" s="265" t="str">
        <f t="shared" si="16"/>
        <v/>
      </c>
      <c r="I504" s="267"/>
      <c r="K504" s="261"/>
      <c r="L504" s="261"/>
    </row>
    <row r="505" spans="1:12" ht="12.65" customHeight="1" x14ac:dyDescent="0.35">
      <c r="A505" s="180" t="s">
        <v>521</v>
      </c>
      <c r="B505" s="240">
        <f>'Prior Year'!L71</f>
        <v>0</v>
      </c>
      <c r="C505" s="240">
        <f>L71</f>
        <v>0</v>
      </c>
      <c r="D505" s="240">
        <f>'Prior Year'!L59</f>
        <v>0</v>
      </c>
      <c r="E505" s="180">
        <f>L59</f>
        <v>0</v>
      </c>
      <c r="F505" s="263" t="str">
        <f t="shared" si="15"/>
        <v/>
      </c>
      <c r="G505" s="263" t="str">
        <f t="shared" si="15"/>
        <v/>
      </c>
      <c r="H505" s="265" t="str">
        <f t="shared" si="16"/>
        <v/>
      </c>
      <c r="I505" s="267"/>
      <c r="K505" s="261"/>
      <c r="L505" s="261"/>
    </row>
    <row r="506" spans="1:12" ht="12.65" customHeight="1" x14ac:dyDescent="0.35">
      <c r="A506" s="180" t="s">
        <v>522</v>
      </c>
      <c r="B506" s="240">
        <f>'Prior Year'!M71</f>
        <v>6488093.5299999993</v>
      </c>
      <c r="C506" s="240">
        <f>M71</f>
        <v>6123052.6299999999</v>
      </c>
      <c r="D506" s="240">
        <f>'Prior Year'!M59</f>
        <v>3836</v>
      </c>
      <c r="E506" s="180">
        <f>M59</f>
        <v>3471</v>
      </c>
      <c r="F506" s="263">
        <f t="shared" si="15"/>
        <v>1691.3695333680917</v>
      </c>
      <c r="G506" s="263">
        <f t="shared" si="15"/>
        <v>1764.0601065975222</v>
      </c>
      <c r="H506" s="265" t="str">
        <f t="shared" si="16"/>
        <v/>
      </c>
      <c r="I506" s="267"/>
      <c r="K506" s="261"/>
      <c r="L506" s="261"/>
    </row>
    <row r="507" spans="1:12" ht="12.65" customHeight="1" x14ac:dyDescent="0.35">
      <c r="A507" s="180" t="s">
        <v>523</v>
      </c>
      <c r="B507" s="240">
        <f>'Prior Year'!N71</f>
        <v>18217973.169999998</v>
      </c>
      <c r="C507" s="240">
        <f>N71</f>
        <v>20356249.569999993</v>
      </c>
      <c r="D507" s="240">
        <f>'Prior Year'!N59</f>
        <v>0</v>
      </c>
      <c r="E507" s="180">
        <f>N59</f>
        <v>0</v>
      </c>
      <c r="F507" s="263" t="str">
        <f t="shared" si="15"/>
        <v/>
      </c>
      <c r="G507" s="263" t="str">
        <f t="shared" si="15"/>
        <v/>
      </c>
      <c r="H507" s="265" t="str">
        <f t="shared" si="16"/>
        <v/>
      </c>
      <c r="I507" s="267"/>
      <c r="K507" s="261"/>
      <c r="L507" s="261"/>
    </row>
    <row r="508" spans="1:12" ht="12.65" customHeight="1" x14ac:dyDescent="0.35">
      <c r="A508" s="180" t="s">
        <v>524</v>
      </c>
      <c r="B508" s="240">
        <f>'Prior Year'!O71</f>
        <v>26227738.5</v>
      </c>
      <c r="C508" s="240">
        <f>O71</f>
        <v>29547383.460000001</v>
      </c>
      <c r="D508" s="240">
        <f>'Prior Year'!O59</f>
        <v>4367</v>
      </c>
      <c r="E508" s="180">
        <f>O59</f>
        <v>4753</v>
      </c>
      <c r="F508" s="263">
        <f t="shared" si="15"/>
        <v>6005.8938630638886</v>
      </c>
      <c r="G508" s="263">
        <f t="shared" si="15"/>
        <v>6216.5755228276876</v>
      </c>
      <c r="H508" s="265" t="str">
        <f t="shared" si="16"/>
        <v/>
      </c>
      <c r="I508" s="267"/>
      <c r="K508" s="261"/>
      <c r="L508" s="261"/>
    </row>
    <row r="509" spans="1:12" ht="12.65" customHeight="1" x14ac:dyDescent="0.35">
      <c r="A509" s="180" t="s">
        <v>525</v>
      </c>
      <c r="B509" s="240">
        <f>'Prior Year'!P71</f>
        <v>53477336.250000015</v>
      </c>
      <c r="C509" s="240">
        <f>P71</f>
        <v>56825268.649999999</v>
      </c>
      <c r="D509" s="240">
        <f>'Prior Year'!P59</f>
        <v>739476</v>
      </c>
      <c r="E509" s="180">
        <f>P59</f>
        <v>758432</v>
      </c>
      <c r="F509" s="263">
        <f t="shared" si="15"/>
        <v>72.31787948493259</v>
      </c>
      <c r="G509" s="263">
        <f t="shared" si="15"/>
        <v>74.924671756993376</v>
      </c>
      <c r="H509" s="265" t="str">
        <f t="shared" si="16"/>
        <v/>
      </c>
      <c r="I509" s="267"/>
      <c r="K509" s="261"/>
      <c r="L509" s="261"/>
    </row>
    <row r="510" spans="1:12" ht="12.65" customHeight="1" x14ac:dyDescent="0.35">
      <c r="A510" s="180" t="s">
        <v>526</v>
      </c>
      <c r="B510" s="240">
        <f>'Prior Year'!Q71</f>
        <v>7578328.2399999993</v>
      </c>
      <c r="C510" s="240">
        <f>Q71</f>
        <v>8410713.4199999999</v>
      </c>
      <c r="D510" s="240">
        <f>'Prior Year'!Q59</f>
        <v>1821899</v>
      </c>
      <c r="E510" s="180">
        <f>Q59</f>
        <v>1969976</v>
      </c>
      <c r="F510" s="263">
        <f t="shared" si="15"/>
        <v>4.1595764858534965</v>
      </c>
      <c r="G510" s="263">
        <f t="shared" si="15"/>
        <v>4.269449688727172</v>
      </c>
      <c r="H510" s="265" t="str">
        <f t="shared" si="16"/>
        <v/>
      </c>
      <c r="I510" s="267"/>
      <c r="K510" s="261"/>
      <c r="L510" s="261"/>
    </row>
    <row r="511" spans="1:12" ht="12.65" customHeight="1" x14ac:dyDescent="0.35">
      <c r="A511" s="180" t="s">
        <v>527</v>
      </c>
      <c r="B511" s="240">
        <f>'Prior Year'!R71</f>
        <v>1294192.3599999999</v>
      </c>
      <c r="C511" s="240">
        <f>R71</f>
        <v>1352621.2000000002</v>
      </c>
      <c r="D511" s="240">
        <f>'Prior Year'!R59</f>
        <v>1277090</v>
      </c>
      <c r="E511" s="180">
        <f>R59</f>
        <v>1287747</v>
      </c>
      <c r="F511" s="263">
        <f t="shared" si="15"/>
        <v>1.0133916638608085</v>
      </c>
      <c r="G511" s="263">
        <f t="shared" si="15"/>
        <v>1.0503780633928872</v>
      </c>
      <c r="H511" s="265" t="str">
        <f t="shared" si="16"/>
        <v/>
      </c>
      <c r="I511" s="267"/>
      <c r="K511" s="261"/>
      <c r="L511" s="261"/>
    </row>
    <row r="512" spans="1:12" ht="12.65" customHeight="1" x14ac:dyDescent="0.35">
      <c r="A512" s="180" t="s">
        <v>528</v>
      </c>
      <c r="B512" s="240">
        <f>'Prior Year'!S71</f>
        <v>2899012.1500000004</v>
      </c>
      <c r="C512" s="240">
        <f>S71</f>
        <v>2895057.5500000003</v>
      </c>
      <c r="D512" s="181" t="s">
        <v>529</v>
      </c>
      <c r="E512" s="181" t="s">
        <v>529</v>
      </c>
      <c r="F512" s="263" t="str">
        <f t="shared" ref="F512:G527" si="17">IF(B512=0,"",IF(D512=0,"",B512/D512))</f>
        <v/>
      </c>
      <c r="G512" s="263" t="str">
        <f t="shared" si="17"/>
        <v/>
      </c>
      <c r="H512" s="265" t="str">
        <f t="shared" si="16"/>
        <v/>
      </c>
      <c r="I512" s="267"/>
      <c r="K512" s="261"/>
      <c r="L512" s="261"/>
    </row>
    <row r="513" spans="1:12" ht="12.65" customHeight="1" x14ac:dyDescent="0.35">
      <c r="A513" s="180" t="s">
        <v>1245</v>
      </c>
      <c r="B513" s="240">
        <f>'Prior Year'!T71</f>
        <v>0</v>
      </c>
      <c r="C513" s="240">
        <f>T71</f>
        <v>0</v>
      </c>
      <c r="D513" s="181" t="s">
        <v>529</v>
      </c>
      <c r="E513" s="181" t="s">
        <v>529</v>
      </c>
      <c r="F513" s="263" t="str">
        <f t="shared" si="17"/>
        <v/>
      </c>
      <c r="G513" s="263" t="str">
        <f t="shared" si="17"/>
        <v/>
      </c>
      <c r="H513" s="265" t="str">
        <f t="shared" si="16"/>
        <v/>
      </c>
      <c r="I513" s="267"/>
      <c r="K513" s="261"/>
      <c r="L513" s="261"/>
    </row>
    <row r="514" spans="1:12" ht="12.65" customHeight="1" x14ac:dyDescent="0.35">
      <c r="A514" s="180" t="s">
        <v>530</v>
      </c>
      <c r="B514" s="240">
        <f>'Prior Year'!U71</f>
        <v>17543932.050000001</v>
      </c>
      <c r="C514" s="240">
        <f>U71</f>
        <v>21083474.649999999</v>
      </c>
      <c r="D514" s="240">
        <f>'Prior Year'!U59</f>
        <v>881954</v>
      </c>
      <c r="E514" s="180">
        <f>U59</f>
        <v>1137833</v>
      </c>
      <c r="F514" s="263">
        <f t="shared" si="17"/>
        <v>19.892116879111608</v>
      </c>
      <c r="G514" s="263">
        <f t="shared" si="17"/>
        <v>18.529498309505875</v>
      </c>
      <c r="H514" s="265" t="str">
        <f t="shared" si="16"/>
        <v/>
      </c>
      <c r="I514" s="267"/>
      <c r="K514" s="261"/>
      <c r="L514" s="261"/>
    </row>
    <row r="515" spans="1:12" ht="12.65" customHeight="1" x14ac:dyDescent="0.35">
      <c r="A515" s="180" t="s">
        <v>531</v>
      </c>
      <c r="B515" s="240">
        <f>'Prior Year'!V71</f>
        <v>218160.22000000003</v>
      </c>
      <c r="C515" s="240">
        <f>V71</f>
        <v>243226.63</v>
      </c>
      <c r="D515" s="240">
        <f>'Prior Year'!V59</f>
        <v>0</v>
      </c>
      <c r="E515" s="180">
        <f>V59</f>
        <v>0</v>
      </c>
      <c r="F515" s="263" t="str">
        <f t="shared" si="17"/>
        <v/>
      </c>
      <c r="G515" s="263" t="str">
        <f t="shared" si="17"/>
        <v/>
      </c>
      <c r="H515" s="265" t="str">
        <f t="shared" si="16"/>
        <v/>
      </c>
      <c r="I515" s="267"/>
      <c r="K515" s="261"/>
      <c r="L515" s="261"/>
    </row>
    <row r="516" spans="1:12" ht="12.65" customHeight="1" x14ac:dyDescent="0.35">
      <c r="A516" s="180" t="s">
        <v>532</v>
      </c>
      <c r="B516" s="240">
        <f>'Prior Year'!W71</f>
        <v>1361517.1</v>
      </c>
      <c r="C516" s="240">
        <f>W71</f>
        <v>1458195.6599999997</v>
      </c>
      <c r="D516" s="240">
        <f>'Prior Year'!W59</f>
        <v>30016.71</v>
      </c>
      <c r="E516" s="180">
        <f>W59</f>
        <v>33241</v>
      </c>
      <c r="F516" s="263">
        <f t="shared" si="17"/>
        <v>45.358638571648932</v>
      </c>
      <c r="G516" s="263">
        <f t="shared" si="17"/>
        <v>43.867382449384785</v>
      </c>
      <c r="H516" s="265" t="str">
        <f t="shared" si="16"/>
        <v/>
      </c>
      <c r="I516" s="267"/>
      <c r="K516" s="261"/>
      <c r="L516" s="261"/>
    </row>
    <row r="517" spans="1:12" ht="12.65" customHeight="1" x14ac:dyDescent="0.35">
      <c r="A517" s="180" t="s">
        <v>533</v>
      </c>
      <c r="B517" s="240">
        <f>'Prior Year'!X71</f>
        <v>2606730.7199999997</v>
      </c>
      <c r="C517" s="240">
        <f>X71</f>
        <v>2800255.38</v>
      </c>
      <c r="D517" s="240">
        <f>'Prior Year'!X59</f>
        <v>138648.74</v>
      </c>
      <c r="E517" s="180">
        <f>X59</f>
        <v>166849.9</v>
      </c>
      <c r="F517" s="263">
        <f t="shared" si="17"/>
        <v>18.800969413786234</v>
      </c>
      <c r="G517" s="263">
        <f t="shared" si="17"/>
        <v>16.783080960791704</v>
      </c>
      <c r="H517" s="265" t="str">
        <f t="shared" si="16"/>
        <v/>
      </c>
      <c r="I517" s="267"/>
      <c r="K517" s="261"/>
      <c r="L517" s="261"/>
    </row>
    <row r="518" spans="1:12" ht="12.65" customHeight="1" x14ac:dyDescent="0.35">
      <c r="A518" s="180" t="s">
        <v>534</v>
      </c>
      <c r="B518" s="240">
        <f>'Prior Year'!Y71</f>
        <v>30539349.609999999</v>
      </c>
      <c r="C518" s="240">
        <f>Y71</f>
        <v>35213275.070000008</v>
      </c>
      <c r="D518" s="240">
        <f>'Prior Year'!Y59</f>
        <v>336276.15</v>
      </c>
      <c r="E518" s="180">
        <f>Y59</f>
        <v>389467.97</v>
      </c>
      <c r="F518" s="263">
        <f t="shared" si="17"/>
        <v>90.816281826706998</v>
      </c>
      <c r="G518" s="263">
        <f t="shared" si="17"/>
        <v>90.413789534477019</v>
      </c>
      <c r="H518" s="265" t="str">
        <f t="shared" si="16"/>
        <v/>
      </c>
      <c r="I518" s="267"/>
      <c r="K518" s="261"/>
      <c r="L518" s="261"/>
    </row>
    <row r="519" spans="1:12" ht="12.65" customHeight="1" x14ac:dyDescent="0.35">
      <c r="A519" s="180" t="s">
        <v>535</v>
      </c>
      <c r="B519" s="240">
        <f>'Prior Year'!Z71</f>
        <v>8133401.04</v>
      </c>
      <c r="C519" s="240">
        <f>Z71</f>
        <v>7987001.5799999991</v>
      </c>
      <c r="D519" s="240">
        <f>'Prior Year'!Z59</f>
        <v>60040.18</v>
      </c>
      <c r="E519" s="180">
        <f>Z59</f>
        <v>50517.22</v>
      </c>
      <c r="F519" s="263">
        <f t="shared" si="17"/>
        <v>135.46596695746081</v>
      </c>
      <c r="G519" s="263">
        <f t="shared" si="17"/>
        <v>158.10453504765303</v>
      </c>
      <c r="H519" s="265" t="str">
        <f t="shared" si="16"/>
        <v/>
      </c>
      <c r="I519" s="267"/>
      <c r="K519" s="261"/>
      <c r="L519" s="261"/>
    </row>
    <row r="520" spans="1:12" ht="12.65" customHeight="1" x14ac:dyDescent="0.35">
      <c r="A520" s="180" t="s">
        <v>536</v>
      </c>
      <c r="B520" s="240">
        <f>'Prior Year'!AA71</f>
        <v>1227813.33</v>
      </c>
      <c r="C520" s="240">
        <f>AA71</f>
        <v>1027008.3300000002</v>
      </c>
      <c r="D520" s="240">
        <f>'Prior Year'!AA59</f>
        <v>13413.4</v>
      </c>
      <c r="E520" s="180">
        <f>AA59</f>
        <v>13874.32</v>
      </c>
      <c r="F520" s="263">
        <f t="shared" si="17"/>
        <v>91.53632412363757</v>
      </c>
      <c r="G520" s="263">
        <f t="shared" si="17"/>
        <v>74.022246135306105</v>
      </c>
      <c r="H520" s="265" t="str">
        <f t="shared" si="16"/>
        <v/>
      </c>
      <c r="I520" s="267"/>
      <c r="K520" s="261"/>
      <c r="L520" s="261"/>
    </row>
    <row r="521" spans="1:12" ht="12.65" customHeight="1" x14ac:dyDescent="0.35">
      <c r="A521" s="180" t="s">
        <v>537</v>
      </c>
      <c r="B521" s="240">
        <f>'Prior Year'!AB71</f>
        <v>25126454.330000006</v>
      </c>
      <c r="C521" s="240">
        <f>AB71</f>
        <v>25508689.520000011</v>
      </c>
      <c r="D521" s="181" t="s">
        <v>529</v>
      </c>
      <c r="E521" s="181" t="s">
        <v>529</v>
      </c>
      <c r="F521" s="263" t="str">
        <f t="shared" si="17"/>
        <v/>
      </c>
      <c r="G521" s="263" t="str">
        <f t="shared" si="17"/>
        <v/>
      </c>
      <c r="H521" s="265" t="str">
        <f t="shared" si="16"/>
        <v/>
      </c>
      <c r="I521" s="267"/>
      <c r="K521" s="261"/>
      <c r="L521" s="261"/>
    </row>
    <row r="522" spans="1:12" ht="12.65" customHeight="1" x14ac:dyDescent="0.35">
      <c r="A522" s="180" t="s">
        <v>538</v>
      </c>
      <c r="B522" s="240">
        <f>'Prior Year'!AC71</f>
        <v>3776362.15</v>
      </c>
      <c r="C522" s="240">
        <f>AC71</f>
        <v>3632417.81</v>
      </c>
      <c r="D522" s="240">
        <f>'Prior Year'!AC59</f>
        <v>24456.870000000003</v>
      </c>
      <c r="E522" s="180">
        <f>AC59</f>
        <v>24515.949999999997</v>
      </c>
      <c r="F522" s="263">
        <f t="shared" si="17"/>
        <v>154.40905357063269</v>
      </c>
      <c r="G522" s="263">
        <f t="shared" si="17"/>
        <v>148.16549266905832</v>
      </c>
      <c r="H522" s="265" t="str">
        <f t="shared" si="16"/>
        <v/>
      </c>
      <c r="I522" s="267"/>
      <c r="K522" s="261"/>
      <c r="L522" s="261"/>
    </row>
    <row r="523" spans="1:12" ht="12.65" customHeight="1" x14ac:dyDescent="0.35">
      <c r="A523" s="180" t="s">
        <v>539</v>
      </c>
      <c r="B523" s="240">
        <f>'Prior Year'!AD71</f>
        <v>0</v>
      </c>
      <c r="C523" s="240">
        <f>AD71</f>
        <v>0</v>
      </c>
      <c r="D523" s="240">
        <f>'Prior Year'!AD59</f>
        <v>0</v>
      </c>
      <c r="E523" s="180">
        <f>AD59</f>
        <v>0</v>
      </c>
      <c r="F523" s="263" t="str">
        <f t="shared" si="17"/>
        <v/>
      </c>
      <c r="G523" s="263" t="str">
        <f t="shared" si="17"/>
        <v/>
      </c>
      <c r="H523" s="265" t="str">
        <f t="shared" si="16"/>
        <v/>
      </c>
      <c r="I523" s="267"/>
      <c r="K523" s="261"/>
      <c r="L523" s="261"/>
    </row>
    <row r="524" spans="1:12" ht="12.65" customHeight="1" x14ac:dyDescent="0.35">
      <c r="A524" s="180" t="s">
        <v>540</v>
      </c>
      <c r="B524" s="240">
        <f>'Prior Year'!AE71</f>
        <v>6331645.6100000013</v>
      </c>
      <c r="C524" s="240">
        <f>AE71</f>
        <v>7393320.6500000013</v>
      </c>
      <c r="D524" s="240">
        <f>'Prior Year'!AE59</f>
        <v>72038</v>
      </c>
      <c r="E524" s="180">
        <f>AE59</f>
        <v>50293</v>
      </c>
      <c r="F524" s="263">
        <f t="shared" si="17"/>
        <v>87.893134317998857</v>
      </c>
      <c r="G524" s="263">
        <f t="shared" si="17"/>
        <v>147.00496391147877</v>
      </c>
      <c r="H524" s="265">
        <f t="shared" si="16"/>
        <v>0.67254205976558201</v>
      </c>
      <c r="I524" s="267"/>
      <c r="K524" s="261"/>
      <c r="L524" s="261"/>
    </row>
    <row r="525" spans="1:12" ht="12.65" customHeight="1" x14ac:dyDescent="0.35">
      <c r="A525" s="180" t="s">
        <v>541</v>
      </c>
      <c r="B525" s="240">
        <f>'Prior Year'!AF71</f>
        <v>0</v>
      </c>
      <c r="C525" s="240">
        <f>AF71</f>
        <v>0</v>
      </c>
      <c r="D525" s="240">
        <f>'Prior Year'!AF59</f>
        <v>0</v>
      </c>
      <c r="E525" s="180">
        <f>AF59</f>
        <v>0</v>
      </c>
      <c r="F525" s="263" t="str">
        <f t="shared" si="17"/>
        <v/>
      </c>
      <c r="G525" s="263" t="str">
        <f t="shared" si="17"/>
        <v/>
      </c>
      <c r="H525" s="265" t="str">
        <f t="shared" si="16"/>
        <v/>
      </c>
      <c r="I525" s="267"/>
      <c r="K525" s="261"/>
      <c r="L525" s="261"/>
    </row>
    <row r="526" spans="1:12" ht="12.65" customHeight="1" x14ac:dyDescent="0.35">
      <c r="A526" s="180" t="s">
        <v>542</v>
      </c>
      <c r="B526" s="240">
        <f>'Prior Year'!AG71</f>
        <v>16616042.75</v>
      </c>
      <c r="C526" s="240">
        <f>AG71</f>
        <v>18671980.219999999</v>
      </c>
      <c r="D526" s="240">
        <f>'Prior Year'!AG59</f>
        <v>95286</v>
      </c>
      <c r="E526" s="180">
        <f>AG59</f>
        <v>113304</v>
      </c>
      <c r="F526" s="263">
        <f t="shared" si="17"/>
        <v>174.38073536511135</v>
      </c>
      <c r="G526" s="263">
        <f t="shared" si="17"/>
        <v>164.79541957918519</v>
      </c>
      <c r="H526" s="265" t="str">
        <f t="shared" si="16"/>
        <v/>
      </c>
      <c r="I526" s="267"/>
      <c r="K526" s="261"/>
      <c r="L526" s="261"/>
    </row>
    <row r="527" spans="1:12" ht="12.65" customHeight="1" x14ac:dyDescent="0.35">
      <c r="A527" s="180" t="s">
        <v>543</v>
      </c>
      <c r="B527" s="240">
        <f>'Prior Year'!AH71</f>
        <v>0</v>
      </c>
      <c r="C527" s="240">
        <f>AH71</f>
        <v>0</v>
      </c>
      <c r="D527" s="240">
        <f>'Prior Year'!AH59</f>
        <v>0</v>
      </c>
      <c r="E527" s="180">
        <f>AH59</f>
        <v>0</v>
      </c>
      <c r="F527" s="263" t="str">
        <f t="shared" si="17"/>
        <v/>
      </c>
      <c r="G527" s="263" t="str">
        <f t="shared" si="17"/>
        <v/>
      </c>
      <c r="H527" s="265" t="str">
        <f t="shared" si="16"/>
        <v/>
      </c>
      <c r="I527" s="267"/>
      <c r="K527" s="261"/>
      <c r="L527" s="261"/>
    </row>
    <row r="528" spans="1:12" ht="12.65" customHeight="1" x14ac:dyDescent="0.35">
      <c r="A528" s="180" t="s">
        <v>544</v>
      </c>
      <c r="B528" s="240">
        <f>'Prior Year'!AI71</f>
        <v>0</v>
      </c>
      <c r="C528" s="240">
        <f>AI71</f>
        <v>0</v>
      </c>
      <c r="D528" s="240">
        <f>'Prior Year'!AI59</f>
        <v>0</v>
      </c>
      <c r="E528" s="180">
        <f>AI59</f>
        <v>0</v>
      </c>
      <c r="F528" s="263" t="str">
        <f t="shared" ref="F528:G540" si="18">IF(B528=0,"",IF(D528=0,"",B528/D528))</f>
        <v/>
      </c>
      <c r="G528" s="263" t="str">
        <f t="shared" si="18"/>
        <v/>
      </c>
      <c r="H528" s="265" t="str">
        <f t="shared" si="16"/>
        <v/>
      </c>
      <c r="I528" s="267"/>
      <c r="K528" s="261"/>
      <c r="L528" s="261"/>
    </row>
    <row r="529" spans="1:12" ht="12.65" customHeight="1" x14ac:dyDescent="0.35">
      <c r="A529" s="180" t="s">
        <v>545</v>
      </c>
      <c r="B529" s="240">
        <f>'Prior Year'!AJ71</f>
        <v>89150309.269999981</v>
      </c>
      <c r="C529" s="240">
        <f>AJ71</f>
        <v>100109262.19000001</v>
      </c>
      <c r="D529" s="240">
        <f>'Prior Year'!AJ59</f>
        <v>249762</v>
      </c>
      <c r="E529" s="180">
        <f>AJ59</f>
        <v>281820</v>
      </c>
      <c r="F529" s="263">
        <f t="shared" si="18"/>
        <v>356.94104495479689</v>
      </c>
      <c r="G529" s="263">
        <f t="shared" si="18"/>
        <v>355.22412245404871</v>
      </c>
      <c r="H529" s="265" t="str">
        <f t="shared" si="16"/>
        <v/>
      </c>
      <c r="I529" s="267"/>
      <c r="K529" s="261"/>
      <c r="L529" s="261"/>
    </row>
    <row r="530" spans="1:12" ht="12.65" customHeight="1" x14ac:dyDescent="0.35">
      <c r="A530" s="180" t="s">
        <v>546</v>
      </c>
      <c r="B530" s="240">
        <f>'Prior Year'!AK71</f>
        <v>0</v>
      </c>
      <c r="C530" s="240">
        <f>AK71</f>
        <v>0</v>
      </c>
      <c r="D530" s="240">
        <f>'Prior Year'!AK59</f>
        <v>0</v>
      </c>
      <c r="E530" s="180">
        <f>AK59</f>
        <v>0</v>
      </c>
      <c r="F530" s="263" t="str">
        <f t="shared" si="18"/>
        <v/>
      </c>
      <c r="G530" s="263" t="str">
        <f t="shared" si="18"/>
        <v/>
      </c>
      <c r="H530" s="265" t="str">
        <f t="shared" si="16"/>
        <v/>
      </c>
      <c r="I530" s="267"/>
      <c r="K530" s="261"/>
      <c r="L530" s="261"/>
    </row>
    <row r="531" spans="1:12" ht="12.65" customHeight="1" x14ac:dyDescent="0.35">
      <c r="A531" s="180" t="s">
        <v>547</v>
      </c>
      <c r="B531" s="240">
        <f>'Prior Year'!AL71</f>
        <v>0</v>
      </c>
      <c r="C531" s="240">
        <f>AL71</f>
        <v>0</v>
      </c>
      <c r="D531" s="240">
        <f>'Prior Year'!AL59</f>
        <v>0</v>
      </c>
      <c r="E531" s="180">
        <f>AL59</f>
        <v>0</v>
      </c>
      <c r="F531" s="263" t="str">
        <f t="shared" si="18"/>
        <v/>
      </c>
      <c r="G531" s="263" t="str">
        <f t="shared" si="18"/>
        <v/>
      </c>
      <c r="H531" s="265" t="str">
        <f t="shared" si="16"/>
        <v/>
      </c>
      <c r="I531" s="267"/>
      <c r="K531" s="261"/>
      <c r="L531" s="261"/>
    </row>
    <row r="532" spans="1:12" ht="12.65" customHeight="1" x14ac:dyDescent="0.35">
      <c r="A532" s="180" t="s">
        <v>548</v>
      </c>
      <c r="B532" s="240">
        <f>'Prior Year'!AM71</f>
        <v>0</v>
      </c>
      <c r="C532" s="240">
        <f>AM71</f>
        <v>0</v>
      </c>
      <c r="D532" s="240">
        <f>'Prior Year'!AM59</f>
        <v>0</v>
      </c>
      <c r="E532" s="180">
        <f>AM59</f>
        <v>0</v>
      </c>
      <c r="F532" s="263" t="str">
        <f t="shared" si="18"/>
        <v/>
      </c>
      <c r="G532" s="263" t="str">
        <f t="shared" si="18"/>
        <v/>
      </c>
      <c r="H532" s="265" t="str">
        <f t="shared" si="16"/>
        <v/>
      </c>
      <c r="I532" s="267"/>
      <c r="K532" s="261"/>
      <c r="L532" s="261"/>
    </row>
    <row r="533" spans="1:12" ht="12.65" customHeight="1" x14ac:dyDescent="0.35">
      <c r="A533" s="180" t="s">
        <v>1246</v>
      </c>
      <c r="B533" s="240">
        <f>'Prior Year'!AN71</f>
        <v>0</v>
      </c>
      <c r="C533" s="240">
        <f>AN71</f>
        <v>0</v>
      </c>
      <c r="D533" s="240">
        <f>'Prior Year'!AN59</f>
        <v>0</v>
      </c>
      <c r="E533" s="180">
        <f>AN59</f>
        <v>0</v>
      </c>
      <c r="F533" s="263" t="str">
        <f t="shared" si="18"/>
        <v/>
      </c>
      <c r="G533" s="263" t="str">
        <f t="shared" si="18"/>
        <v/>
      </c>
      <c r="H533" s="265" t="str">
        <f t="shared" si="16"/>
        <v/>
      </c>
      <c r="I533" s="267"/>
      <c r="K533" s="261"/>
      <c r="L533" s="261"/>
    </row>
    <row r="534" spans="1:12" ht="12.65" customHeight="1" x14ac:dyDescent="0.35">
      <c r="A534" s="180" t="s">
        <v>549</v>
      </c>
      <c r="B534" s="240">
        <f>'Prior Year'!AO71</f>
        <v>0</v>
      </c>
      <c r="C534" s="240">
        <f>AO71</f>
        <v>0</v>
      </c>
      <c r="D534" s="240">
        <f>'Prior Year'!AO59</f>
        <v>0</v>
      </c>
      <c r="E534" s="180">
        <f>AO59</f>
        <v>0</v>
      </c>
      <c r="F534" s="263" t="str">
        <f t="shared" si="18"/>
        <v/>
      </c>
      <c r="G534" s="263" t="str">
        <f t="shared" si="18"/>
        <v/>
      </c>
      <c r="H534" s="265" t="str">
        <f t="shared" si="16"/>
        <v/>
      </c>
      <c r="I534" s="267"/>
      <c r="K534" s="261"/>
      <c r="L534" s="261"/>
    </row>
    <row r="535" spans="1:12" ht="12.65" customHeight="1" x14ac:dyDescent="0.35">
      <c r="A535" s="180" t="s">
        <v>550</v>
      </c>
      <c r="B535" s="240">
        <f>'Prior Year'!AP71</f>
        <v>73089663.260000005</v>
      </c>
      <c r="C535" s="240">
        <f>AP71</f>
        <v>79820872.239999995</v>
      </c>
      <c r="D535" s="240">
        <f>'Prior Year'!AP59</f>
        <v>330570</v>
      </c>
      <c r="E535" s="180">
        <f>AP59</f>
        <v>363714</v>
      </c>
      <c r="F535" s="263">
        <f t="shared" si="18"/>
        <v>221.10192473606196</v>
      </c>
      <c r="G535" s="263">
        <f t="shared" si="18"/>
        <v>219.46054383389145</v>
      </c>
      <c r="H535" s="265" t="str">
        <f t="shared" si="16"/>
        <v/>
      </c>
      <c r="I535" s="267"/>
      <c r="K535" s="261"/>
      <c r="L535" s="261"/>
    </row>
    <row r="536" spans="1:12" ht="12.65" customHeight="1" x14ac:dyDescent="0.35">
      <c r="A536" s="180" t="s">
        <v>551</v>
      </c>
      <c r="B536" s="240">
        <f>'Prior Year'!AQ71</f>
        <v>0</v>
      </c>
      <c r="C536" s="240">
        <f>AQ71</f>
        <v>0</v>
      </c>
      <c r="D536" s="240">
        <f>'Prior Year'!AQ59</f>
        <v>0</v>
      </c>
      <c r="E536" s="180">
        <f>AQ59</f>
        <v>0</v>
      </c>
      <c r="F536" s="263" t="str">
        <f t="shared" si="18"/>
        <v/>
      </c>
      <c r="G536" s="263" t="str">
        <f t="shared" si="18"/>
        <v/>
      </c>
      <c r="H536" s="265" t="str">
        <f t="shared" si="16"/>
        <v/>
      </c>
      <c r="I536" s="267"/>
      <c r="K536" s="261"/>
      <c r="L536" s="261"/>
    </row>
    <row r="537" spans="1:12" ht="12.65" customHeight="1" x14ac:dyDescent="0.35">
      <c r="A537" s="180" t="s">
        <v>552</v>
      </c>
      <c r="B537" s="240">
        <f>'Prior Year'!AR71</f>
        <v>65774180.809999995</v>
      </c>
      <c r="C537" s="240">
        <f>AR71</f>
        <v>71372341.429999992</v>
      </c>
      <c r="D537" s="240">
        <f>'Prior Year'!AR59</f>
        <v>0</v>
      </c>
      <c r="E537" s="180">
        <f>AR59</f>
        <v>111169</v>
      </c>
      <c r="F537" s="263" t="str">
        <f t="shared" si="18"/>
        <v/>
      </c>
      <c r="G537" s="263">
        <f t="shared" si="18"/>
        <v>642.01658223065772</v>
      </c>
      <c r="H537" s="265" t="str">
        <f t="shared" si="16"/>
        <v/>
      </c>
      <c r="I537" s="267"/>
      <c r="K537" s="261"/>
      <c r="L537" s="261"/>
    </row>
    <row r="538" spans="1:12" ht="12.65" customHeight="1" x14ac:dyDescent="0.35">
      <c r="A538" s="180" t="s">
        <v>553</v>
      </c>
      <c r="B538" s="240">
        <f>'Prior Year'!AS71</f>
        <v>0</v>
      </c>
      <c r="C538" s="240">
        <f>AS71</f>
        <v>0</v>
      </c>
      <c r="D538" s="240">
        <f>'Prior Year'!AS59</f>
        <v>0</v>
      </c>
      <c r="E538" s="180">
        <f>AS59</f>
        <v>0</v>
      </c>
      <c r="F538" s="263" t="str">
        <f t="shared" si="18"/>
        <v/>
      </c>
      <c r="G538" s="263" t="str">
        <f t="shared" si="18"/>
        <v/>
      </c>
      <c r="H538" s="265" t="str">
        <f t="shared" si="16"/>
        <v/>
      </c>
      <c r="I538" s="267"/>
      <c r="K538" s="261"/>
      <c r="L538" s="261"/>
    </row>
    <row r="539" spans="1:12" ht="12.65" customHeight="1" x14ac:dyDescent="0.35">
      <c r="A539" s="180" t="s">
        <v>554</v>
      </c>
      <c r="B539" s="240">
        <f>'Prior Year'!AT71</f>
        <v>0</v>
      </c>
      <c r="C539" s="240">
        <f>AT71</f>
        <v>0</v>
      </c>
      <c r="D539" s="240">
        <f>'Prior Year'!AT59</f>
        <v>0</v>
      </c>
      <c r="E539" s="180">
        <f>AT59</f>
        <v>0</v>
      </c>
      <c r="F539" s="263" t="str">
        <f t="shared" si="18"/>
        <v/>
      </c>
      <c r="G539" s="263" t="str">
        <f t="shared" si="18"/>
        <v/>
      </c>
      <c r="H539" s="265" t="str">
        <f t="shared" si="16"/>
        <v/>
      </c>
      <c r="I539" s="267"/>
      <c r="K539" s="261"/>
      <c r="L539" s="261"/>
    </row>
    <row r="540" spans="1:12" ht="12.65" customHeight="1" x14ac:dyDescent="0.35">
      <c r="A540" s="180" t="s">
        <v>555</v>
      </c>
      <c r="B540" s="240">
        <f>'Prior Year'!AU71</f>
        <v>0</v>
      </c>
      <c r="C540" s="240">
        <f>AU71</f>
        <v>0</v>
      </c>
      <c r="D540" s="240">
        <f>'Prior Year'!AU59</f>
        <v>0</v>
      </c>
      <c r="E540" s="180">
        <f>AU59</f>
        <v>0</v>
      </c>
      <c r="F540" s="263" t="str">
        <f t="shared" si="18"/>
        <v/>
      </c>
      <c r="G540" s="263" t="str">
        <f t="shared" si="18"/>
        <v/>
      </c>
      <c r="H540" s="265" t="str">
        <f t="shared" si="16"/>
        <v/>
      </c>
      <c r="I540" s="267"/>
      <c r="K540" s="261"/>
      <c r="L540" s="261"/>
    </row>
    <row r="541" spans="1:12" ht="12.65" customHeight="1" x14ac:dyDescent="0.35">
      <c r="A541" s="180" t="s">
        <v>556</v>
      </c>
      <c r="B541" s="240">
        <f>'Prior Year'!AV71</f>
        <v>3680391.3200000012</v>
      </c>
      <c r="C541" s="240">
        <f>AV71</f>
        <v>4339394.4700000016</v>
      </c>
      <c r="D541" s="181" t="s">
        <v>529</v>
      </c>
      <c r="E541" s="181" t="s">
        <v>529</v>
      </c>
      <c r="F541" s="263"/>
      <c r="G541" s="263"/>
      <c r="H541" s="265"/>
      <c r="I541" s="267"/>
      <c r="K541" s="261"/>
      <c r="L541" s="261"/>
    </row>
    <row r="542" spans="1:12" ht="12.65" customHeight="1" x14ac:dyDescent="0.35">
      <c r="A542" s="180" t="s">
        <v>1247</v>
      </c>
      <c r="B542" s="240">
        <f>'Prior Year'!AW71</f>
        <v>-1520587.2999999998</v>
      </c>
      <c r="C542" s="240">
        <f>AW71</f>
        <v>-1592350.4900000002</v>
      </c>
      <c r="D542" s="181" t="s">
        <v>529</v>
      </c>
      <c r="E542" s="181" t="s">
        <v>529</v>
      </c>
      <c r="F542" s="263"/>
      <c r="G542" s="263"/>
      <c r="H542" s="265"/>
      <c r="I542" s="267"/>
      <c r="K542" s="261"/>
      <c r="L542" s="261"/>
    </row>
    <row r="543" spans="1:12" ht="12.65" customHeight="1" x14ac:dyDescent="0.35">
      <c r="A543" s="180" t="s">
        <v>557</v>
      </c>
      <c r="B543" s="240">
        <f>'Prior Year'!AX71</f>
        <v>5028771.9899999993</v>
      </c>
      <c r="C543" s="240">
        <f>AX71</f>
        <v>4731566.4300000006</v>
      </c>
      <c r="D543" s="181" t="s">
        <v>529</v>
      </c>
      <c r="E543" s="181" t="s">
        <v>529</v>
      </c>
      <c r="F543" s="263"/>
      <c r="G543" s="263"/>
      <c r="H543" s="265"/>
      <c r="I543" s="267"/>
      <c r="K543" s="261"/>
      <c r="L543" s="261"/>
    </row>
    <row r="544" spans="1:12" ht="12.65" customHeight="1" x14ac:dyDescent="0.35">
      <c r="A544" s="180" t="s">
        <v>558</v>
      </c>
      <c r="B544" s="240">
        <f>'Prior Year'!AY71</f>
        <v>0</v>
      </c>
      <c r="C544" s="240">
        <f>AY71</f>
        <v>0</v>
      </c>
      <c r="D544" s="240">
        <f>'Prior Year'!AY59</f>
        <v>0</v>
      </c>
      <c r="E544" s="180">
        <f>AY59</f>
        <v>0</v>
      </c>
      <c r="F544" s="263" t="str">
        <f t="shared" ref="F544:G550" si="19">IF(B544=0,"",IF(D544=0,"",B544/D544))</f>
        <v/>
      </c>
      <c r="G544" s="263" t="str">
        <f t="shared" si="19"/>
        <v/>
      </c>
      <c r="H544" s="265" t="str">
        <f t="shared" si="16"/>
        <v/>
      </c>
      <c r="I544" s="267"/>
      <c r="K544" s="261"/>
      <c r="L544" s="261"/>
    </row>
    <row r="545" spans="1:13" ht="12.65" customHeight="1" x14ac:dyDescent="0.35">
      <c r="A545" s="180" t="s">
        <v>559</v>
      </c>
      <c r="B545" s="240">
        <f>'Prior Year'!AZ71</f>
        <v>4909692.3099999987</v>
      </c>
      <c r="C545" s="240">
        <f>AZ71</f>
        <v>4125014.4799999995</v>
      </c>
      <c r="D545" s="240">
        <f>'Prior Year'!AZ59</f>
        <v>721631.94</v>
      </c>
      <c r="E545" s="180">
        <f>AZ59</f>
        <v>707764.02</v>
      </c>
      <c r="F545" s="263">
        <f t="shared" si="19"/>
        <v>6.8035961795150017</v>
      </c>
      <c r="G545" s="263">
        <f t="shared" si="19"/>
        <v>5.8282342185181992</v>
      </c>
      <c r="H545" s="265" t="str">
        <f t="shared" si="16"/>
        <v/>
      </c>
      <c r="I545" s="267"/>
      <c r="K545" s="261"/>
      <c r="L545" s="261"/>
    </row>
    <row r="546" spans="1:13" ht="12.65" customHeight="1" x14ac:dyDescent="0.35">
      <c r="A546" s="180" t="s">
        <v>560</v>
      </c>
      <c r="B546" s="240">
        <f>'Prior Year'!BA71</f>
        <v>368842.56000000006</v>
      </c>
      <c r="C546" s="240">
        <f>BA71</f>
        <v>1241680.3500000001</v>
      </c>
      <c r="D546" s="240" t="str">
        <f>'Prior Year'!BA59</f>
        <v>x</v>
      </c>
      <c r="E546" s="180">
        <f>BA59</f>
        <v>0</v>
      </c>
      <c r="F546" s="263" t="str">
        <f t="shared" si="19"/>
        <v/>
      </c>
      <c r="G546" s="263" t="str">
        <f t="shared" si="19"/>
        <v/>
      </c>
      <c r="H546" s="265" t="str">
        <f t="shared" si="16"/>
        <v/>
      </c>
      <c r="I546" s="267"/>
      <c r="K546" s="261"/>
      <c r="L546" s="261"/>
    </row>
    <row r="547" spans="1:13" ht="12.65" customHeight="1" x14ac:dyDescent="0.35">
      <c r="A547" s="180" t="s">
        <v>561</v>
      </c>
      <c r="B547" s="240">
        <f>'Prior Year'!BB71</f>
        <v>227839.55</v>
      </c>
      <c r="C547" s="240">
        <f>BB71</f>
        <v>376507.22</v>
      </c>
      <c r="D547" s="181" t="s">
        <v>529</v>
      </c>
      <c r="E547" s="181" t="s">
        <v>529</v>
      </c>
      <c r="F547" s="263"/>
      <c r="G547" s="263"/>
      <c r="H547" s="265"/>
      <c r="I547" s="267"/>
      <c r="K547" s="261"/>
      <c r="L547" s="261"/>
    </row>
    <row r="548" spans="1:13" ht="12.65" customHeight="1" x14ac:dyDescent="0.35">
      <c r="A548" s="180" t="s">
        <v>562</v>
      </c>
      <c r="B548" s="240">
        <f>'Prior Year'!BC71</f>
        <v>342608.7</v>
      </c>
      <c r="C548" s="240">
        <f>BC71</f>
        <v>490955.84</v>
      </c>
      <c r="D548" s="181" t="s">
        <v>529</v>
      </c>
      <c r="E548" s="181" t="s">
        <v>529</v>
      </c>
      <c r="F548" s="263"/>
      <c r="G548" s="263"/>
      <c r="H548" s="265"/>
      <c r="I548" s="267"/>
      <c r="K548" s="261"/>
      <c r="L548" s="261"/>
    </row>
    <row r="549" spans="1:13" ht="12.65" customHeight="1" x14ac:dyDescent="0.35">
      <c r="A549" s="180" t="s">
        <v>563</v>
      </c>
      <c r="B549" s="240">
        <f>'Prior Year'!BD71</f>
        <v>3185816.23</v>
      </c>
      <c r="C549" s="240">
        <f>BD71</f>
        <v>9480990.5800000001</v>
      </c>
      <c r="D549" s="181" t="s">
        <v>529</v>
      </c>
      <c r="E549" s="181" t="s">
        <v>529</v>
      </c>
      <c r="F549" s="263"/>
      <c r="G549" s="263"/>
      <c r="H549" s="265"/>
      <c r="I549" s="267"/>
      <c r="K549" s="261"/>
      <c r="L549" s="261"/>
    </row>
    <row r="550" spans="1:13" ht="12.65" customHeight="1" x14ac:dyDescent="0.35">
      <c r="A550" s="180" t="s">
        <v>564</v>
      </c>
      <c r="B550" s="240">
        <f>'Prior Year'!BE71</f>
        <v>14451946.390000001</v>
      </c>
      <c r="C550" s="240">
        <f>BE71</f>
        <v>9730138.7699999996</v>
      </c>
      <c r="D550" s="240">
        <f>'Prior Year'!BE59</f>
        <v>679195</v>
      </c>
      <c r="E550" s="180">
        <f>BE59</f>
        <v>679195</v>
      </c>
      <c r="F550" s="263">
        <f t="shared" si="19"/>
        <v>21.278051796612168</v>
      </c>
      <c r="G550" s="263">
        <f t="shared" si="19"/>
        <v>14.325987043485302</v>
      </c>
      <c r="H550" s="265">
        <f t="shared" si="16"/>
        <v>-0.32672468417591471</v>
      </c>
      <c r="I550" s="267"/>
      <c r="K550" s="261"/>
      <c r="L550" s="261"/>
    </row>
    <row r="551" spans="1:13" ht="12.65" customHeight="1" x14ac:dyDescent="0.35">
      <c r="A551" s="180" t="s">
        <v>565</v>
      </c>
      <c r="B551" s="240">
        <f>'Prior Year'!BF71</f>
        <v>5982507.4100000001</v>
      </c>
      <c r="C551" s="240">
        <f>BF71</f>
        <v>6375912.0799999991</v>
      </c>
      <c r="D551" s="181" t="s">
        <v>529</v>
      </c>
      <c r="E551" s="181" t="s">
        <v>529</v>
      </c>
      <c r="F551" s="263"/>
      <c r="G551" s="263"/>
      <c r="H551" s="265"/>
      <c r="I551" s="267"/>
      <c r="J551" s="199"/>
      <c r="M551" s="265"/>
    </row>
    <row r="552" spans="1:13" ht="12.65" customHeight="1" x14ac:dyDescent="0.35">
      <c r="A552" s="180" t="s">
        <v>566</v>
      </c>
      <c r="B552" s="240">
        <f>'Prior Year'!BG71</f>
        <v>2620613.54</v>
      </c>
      <c r="C552" s="240">
        <f>BG71</f>
        <v>2696893.66</v>
      </c>
      <c r="D552" s="181" t="s">
        <v>529</v>
      </c>
      <c r="E552" s="181" t="s">
        <v>529</v>
      </c>
      <c r="F552" s="263"/>
      <c r="G552" s="263"/>
      <c r="H552" s="265"/>
      <c r="J552" s="199"/>
      <c r="M552" s="265"/>
    </row>
    <row r="553" spans="1:13" ht="12.65" customHeight="1" x14ac:dyDescent="0.35">
      <c r="A553" s="180" t="s">
        <v>567</v>
      </c>
      <c r="B553" s="240">
        <f>'Prior Year'!BH71</f>
        <v>35119633.379999995</v>
      </c>
      <c r="C553" s="240">
        <f>BH71</f>
        <v>39890939.25</v>
      </c>
      <c r="D553" s="181" t="s">
        <v>529</v>
      </c>
      <c r="E553" s="181" t="s">
        <v>529</v>
      </c>
      <c r="F553" s="263"/>
      <c r="G553" s="263"/>
      <c r="H553" s="265"/>
      <c r="J553" s="199"/>
      <c r="M553" s="265"/>
    </row>
    <row r="554" spans="1:13" ht="12.65" customHeight="1" x14ac:dyDescent="0.35">
      <c r="A554" s="180" t="s">
        <v>568</v>
      </c>
      <c r="B554" s="240">
        <f>'Prior Year'!BI71</f>
        <v>12268848.76</v>
      </c>
      <c r="C554" s="240">
        <f>BI71</f>
        <v>6604985.7800000012</v>
      </c>
      <c r="D554" s="181" t="s">
        <v>529</v>
      </c>
      <c r="E554" s="181" t="s">
        <v>529</v>
      </c>
      <c r="F554" s="263"/>
      <c r="G554" s="263"/>
      <c r="H554" s="265"/>
      <c r="J554" s="199"/>
      <c r="M554" s="265"/>
    </row>
    <row r="555" spans="1:13" ht="12.65" customHeight="1" x14ac:dyDescent="0.35">
      <c r="A555" s="180" t="s">
        <v>569</v>
      </c>
      <c r="B555" s="240">
        <f>'Prior Year'!BJ71</f>
        <v>1859104.5599999998</v>
      </c>
      <c r="C555" s="240">
        <f>BJ71</f>
        <v>2356091.35</v>
      </c>
      <c r="D555" s="181" t="s">
        <v>529</v>
      </c>
      <c r="E555" s="181" t="s">
        <v>529</v>
      </c>
      <c r="F555" s="263"/>
      <c r="G555" s="263"/>
      <c r="H555" s="265"/>
      <c r="J555" s="199"/>
      <c r="M555" s="265"/>
    </row>
    <row r="556" spans="1:13" ht="12.65" customHeight="1" x14ac:dyDescent="0.35">
      <c r="A556" s="180" t="s">
        <v>570</v>
      </c>
      <c r="B556" s="240">
        <f>'Prior Year'!BK71</f>
        <v>9749778.1099999994</v>
      </c>
      <c r="C556" s="240">
        <f>BK71</f>
        <v>10305075.460000001</v>
      </c>
      <c r="D556" s="181" t="s">
        <v>529</v>
      </c>
      <c r="E556" s="181" t="s">
        <v>529</v>
      </c>
      <c r="F556" s="263"/>
      <c r="G556" s="263"/>
      <c r="H556" s="265"/>
      <c r="J556" s="199"/>
      <c r="M556" s="265"/>
    </row>
    <row r="557" spans="1:13" ht="12.65" customHeight="1" x14ac:dyDescent="0.35">
      <c r="A557" s="180" t="s">
        <v>571</v>
      </c>
      <c r="B557" s="240">
        <f>'Prior Year'!BL71</f>
        <v>5318745.74</v>
      </c>
      <c r="C557" s="240">
        <f>BL71</f>
        <v>5925287.3799999999</v>
      </c>
      <c r="D557" s="181" t="s">
        <v>529</v>
      </c>
      <c r="E557" s="181" t="s">
        <v>529</v>
      </c>
      <c r="F557" s="263"/>
      <c r="G557" s="263"/>
      <c r="H557" s="265"/>
      <c r="J557" s="199"/>
      <c r="M557" s="265"/>
    </row>
    <row r="558" spans="1:13" ht="12.65" customHeight="1" x14ac:dyDescent="0.35">
      <c r="A558" s="180" t="s">
        <v>572</v>
      </c>
      <c r="B558" s="240">
        <f>'Prior Year'!BM71</f>
        <v>4833478.4899999993</v>
      </c>
      <c r="C558" s="240">
        <f>BM71</f>
        <v>5345751.5200000005</v>
      </c>
      <c r="D558" s="181" t="s">
        <v>529</v>
      </c>
      <c r="E558" s="181" t="s">
        <v>529</v>
      </c>
      <c r="F558" s="263"/>
      <c r="G558" s="263"/>
      <c r="H558" s="265"/>
      <c r="J558" s="199"/>
      <c r="M558" s="265"/>
    </row>
    <row r="559" spans="1:13" ht="12.65" customHeight="1" x14ac:dyDescent="0.35">
      <c r="A559" s="180" t="s">
        <v>573</v>
      </c>
      <c r="B559" s="240">
        <f>'Prior Year'!BN71</f>
        <v>10645467.970000001</v>
      </c>
      <c r="C559" s="240">
        <f>BN71</f>
        <v>12954862.439999999</v>
      </c>
      <c r="D559" s="181" t="s">
        <v>529</v>
      </c>
      <c r="E559" s="181" t="s">
        <v>529</v>
      </c>
      <c r="F559" s="263"/>
      <c r="G559" s="263"/>
      <c r="H559" s="265"/>
      <c r="J559" s="199"/>
      <c r="M559" s="265"/>
    </row>
    <row r="560" spans="1:13" ht="12.65" customHeight="1" x14ac:dyDescent="0.35">
      <c r="A560" s="180" t="s">
        <v>574</v>
      </c>
      <c r="B560" s="240">
        <f>'Prior Year'!BO71</f>
        <v>1282071.1199999999</v>
      </c>
      <c r="C560" s="240">
        <f>BO71</f>
        <v>1579781.26</v>
      </c>
      <c r="D560" s="181" t="s">
        <v>529</v>
      </c>
      <c r="E560" s="181" t="s">
        <v>529</v>
      </c>
      <c r="F560" s="263"/>
      <c r="G560" s="263"/>
      <c r="H560" s="265"/>
      <c r="J560" s="199"/>
      <c r="M560" s="265"/>
    </row>
    <row r="561" spans="1:13" ht="12.65" customHeight="1" x14ac:dyDescent="0.35">
      <c r="A561" s="180" t="s">
        <v>575</v>
      </c>
      <c r="B561" s="240">
        <f>'Prior Year'!BP71</f>
        <v>5845316.419999999</v>
      </c>
      <c r="C561" s="240">
        <f>BP71</f>
        <v>7161145.7800000003</v>
      </c>
      <c r="D561" s="181" t="s">
        <v>529</v>
      </c>
      <c r="E561" s="181" t="s">
        <v>529</v>
      </c>
      <c r="F561" s="263"/>
      <c r="G561" s="263"/>
      <c r="H561" s="265"/>
      <c r="J561" s="199"/>
      <c r="M561" s="265"/>
    </row>
    <row r="562" spans="1:13" ht="12.65" customHeight="1" x14ac:dyDescent="0.35">
      <c r="A562" s="180" t="s">
        <v>576</v>
      </c>
      <c r="B562" s="240">
        <f>'Prior Year'!BQ71</f>
        <v>655488.51</v>
      </c>
      <c r="C562" s="240">
        <f>BQ71</f>
        <v>678573.21</v>
      </c>
      <c r="D562" s="181" t="s">
        <v>529</v>
      </c>
      <c r="E562" s="181" t="s">
        <v>529</v>
      </c>
      <c r="F562" s="263"/>
      <c r="G562" s="263"/>
      <c r="H562" s="265"/>
      <c r="J562" s="199"/>
      <c r="M562" s="265"/>
    </row>
    <row r="563" spans="1:13" ht="12.65" customHeight="1" x14ac:dyDescent="0.35">
      <c r="A563" s="180" t="s">
        <v>577</v>
      </c>
      <c r="B563" s="240">
        <f>'Prior Year'!BR71</f>
        <v>4815164.0799999991</v>
      </c>
      <c r="C563" s="240">
        <f>BR71</f>
        <v>12626886.880000001</v>
      </c>
      <c r="D563" s="181" t="s">
        <v>529</v>
      </c>
      <c r="E563" s="181" t="s">
        <v>529</v>
      </c>
      <c r="F563" s="263"/>
      <c r="G563" s="263"/>
      <c r="H563" s="265"/>
      <c r="J563" s="199"/>
      <c r="M563" s="265"/>
    </row>
    <row r="564" spans="1:13" ht="12.65" customHeight="1" x14ac:dyDescent="0.35">
      <c r="A564" s="180" t="s">
        <v>1248</v>
      </c>
      <c r="B564" s="240">
        <f>'Prior Year'!BS71</f>
        <v>208586.09000000008</v>
      </c>
      <c r="C564" s="240">
        <f>BS71</f>
        <v>202765.82999999996</v>
      </c>
      <c r="D564" s="181" t="s">
        <v>529</v>
      </c>
      <c r="E564" s="181" t="s">
        <v>529</v>
      </c>
      <c r="F564" s="263"/>
      <c r="G564" s="263"/>
      <c r="H564" s="265"/>
      <c r="J564" s="199"/>
      <c r="M564" s="265"/>
    </row>
    <row r="565" spans="1:13" ht="12.65" customHeight="1" x14ac:dyDescent="0.35">
      <c r="A565" s="180" t="s">
        <v>578</v>
      </c>
      <c r="B565" s="240">
        <f>'Prior Year'!BT71</f>
        <v>204493.85000000003</v>
      </c>
      <c r="C565" s="240">
        <f>BT71</f>
        <v>195343.11000000004</v>
      </c>
      <c r="D565" s="181" t="s">
        <v>529</v>
      </c>
      <c r="E565" s="181" t="s">
        <v>529</v>
      </c>
      <c r="F565" s="263"/>
      <c r="G565" s="263"/>
      <c r="H565" s="265"/>
      <c r="J565" s="199"/>
      <c r="M565" s="265"/>
    </row>
    <row r="566" spans="1:13" ht="12.65" customHeight="1" x14ac:dyDescent="0.35">
      <c r="A566" s="180" t="s">
        <v>579</v>
      </c>
      <c r="B566" s="240">
        <f>'Prior Year'!BU71</f>
        <v>278655.23000000004</v>
      </c>
      <c r="C566" s="240">
        <f>BU71</f>
        <v>231032.7</v>
      </c>
      <c r="D566" s="181" t="s">
        <v>529</v>
      </c>
      <c r="E566" s="181" t="s">
        <v>529</v>
      </c>
      <c r="F566" s="263"/>
      <c r="G566" s="263"/>
      <c r="H566" s="265"/>
      <c r="J566" s="199"/>
      <c r="M566" s="265"/>
    </row>
    <row r="567" spans="1:13" ht="12.65" customHeight="1" x14ac:dyDescent="0.35">
      <c r="A567" s="180" t="s">
        <v>580</v>
      </c>
      <c r="B567" s="240">
        <f>'Prior Year'!BV71</f>
        <v>6068270.3199999994</v>
      </c>
      <c r="C567" s="240">
        <f>BV71</f>
        <v>6502105.3199999994</v>
      </c>
      <c r="D567" s="181" t="s">
        <v>529</v>
      </c>
      <c r="E567" s="181" t="s">
        <v>529</v>
      </c>
      <c r="F567" s="263"/>
      <c r="G567" s="263"/>
      <c r="H567" s="265"/>
      <c r="J567" s="199"/>
      <c r="M567" s="265"/>
    </row>
    <row r="568" spans="1:13" ht="12.65" customHeight="1" x14ac:dyDescent="0.35">
      <c r="A568" s="180" t="s">
        <v>581</v>
      </c>
      <c r="B568" s="240">
        <f>'Prior Year'!BW71</f>
        <v>3555395.4699999993</v>
      </c>
      <c r="C568" s="240">
        <f>BW71</f>
        <v>3662539.5999999996</v>
      </c>
      <c r="D568" s="181" t="s">
        <v>529</v>
      </c>
      <c r="E568" s="181" t="s">
        <v>529</v>
      </c>
      <c r="F568" s="263"/>
      <c r="G568" s="263"/>
      <c r="H568" s="265"/>
      <c r="J568" s="199"/>
      <c r="M568" s="265"/>
    </row>
    <row r="569" spans="1:13" ht="12.65" customHeight="1" x14ac:dyDescent="0.35">
      <c r="A569" s="180" t="s">
        <v>582</v>
      </c>
      <c r="B569" s="240">
        <f>'Prior Year'!BX71</f>
        <v>7126403.6299999999</v>
      </c>
      <c r="C569" s="240">
        <f>BX71</f>
        <v>7372396.1600000011</v>
      </c>
      <c r="D569" s="181" t="s">
        <v>529</v>
      </c>
      <c r="E569" s="181" t="s">
        <v>529</v>
      </c>
      <c r="F569" s="263"/>
      <c r="G569" s="263"/>
      <c r="H569" s="265"/>
      <c r="J569" s="199"/>
      <c r="M569" s="265"/>
    </row>
    <row r="570" spans="1:13" ht="12.65" customHeight="1" x14ac:dyDescent="0.35">
      <c r="A570" s="180" t="s">
        <v>583</v>
      </c>
      <c r="B570" s="240">
        <f>'Prior Year'!BY71</f>
        <v>1880918.0799999998</v>
      </c>
      <c r="C570" s="240">
        <f>BY71</f>
        <v>2070945.9000000001</v>
      </c>
      <c r="D570" s="181" t="s">
        <v>529</v>
      </c>
      <c r="E570" s="181" t="s">
        <v>529</v>
      </c>
      <c r="F570" s="263"/>
      <c r="G570" s="263"/>
      <c r="H570" s="265"/>
      <c r="J570" s="199"/>
      <c r="M570" s="265"/>
    </row>
    <row r="571" spans="1:13" ht="12.65" customHeight="1" x14ac:dyDescent="0.35">
      <c r="A571" s="180" t="s">
        <v>584</v>
      </c>
      <c r="B571" s="240">
        <f>'Prior Year'!BZ71</f>
        <v>5449476.1699999999</v>
      </c>
      <c r="C571" s="240">
        <f>BZ71</f>
        <v>4963605.21</v>
      </c>
      <c r="D571" s="181" t="s">
        <v>529</v>
      </c>
      <c r="E571" s="181" t="s">
        <v>529</v>
      </c>
      <c r="F571" s="263"/>
      <c r="G571" s="263"/>
      <c r="H571" s="265"/>
      <c r="J571" s="199"/>
      <c r="M571" s="265"/>
    </row>
    <row r="572" spans="1:13" ht="12.65" customHeight="1" x14ac:dyDescent="0.35">
      <c r="A572" s="180" t="s">
        <v>585</v>
      </c>
      <c r="B572" s="240">
        <f>'Prior Year'!CA71</f>
        <v>2703403.01</v>
      </c>
      <c r="C572" s="240">
        <f>CA71</f>
        <v>2915201.06</v>
      </c>
      <c r="D572" s="181" t="s">
        <v>529</v>
      </c>
      <c r="E572" s="181" t="s">
        <v>529</v>
      </c>
      <c r="F572" s="263"/>
      <c r="G572" s="263"/>
      <c r="H572" s="265"/>
      <c r="J572" s="199"/>
      <c r="M572" s="265"/>
    </row>
    <row r="573" spans="1:13" ht="12.65" customHeight="1" x14ac:dyDescent="0.35">
      <c r="A573" s="180" t="s">
        <v>586</v>
      </c>
      <c r="B573" s="240">
        <f>'Prior Year'!CB71</f>
        <v>5850458.8099999996</v>
      </c>
      <c r="C573" s="240">
        <f>CB71</f>
        <v>6559272.1799999997</v>
      </c>
      <c r="D573" s="181" t="s">
        <v>529</v>
      </c>
      <c r="E573" s="181" t="s">
        <v>529</v>
      </c>
      <c r="F573" s="263"/>
      <c r="G573" s="263"/>
      <c r="H573" s="265"/>
      <c r="J573" s="199"/>
      <c r="M573" s="265"/>
    </row>
    <row r="574" spans="1:13" ht="12.65" customHeight="1" x14ac:dyDescent="0.35">
      <c r="A574" s="180" t="s">
        <v>587</v>
      </c>
      <c r="B574" s="240">
        <f>'Prior Year'!CC71</f>
        <v>7198573.2300000004</v>
      </c>
      <c r="C574" s="240">
        <f>CC71</f>
        <v>6284358.8300000001</v>
      </c>
      <c r="D574" s="181" t="s">
        <v>529</v>
      </c>
      <c r="E574" s="181" t="s">
        <v>529</v>
      </c>
      <c r="F574" s="263"/>
      <c r="G574" s="263"/>
      <c r="H574" s="265"/>
      <c r="J574" s="199"/>
      <c r="M574" s="265"/>
    </row>
    <row r="575" spans="1:13" ht="12.65" customHeight="1" x14ac:dyDescent="0.35">
      <c r="A575" s="180" t="s">
        <v>588</v>
      </c>
      <c r="B575" s="240">
        <f>'Prior Year'!CD71</f>
        <v>7565236.3699999992</v>
      </c>
      <c r="C575" s="240">
        <f>CD71</f>
        <v>9138508.1300000008</v>
      </c>
      <c r="D575" s="181" t="s">
        <v>529</v>
      </c>
      <c r="E575" s="181" t="s">
        <v>529</v>
      </c>
      <c r="F575" s="263"/>
      <c r="G575" s="263"/>
      <c r="H575" s="265"/>
    </row>
    <row r="576" spans="1:13" ht="12.65" customHeight="1" x14ac:dyDescent="0.35">
      <c r="M576" s="265"/>
    </row>
    <row r="577" spans="13:13" ht="12.65" customHeight="1" x14ac:dyDescent="0.35">
      <c r="M577" s="265"/>
    </row>
    <row r="578" spans="13:13" ht="12.65" customHeight="1" x14ac:dyDescent="0.35">
      <c r="M578" s="265"/>
    </row>
    <row r="612" spans="1:14" ht="12.65" customHeight="1" x14ac:dyDescent="0.35">
      <c r="A612" s="196"/>
      <c r="C612" s="181" t="s">
        <v>589</v>
      </c>
      <c r="D612" s="180">
        <f>CE76-(BE76+CD76)</f>
        <v>926109</v>
      </c>
      <c r="E612" s="180">
        <f>SUM(C624:D647)+SUM(C668:D713)</f>
        <v>736851134.87638223</v>
      </c>
      <c r="F612" s="180">
        <f>CE64-(AX64+BD64+BE64+BG64+BJ64+BN64+BP64+BQ64+CB64+CC64+CD64)</f>
        <v>109593433.79000007</v>
      </c>
      <c r="G612" s="180">
        <f>CE77-(AX77+AY77+BD77+BE77+BG77+BJ77+BN77+BP77+BQ77+CB77+CC77+CD77)</f>
        <v>213376</v>
      </c>
      <c r="H612" s="197">
        <f>CE60-(AX60+AY60+AZ60+BD60+BE60+BG60+BJ60+BN60+BO60+BP60+BQ60+BR60+CB60+CC60+CD60)</f>
        <v>3614.109692307693</v>
      </c>
      <c r="I612" s="180">
        <f>CE78-(AX78+AY78+AZ78+BD78+BE78+BF78+BG78+BJ78+BN78+BO78+BP78+BQ78+BR78+CB78+CC78+CD78)</f>
        <v>106874</v>
      </c>
      <c r="J612" s="180">
        <f>CE79-(AX79+AY79+AZ79+BA79+BD79+BE79+BF79+BG79+BJ79+BN79+BO79+BP79+BQ79+BR79+CB79+CC79+CD79)</f>
        <v>2452817.1000000006</v>
      </c>
      <c r="K612" s="180">
        <f>CE75-(AW75+AX75+AY75+AZ75+BA75+BB75+BC75+BD75+BE75+BF75+BG75+BH75+BI75+BJ75+BK75+BL75+BM75+BN75+BO75+BP75+BQ75+BR75+BS75+BT75+BU75+BV75+BW75+BX75+CB75+CC75+CD75)</f>
        <v>2101009876.5799999</v>
      </c>
      <c r="L612" s="197">
        <f>CE80-(AW80+AX80+AY80+AZ80+BA80+BB80+BC80+BD80+BE80+BF80+BG80+BH80+BI80+BJ80+BK80+BL80+BM80+BN80+BO80+BP80+BQ80+BR80+BS80+BT80+BU80+BV80+BW80+BX80+BY80+BZ80+CA80+CB80+CC80+CD80)</f>
        <v>991.11932211538465</v>
      </c>
    </row>
    <row r="613" spans="1:14" ht="12.65" customHeight="1" x14ac:dyDescent="0.35">
      <c r="A613" s="196"/>
      <c r="C613" s="181" t="s">
        <v>590</v>
      </c>
      <c r="D613" s="181" t="s">
        <v>591</v>
      </c>
      <c r="E613" s="198" t="s">
        <v>592</v>
      </c>
      <c r="F613" s="181" t="s">
        <v>593</v>
      </c>
      <c r="G613" s="181" t="s">
        <v>594</v>
      </c>
      <c r="H613" s="181" t="s">
        <v>595</v>
      </c>
      <c r="I613" s="181" t="s">
        <v>596</v>
      </c>
      <c r="J613" s="181" t="s">
        <v>597</v>
      </c>
      <c r="K613" s="181" t="s">
        <v>598</v>
      </c>
      <c r="L613" s="198" t="s">
        <v>599</v>
      </c>
    </row>
    <row r="614" spans="1:14" ht="12.65" customHeight="1" x14ac:dyDescent="0.35">
      <c r="A614" s="196">
        <v>8430</v>
      </c>
      <c r="B614" s="198" t="s">
        <v>140</v>
      </c>
      <c r="C614" s="180">
        <f>BE71</f>
        <v>9730138.7699999996</v>
      </c>
      <c r="N614" s="199" t="s">
        <v>600</v>
      </c>
    </row>
    <row r="615" spans="1:14" ht="12.65" customHeight="1" x14ac:dyDescent="0.35">
      <c r="A615" s="196"/>
      <c r="B615" s="198" t="s">
        <v>601</v>
      </c>
      <c r="C615" s="273">
        <f>CD69-CD70</f>
        <v>9138508.1300000008</v>
      </c>
      <c r="D615" s="266">
        <f>SUM(C614:C615)</f>
        <v>18868646.899999999</v>
      </c>
      <c r="N615" s="199" t="s">
        <v>602</v>
      </c>
    </row>
    <row r="616" spans="1:14" ht="12.65" customHeight="1" x14ac:dyDescent="0.35">
      <c r="A616" s="196">
        <v>8310</v>
      </c>
      <c r="B616" s="200" t="s">
        <v>603</v>
      </c>
      <c r="C616" s="180">
        <f>AX71</f>
        <v>4731566.4300000006</v>
      </c>
      <c r="D616" s="180">
        <f>(D615/D612)*AX76</f>
        <v>0</v>
      </c>
      <c r="N616" s="199" t="s">
        <v>604</v>
      </c>
    </row>
    <row r="617" spans="1:14" ht="12.65" customHeight="1" x14ac:dyDescent="0.35">
      <c r="A617" s="196">
        <v>8510</v>
      </c>
      <c r="B617" s="200" t="s">
        <v>145</v>
      </c>
      <c r="C617" s="180">
        <f>BJ71</f>
        <v>2356091.35</v>
      </c>
      <c r="D617" s="180">
        <f>(D615/D612)*BJ76</f>
        <v>92804.072338677186</v>
      </c>
      <c r="N617" s="199" t="s">
        <v>605</v>
      </c>
    </row>
    <row r="618" spans="1:14" ht="12.65" customHeight="1" x14ac:dyDescent="0.35">
      <c r="A618" s="196">
        <v>8470</v>
      </c>
      <c r="B618" s="200" t="s">
        <v>606</v>
      </c>
      <c r="C618" s="180">
        <f>BG71</f>
        <v>2696893.66</v>
      </c>
      <c r="D618" s="180">
        <f>(D615/D612)*BG76</f>
        <v>103439.35790635874</v>
      </c>
      <c r="N618" s="199" t="s">
        <v>607</v>
      </c>
    </row>
    <row r="619" spans="1:14" ht="12.65" customHeight="1" x14ac:dyDescent="0.35">
      <c r="A619" s="196">
        <v>8610</v>
      </c>
      <c r="B619" s="200" t="s">
        <v>608</v>
      </c>
      <c r="C619" s="180">
        <f>BN71</f>
        <v>12954862.439999999</v>
      </c>
      <c r="D619" s="180">
        <f>(D615/D612)*BN76</f>
        <v>290494.06441380008</v>
      </c>
      <c r="N619" s="199" t="s">
        <v>609</v>
      </c>
    </row>
    <row r="620" spans="1:14" ht="12.65" customHeight="1" x14ac:dyDescent="0.35">
      <c r="A620" s="196">
        <v>8790</v>
      </c>
      <c r="B620" s="200" t="s">
        <v>610</v>
      </c>
      <c r="C620" s="180">
        <f>CC71</f>
        <v>6284358.8300000001</v>
      </c>
      <c r="D620" s="180">
        <f>(D615/D612)*CC76</f>
        <v>160466.49258823742</v>
      </c>
      <c r="N620" s="199" t="s">
        <v>611</v>
      </c>
    </row>
    <row r="621" spans="1:14" ht="12.65" customHeight="1" x14ac:dyDescent="0.35">
      <c r="A621" s="196">
        <v>8630</v>
      </c>
      <c r="B621" s="200" t="s">
        <v>612</v>
      </c>
      <c r="C621" s="180">
        <f>BP71</f>
        <v>7161145.7800000003</v>
      </c>
      <c r="D621" s="180">
        <f>(D615/D612)*BP76</f>
        <v>38588.564875840741</v>
      </c>
      <c r="N621" s="199" t="s">
        <v>613</v>
      </c>
    </row>
    <row r="622" spans="1:14" ht="12.65" customHeight="1" x14ac:dyDescent="0.35">
      <c r="A622" s="196">
        <v>8770</v>
      </c>
      <c r="B622" s="198" t="s">
        <v>614</v>
      </c>
      <c r="C622" s="180">
        <f>CB71</f>
        <v>6559272.1799999997</v>
      </c>
      <c r="D622" s="180">
        <f>(D615/D612)*CB76</f>
        <v>82128.038550429803</v>
      </c>
      <c r="N622" s="199" t="s">
        <v>615</v>
      </c>
    </row>
    <row r="623" spans="1:14" ht="12.65" customHeight="1" x14ac:dyDescent="0.35">
      <c r="A623" s="196">
        <v>8640</v>
      </c>
      <c r="B623" s="200" t="s">
        <v>616</v>
      </c>
      <c r="C623" s="180">
        <f>BQ71</f>
        <v>678573.21</v>
      </c>
      <c r="D623" s="180">
        <f>(D615/D612)*BQ76</f>
        <v>34167.382944448218</v>
      </c>
      <c r="E623" s="180">
        <f>SUM(C616:D623)</f>
        <v>44224851.853617795</v>
      </c>
      <c r="N623" s="199" t="s">
        <v>617</v>
      </c>
    </row>
    <row r="624" spans="1:14" ht="12.65" customHeight="1" x14ac:dyDescent="0.35">
      <c r="A624" s="196">
        <v>8420</v>
      </c>
      <c r="B624" s="200" t="s">
        <v>139</v>
      </c>
      <c r="C624" s="180">
        <f>BD71</f>
        <v>9480990.5800000001</v>
      </c>
      <c r="D624" s="180">
        <f>(D615/D612)*BD76</f>
        <v>184935.79903801819</v>
      </c>
      <c r="E624" s="180">
        <f>(E623/E612)*SUM(C624:D624)</f>
        <v>580136.39649567462</v>
      </c>
      <c r="F624" s="180">
        <f>SUM(C624:E624)</f>
        <v>10246062.775533693</v>
      </c>
      <c r="N624" s="199" t="s">
        <v>618</v>
      </c>
    </row>
    <row r="625" spans="1:14" ht="12.65" customHeight="1" x14ac:dyDescent="0.35">
      <c r="A625" s="196">
        <v>8320</v>
      </c>
      <c r="B625" s="200" t="s">
        <v>135</v>
      </c>
      <c r="C625" s="180">
        <f>AY71</f>
        <v>0</v>
      </c>
      <c r="D625" s="180">
        <f>(D615/D612)*AY76</f>
        <v>0</v>
      </c>
      <c r="E625" s="180">
        <f>(E623/E612)*SUM(C625:D625)</f>
        <v>0</v>
      </c>
      <c r="F625" s="180">
        <f>(F624/F612)*AY64</f>
        <v>0</v>
      </c>
      <c r="G625" s="180">
        <f>SUM(C625:F625)</f>
        <v>0</v>
      </c>
      <c r="N625" s="199" t="s">
        <v>619</v>
      </c>
    </row>
    <row r="626" spans="1:14" ht="12.65" customHeight="1" x14ac:dyDescent="0.35">
      <c r="A626" s="196">
        <v>8650</v>
      </c>
      <c r="B626" s="200" t="s">
        <v>152</v>
      </c>
      <c r="C626" s="180">
        <f>BR71</f>
        <v>12626886.880000001</v>
      </c>
      <c r="D626" s="180">
        <f>(D615/D612)*BR76</f>
        <v>69271.974961910528</v>
      </c>
      <c r="E626" s="180">
        <f>(E623/E612)*SUM(C626:D626)</f>
        <v>762007.02949977259</v>
      </c>
      <c r="F626" s="180">
        <f>(F624/F612)*BR64</f>
        <v>5070.4912825302199</v>
      </c>
      <c r="G626" s="180">
        <f>(G625/G612)*BR77</f>
        <v>0</v>
      </c>
      <c r="N626" s="199" t="s">
        <v>620</v>
      </c>
    </row>
    <row r="627" spans="1:14" ht="12.65" customHeight="1" x14ac:dyDescent="0.35">
      <c r="A627" s="196">
        <v>8620</v>
      </c>
      <c r="B627" s="198" t="s">
        <v>621</v>
      </c>
      <c r="C627" s="180">
        <f>BO71</f>
        <v>1579781.26</v>
      </c>
      <c r="D627" s="180">
        <f>(D615/D612)*BO76</f>
        <v>42418.89760902874</v>
      </c>
      <c r="E627" s="180">
        <f>(E623/E612)*SUM(C627:D627)</f>
        <v>97362.354825185219</v>
      </c>
      <c r="F627" s="180">
        <f>(F624/F612)*BO64</f>
        <v>13533.174790939222</v>
      </c>
      <c r="G627" s="180">
        <f>(G625/G612)*BO77</f>
        <v>0</v>
      </c>
      <c r="N627" s="199" t="s">
        <v>622</v>
      </c>
    </row>
    <row r="628" spans="1:14" ht="12.65" customHeight="1" x14ac:dyDescent="0.35">
      <c r="A628" s="196">
        <v>8330</v>
      </c>
      <c r="B628" s="200" t="s">
        <v>136</v>
      </c>
      <c r="C628" s="180">
        <f>AZ71</f>
        <v>4125014.4799999995</v>
      </c>
      <c r="D628" s="180">
        <f>(D615/D612)*AZ76</f>
        <v>480401.1463608495</v>
      </c>
      <c r="E628" s="180">
        <f>(E623/E612)*SUM(C628:D628)</f>
        <v>276411.08788454841</v>
      </c>
      <c r="F628" s="180">
        <f>(F624/F612)*AZ64</f>
        <v>170055.61565900189</v>
      </c>
      <c r="G628" s="180">
        <f>(G625/G612)*AZ77</f>
        <v>0</v>
      </c>
      <c r="H628" s="180">
        <f>SUM(C626:G628)</f>
        <v>20248214.392873768</v>
      </c>
      <c r="N628" s="199" t="s">
        <v>623</v>
      </c>
    </row>
    <row r="629" spans="1:14" ht="12.65" customHeight="1" x14ac:dyDescent="0.35">
      <c r="A629" s="196">
        <v>8460</v>
      </c>
      <c r="B629" s="200" t="s">
        <v>141</v>
      </c>
      <c r="C629" s="180">
        <f>BF71</f>
        <v>6375912.0799999991</v>
      </c>
      <c r="D629" s="180">
        <f>(D615/D612)*BF76</f>
        <v>196182.30791418717</v>
      </c>
      <c r="E629" s="180">
        <f>(E623/E612)*SUM(C629:D629)</f>
        <v>394448.60286774026</v>
      </c>
      <c r="F629" s="180">
        <f>(F624/F612)*BF64</f>
        <v>34307.792842570925</v>
      </c>
      <c r="G629" s="180">
        <f>(G625/G612)*BF77</f>
        <v>0</v>
      </c>
      <c r="H629" s="180">
        <f>(H628/H612)*BF60</f>
        <v>550612.93022348604</v>
      </c>
      <c r="I629" s="180">
        <f>SUM(C629:H629)</f>
        <v>7551463.7138479836</v>
      </c>
      <c r="N629" s="199" t="s">
        <v>624</v>
      </c>
    </row>
    <row r="630" spans="1:14" ht="12.65" customHeight="1" x14ac:dyDescent="0.35">
      <c r="A630" s="196">
        <v>8350</v>
      </c>
      <c r="B630" s="200" t="s">
        <v>625</v>
      </c>
      <c r="C630" s="180">
        <f>BA71</f>
        <v>1241680.3500000001</v>
      </c>
      <c r="D630" s="180">
        <f>(D615/D612)*BA76</f>
        <v>73122.681805381435</v>
      </c>
      <c r="E630" s="180">
        <f>(E623/E612)*SUM(C630:D630)</f>
        <v>78912.777013006227</v>
      </c>
      <c r="F630" s="180">
        <f>(F624/F612)*BA64</f>
        <v>1487.359342436212</v>
      </c>
      <c r="G630" s="180">
        <f>(G625/G612)*BA77</f>
        <v>0</v>
      </c>
      <c r="H630" s="180">
        <f>(H628/H612)*BA60</f>
        <v>30861.05685437873</v>
      </c>
      <c r="I630" s="180">
        <f>(I629/I612)*BA78</f>
        <v>32290.537616525333</v>
      </c>
      <c r="J630" s="180">
        <f>SUM(C630:I630)</f>
        <v>1458354.7626317281</v>
      </c>
      <c r="N630" s="199" t="s">
        <v>626</v>
      </c>
    </row>
    <row r="631" spans="1:14" ht="12.65" customHeight="1" x14ac:dyDescent="0.35">
      <c r="A631" s="196">
        <v>8200</v>
      </c>
      <c r="B631" s="200" t="s">
        <v>627</v>
      </c>
      <c r="C631" s="180">
        <f>AW71</f>
        <v>-1592350.4900000002</v>
      </c>
      <c r="D631" s="180">
        <f>(D615/D612)*AW76</f>
        <v>79683.145316480019</v>
      </c>
      <c r="E631" s="180">
        <f>(E623/E612)*SUM(C631:D631)</f>
        <v>-90788.337095602285</v>
      </c>
      <c r="F631" s="180">
        <f>(F624/F612)*AW64</f>
        <v>4642.3774653306928</v>
      </c>
      <c r="G631" s="180">
        <f>(G625/G612)*AW77</f>
        <v>0</v>
      </c>
      <c r="H631" s="180">
        <f>(H628/H612)*AW60</f>
        <v>107813.09822861904</v>
      </c>
      <c r="I631" s="180">
        <f>(I629/I612)*AW78</f>
        <v>35187.500509911632</v>
      </c>
      <c r="J631" s="180">
        <f>(J630/J612)*AW79</f>
        <v>0</v>
      </c>
      <c r="N631" s="199" t="s">
        <v>628</v>
      </c>
    </row>
    <row r="632" spans="1:14" ht="12.65" customHeight="1" x14ac:dyDescent="0.35">
      <c r="A632" s="196">
        <v>8360</v>
      </c>
      <c r="B632" s="200" t="s">
        <v>629</v>
      </c>
      <c r="C632" s="180">
        <f>BB71</f>
        <v>376507.22</v>
      </c>
      <c r="D632" s="180">
        <f>(D615/D612)*BB76</f>
        <v>0</v>
      </c>
      <c r="E632" s="180">
        <f>(E623/E612)*SUM(C632:D632)</f>
        <v>22597.476258363818</v>
      </c>
      <c r="F632" s="180">
        <f>(F624/F612)*BB64</f>
        <v>0</v>
      </c>
      <c r="G632" s="180">
        <f>(G625/G612)*BB77</f>
        <v>0</v>
      </c>
      <c r="H632" s="180">
        <f>(H628/H612)*BB60</f>
        <v>567.09613118087134</v>
      </c>
      <c r="I632" s="180">
        <f>(I629/I612)*BB78</f>
        <v>0</v>
      </c>
      <c r="J632" s="180">
        <f>(J630/J612)*BB79</f>
        <v>0</v>
      </c>
      <c r="N632" s="199" t="s">
        <v>630</v>
      </c>
    </row>
    <row r="633" spans="1:14" ht="12.65" customHeight="1" x14ac:dyDescent="0.35">
      <c r="A633" s="196">
        <v>8370</v>
      </c>
      <c r="B633" s="200" t="s">
        <v>631</v>
      </c>
      <c r="C633" s="180">
        <f>BC71</f>
        <v>490955.84</v>
      </c>
      <c r="D633" s="180">
        <f>(D615/D612)*BC76</f>
        <v>0</v>
      </c>
      <c r="E633" s="180">
        <f>(E623/E612)*SUM(C633:D633)</f>
        <v>29466.53436899581</v>
      </c>
      <c r="F633" s="180">
        <f>(F624/F612)*BC64</f>
        <v>217.32210186965631</v>
      </c>
      <c r="G633" s="180">
        <f>(G625/G612)*BC77</f>
        <v>0</v>
      </c>
      <c r="H633" s="180">
        <f>(H628/H612)*BC60</f>
        <v>39853.923683543086</v>
      </c>
      <c r="I633" s="180">
        <f>(I629/I612)*BC78</f>
        <v>0</v>
      </c>
      <c r="J633" s="180">
        <f>(J630/J612)*BC79</f>
        <v>0</v>
      </c>
      <c r="N633" s="199" t="s">
        <v>632</v>
      </c>
    </row>
    <row r="634" spans="1:14" ht="12.65" customHeight="1" x14ac:dyDescent="0.35">
      <c r="A634" s="196">
        <v>8490</v>
      </c>
      <c r="B634" s="200" t="s">
        <v>633</v>
      </c>
      <c r="C634" s="180">
        <f>BI71</f>
        <v>6604985.7800000012</v>
      </c>
      <c r="D634" s="180">
        <f>(D615/D612)*BI76</f>
        <v>534005.4305151985</v>
      </c>
      <c r="E634" s="180">
        <f>(E623/E612)*SUM(C634:D634)</f>
        <v>428473.01676787285</v>
      </c>
      <c r="F634" s="180">
        <f>(F624/F612)*BI64</f>
        <v>57727.630675578701</v>
      </c>
      <c r="G634" s="180">
        <f>(G625/G612)*BI77</f>
        <v>0</v>
      </c>
      <c r="H634" s="180">
        <f>(H628/H612)*BI60</f>
        <v>390258.97071143048</v>
      </c>
      <c r="I634" s="180">
        <f>(I629/I612)*BI78</f>
        <v>235855.17410057236</v>
      </c>
      <c r="J634" s="180">
        <f>(J630/J612)*BI79</f>
        <v>29385.096603227317</v>
      </c>
      <c r="N634" s="199" t="s">
        <v>634</v>
      </c>
    </row>
    <row r="635" spans="1:14" ht="12.65" customHeight="1" x14ac:dyDescent="0.35">
      <c r="A635" s="196">
        <v>8530</v>
      </c>
      <c r="B635" s="200" t="s">
        <v>635</v>
      </c>
      <c r="C635" s="180">
        <f>BK71</f>
        <v>10305075.460000001</v>
      </c>
      <c r="D635" s="180">
        <f>(D615/D612)*BK76</f>
        <v>224400.45065602427</v>
      </c>
      <c r="E635" s="180">
        <f>(E623/E612)*SUM(C635:D635)</f>
        <v>631965.5222124646</v>
      </c>
      <c r="F635" s="180">
        <f>(F624/F612)*BK64</f>
        <v>4951.455004018404</v>
      </c>
      <c r="G635" s="180">
        <f>(G625/G612)*BK77</f>
        <v>0</v>
      </c>
      <c r="H635" s="180">
        <f>(H628/H612)*BK60</f>
        <v>502817.02104249818</v>
      </c>
      <c r="I635" s="180">
        <f>(I629/I612)*BK78</f>
        <v>99061.999427502233</v>
      </c>
      <c r="J635" s="180">
        <f>(J630/J612)*BK79</f>
        <v>0</v>
      </c>
      <c r="N635" s="199" t="s">
        <v>636</v>
      </c>
    </row>
    <row r="636" spans="1:14" ht="12.65" customHeight="1" x14ac:dyDescent="0.35">
      <c r="A636" s="196">
        <v>8480</v>
      </c>
      <c r="B636" s="200" t="s">
        <v>637</v>
      </c>
      <c r="C636" s="180">
        <f>BH71</f>
        <v>39890939.25</v>
      </c>
      <c r="D636" s="180">
        <f>(D615/D612)*BH76</f>
        <v>505970.65476590762</v>
      </c>
      <c r="E636" s="180">
        <f>(E623/E612)*SUM(C636:D636)</f>
        <v>2424570.2711470174</v>
      </c>
      <c r="F636" s="180">
        <f>(F624/F612)*BH64</f>
        <v>102859.20030088241</v>
      </c>
      <c r="G636" s="180">
        <f>(G625/G612)*BH77</f>
        <v>0</v>
      </c>
      <c r="H636" s="180">
        <f>(H628/H612)*BH60</f>
        <v>716586.0544357677</v>
      </c>
      <c r="I636" s="180">
        <f>(I629/I612)*BH78</f>
        <v>223419.43094847506</v>
      </c>
      <c r="J636" s="180">
        <f>(J630/J612)*BH79</f>
        <v>0</v>
      </c>
      <c r="N636" s="199" t="s">
        <v>638</v>
      </c>
    </row>
    <row r="637" spans="1:14" ht="12.65" customHeight="1" x14ac:dyDescent="0.35">
      <c r="A637" s="196">
        <v>8560</v>
      </c>
      <c r="B637" s="200" t="s">
        <v>147</v>
      </c>
      <c r="C637" s="180">
        <f>BL71</f>
        <v>5925287.3799999999</v>
      </c>
      <c r="D637" s="180">
        <f>(D615/D612)*BL76</f>
        <v>102074.29251740345</v>
      </c>
      <c r="E637" s="180">
        <f>(E623/E612)*SUM(C637:D637)</f>
        <v>361754.45000837982</v>
      </c>
      <c r="F637" s="180">
        <f>(F624/F612)*BL64</f>
        <v>5522.1771306284736</v>
      </c>
      <c r="G637" s="180">
        <f>(G625/G612)*BL77</f>
        <v>0</v>
      </c>
      <c r="H637" s="180">
        <f>(H628/H612)*BL60</f>
        <v>445234.05725672754</v>
      </c>
      <c r="I637" s="180">
        <f>(I629/I612)*BL78</f>
        <v>45079.568926352651</v>
      </c>
      <c r="J637" s="180">
        <f>(J630/J612)*BL79</f>
        <v>0</v>
      </c>
      <c r="N637" s="199" t="s">
        <v>639</v>
      </c>
    </row>
    <row r="638" spans="1:14" ht="12.65" customHeight="1" x14ac:dyDescent="0.35">
      <c r="A638" s="196">
        <v>8590</v>
      </c>
      <c r="B638" s="200" t="s">
        <v>640</v>
      </c>
      <c r="C638" s="180">
        <f>BM71</f>
        <v>5345751.5200000005</v>
      </c>
      <c r="D638" s="180">
        <f>(D615/D612)*BM76</f>
        <v>95310.087903475709</v>
      </c>
      <c r="E638" s="180">
        <f>(E623/E612)*SUM(C638:D638)</f>
        <v>326565.47862453648</v>
      </c>
      <c r="F638" s="180">
        <f>(F624/F612)*BM64</f>
        <v>925.12064137546349</v>
      </c>
      <c r="G638" s="180">
        <f>(G625/G612)*BM77</f>
        <v>0</v>
      </c>
      <c r="H638" s="180">
        <f>(H628/H612)*BM60</f>
        <v>245305.62795877302</v>
      </c>
      <c r="I638" s="180">
        <f>(I629/I612)*BM78</f>
        <v>42111.948401420348</v>
      </c>
      <c r="J638" s="180">
        <f>(J630/J612)*BM79</f>
        <v>0</v>
      </c>
      <c r="N638" s="199" t="s">
        <v>641</v>
      </c>
    </row>
    <row r="639" spans="1:14" ht="12.65" customHeight="1" x14ac:dyDescent="0.35">
      <c r="A639" s="196">
        <v>8660</v>
      </c>
      <c r="B639" s="200" t="s">
        <v>642</v>
      </c>
      <c r="C639" s="180">
        <f>BS71</f>
        <v>202765.82999999996</v>
      </c>
      <c r="D639" s="180">
        <f>(D615/D612)*BS76</f>
        <v>104091.32943541202</v>
      </c>
      <c r="E639" s="180">
        <f>(E623/E612)*SUM(C639:D639)</f>
        <v>18417.169729310059</v>
      </c>
      <c r="F639" s="180">
        <f>(F624/F612)*BS64</f>
        <v>24038.476261827858</v>
      </c>
      <c r="G639" s="180">
        <f>(G625/G612)*BS77</f>
        <v>0</v>
      </c>
      <c r="H639" s="180">
        <f>(H628/H612)*BS60</f>
        <v>22055.471273438023</v>
      </c>
      <c r="I639" s="180">
        <f>(I629/I612)*BS78</f>
        <v>45998.11813645075</v>
      </c>
      <c r="J639" s="180">
        <f>(J630/J612)*BS79</f>
        <v>0</v>
      </c>
      <c r="N639" s="199" t="s">
        <v>643</v>
      </c>
    </row>
    <row r="640" spans="1:14" ht="12.65" customHeight="1" x14ac:dyDescent="0.35">
      <c r="A640" s="196">
        <v>8670</v>
      </c>
      <c r="B640" s="200" t="s">
        <v>644</v>
      </c>
      <c r="C640" s="180">
        <f>BT71</f>
        <v>195343.11000000004</v>
      </c>
      <c r="D640" s="180">
        <f>(D615/D612)*BT76</f>
        <v>19294.28243792037</v>
      </c>
      <c r="E640" s="180">
        <f>(E623/E612)*SUM(C640:D640)</f>
        <v>12882.258618501457</v>
      </c>
      <c r="F640" s="180">
        <f>(F624/F612)*BT64</f>
        <v>59.507387724740362</v>
      </c>
      <c r="G640" s="180">
        <f>(G625/G612)*BT77</f>
        <v>0</v>
      </c>
      <c r="H640" s="180">
        <f>(H628/H612)*BT60</f>
        <v>8885.1255674220047</v>
      </c>
      <c r="I640" s="180">
        <f>(I629/I612)*BT78</f>
        <v>8549.573417066882</v>
      </c>
      <c r="J640" s="180">
        <f>(J630/J612)*BT79</f>
        <v>0</v>
      </c>
      <c r="N640" s="199" t="s">
        <v>645</v>
      </c>
    </row>
    <row r="641" spans="1:14" ht="12.65" customHeight="1" x14ac:dyDescent="0.35">
      <c r="A641" s="196">
        <v>8680</v>
      </c>
      <c r="B641" s="200" t="s">
        <v>646</v>
      </c>
      <c r="C641" s="180">
        <f>BU71</f>
        <v>231032.7</v>
      </c>
      <c r="D641" s="180">
        <f>(D615/D612)*BU76</f>
        <v>0</v>
      </c>
      <c r="E641" s="180">
        <f>(E623/E612)*SUM(C641:D641)</f>
        <v>13866.283767827057</v>
      </c>
      <c r="F641" s="180">
        <f>(F624/F612)*BU64</f>
        <v>0</v>
      </c>
      <c r="G641" s="180">
        <f>(G625/G612)*BU77</f>
        <v>0</v>
      </c>
      <c r="H641" s="180">
        <f>(H628/H612)*BU60</f>
        <v>0</v>
      </c>
      <c r="I641" s="180">
        <f>(I629/I612)*BU78</f>
        <v>0</v>
      </c>
      <c r="J641" s="180">
        <f>(J630/J612)*BU79</f>
        <v>0</v>
      </c>
      <c r="N641" s="199" t="s">
        <v>647</v>
      </c>
    </row>
    <row r="642" spans="1:14" ht="12.65" customHeight="1" x14ac:dyDescent="0.35">
      <c r="A642" s="196">
        <v>8690</v>
      </c>
      <c r="B642" s="200" t="s">
        <v>648</v>
      </c>
      <c r="C642" s="180">
        <f>BV71</f>
        <v>6502105.3199999994</v>
      </c>
      <c r="D642" s="180">
        <f>(D615/D612)*BV76</f>
        <v>350312.4522044381</v>
      </c>
      <c r="E642" s="180">
        <f>(E623/E612)*SUM(C642:D642)</f>
        <v>411273.24973948725</v>
      </c>
      <c r="F642" s="180">
        <f>(F624/F612)*BV64</f>
        <v>1812.5436097291363</v>
      </c>
      <c r="G642" s="180">
        <f>(G625/G612)*BV77</f>
        <v>0</v>
      </c>
      <c r="H642" s="180">
        <f>(H628/H612)*BV60</f>
        <v>299243.11228286027</v>
      </c>
      <c r="I642" s="180">
        <f>(I629/I612)*BV78</f>
        <v>154740.21308575597</v>
      </c>
      <c r="J642" s="180">
        <f>(J630/J612)*BV79</f>
        <v>0</v>
      </c>
      <c r="N642" s="199" t="s">
        <v>649</v>
      </c>
    </row>
    <row r="643" spans="1:14" ht="12.65" customHeight="1" x14ac:dyDescent="0.35">
      <c r="A643" s="196">
        <v>8700</v>
      </c>
      <c r="B643" s="200" t="s">
        <v>650</v>
      </c>
      <c r="C643" s="180">
        <f>BW71</f>
        <v>3662539.5999999996</v>
      </c>
      <c r="D643" s="180">
        <f>(D615/D612)*BW76</f>
        <v>70209.184034924605</v>
      </c>
      <c r="E643" s="180">
        <f>(E623/E612)*SUM(C643:D643)</f>
        <v>224034.75297410128</v>
      </c>
      <c r="F643" s="180">
        <f>(F624/F612)*BW64</f>
        <v>472.45406665155053</v>
      </c>
      <c r="G643" s="180">
        <f>(G625/G612)*BW77</f>
        <v>0</v>
      </c>
      <c r="H643" s="180">
        <f>(H628/H612)*BW60</f>
        <v>43772.150149327215</v>
      </c>
      <c r="I643" s="180">
        <f>(I629/I612)*BW78</f>
        <v>31018.700248697201</v>
      </c>
      <c r="J643" s="180">
        <f>(J630/J612)*BW79</f>
        <v>0</v>
      </c>
      <c r="N643" s="199" t="s">
        <v>651</v>
      </c>
    </row>
    <row r="644" spans="1:14" ht="12.65" customHeight="1" x14ac:dyDescent="0.35">
      <c r="A644" s="196">
        <v>8710</v>
      </c>
      <c r="B644" s="200" t="s">
        <v>652</v>
      </c>
      <c r="C644" s="180">
        <f>BX71</f>
        <v>7372396.1600000011</v>
      </c>
      <c r="D644" s="180">
        <f>(D615/D612)*BX76</f>
        <v>72307.717394064835</v>
      </c>
      <c r="E644" s="180">
        <f>(E623/E612)*SUM(C644:D644)</f>
        <v>446821.49553456501</v>
      </c>
      <c r="F644" s="180">
        <f>(F624/F612)*BX64</f>
        <v>3059.9306463301418</v>
      </c>
      <c r="G644" s="180">
        <f>(G625/G612)*BX77</f>
        <v>0</v>
      </c>
      <c r="H644" s="180">
        <f>(H628/H612)*BX60</f>
        <v>296934.89042660757</v>
      </c>
      <c r="I644" s="180">
        <f>(I629/I612)*BX78</f>
        <v>31937.249458795297</v>
      </c>
      <c r="J644" s="180">
        <f>(J630/J612)*BX79</f>
        <v>0</v>
      </c>
      <c r="K644" s="180">
        <f>SUM(C631:J644)</f>
        <v>97240852.697541416</v>
      </c>
      <c r="N644" s="199" t="s">
        <v>653</v>
      </c>
    </row>
    <row r="645" spans="1:14" ht="12.65" customHeight="1" x14ac:dyDescent="0.35">
      <c r="A645" s="196">
        <v>8720</v>
      </c>
      <c r="B645" s="200" t="s">
        <v>654</v>
      </c>
      <c r="C645" s="180">
        <f>BY71</f>
        <v>2070945.9000000001</v>
      </c>
      <c r="D645" s="180">
        <f>(D615/D612)*BY76</f>
        <v>26873.4514631647</v>
      </c>
      <c r="E645" s="180">
        <f>(E623/E612)*SUM(C645:D645)</f>
        <v>125908.40353347022</v>
      </c>
      <c r="F645" s="180">
        <f>(F624/F612)*BY64</f>
        <v>413.14020648783179</v>
      </c>
      <c r="G645" s="180">
        <f>(G625/G612)*BY77</f>
        <v>0</v>
      </c>
      <c r="H645" s="180">
        <f>(H628/H612)*BY60</f>
        <v>71386.585692992769</v>
      </c>
      <c r="I645" s="180">
        <f>(I629/I612)*BY78</f>
        <v>11870.482099729226</v>
      </c>
      <c r="J645" s="180">
        <f>(J630/J612)*BY79</f>
        <v>0</v>
      </c>
      <c r="K645" s="180">
        <v>0</v>
      </c>
      <c r="N645" s="199" t="s">
        <v>655</v>
      </c>
    </row>
    <row r="646" spans="1:14" ht="12.65" customHeight="1" x14ac:dyDescent="0.35">
      <c r="A646" s="196">
        <v>8730</v>
      </c>
      <c r="B646" s="200" t="s">
        <v>656</v>
      </c>
      <c r="C646" s="180">
        <f>BZ71</f>
        <v>4963605.21</v>
      </c>
      <c r="D646" s="180">
        <f>(D615/D612)*BZ76</f>
        <v>0</v>
      </c>
      <c r="E646" s="180">
        <f>(E623/E612)*SUM(C646:D646)</f>
        <v>297909.16330599441</v>
      </c>
      <c r="F646" s="180">
        <f>(F624/F612)*BZ64</f>
        <v>160.06505636413746</v>
      </c>
      <c r="G646" s="180">
        <f>(G625/G612)*BZ77</f>
        <v>0</v>
      </c>
      <c r="H646" s="180">
        <f>(H628/H612)*BZ60</f>
        <v>249798.38470279818</v>
      </c>
      <c r="I646" s="180">
        <f>(I629/I612)*BZ78</f>
        <v>0</v>
      </c>
      <c r="J646" s="180">
        <f>(J630/J612)*BZ79</f>
        <v>0</v>
      </c>
      <c r="K646" s="180">
        <v>0</v>
      </c>
      <c r="N646" s="199" t="s">
        <v>657</v>
      </c>
    </row>
    <row r="647" spans="1:14" ht="12.65" customHeight="1" x14ac:dyDescent="0.35">
      <c r="A647" s="196">
        <v>8740</v>
      </c>
      <c r="B647" s="200" t="s">
        <v>658</v>
      </c>
      <c r="C647" s="180">
        <f>CA71</f>
        <v>2915201.06</v>
      </c>
      <c r="D647" s="180">
        <f>(D615/D612)*CA76</f>
        <v>113504.16838611868</v>
      </c>
      <c r="E647" s="180">
        <f>(E623/E612)*SUM(C647:D647)</f>
        <v>181778.96958267543</v>
      </c>
      <c r="F647" s="180">
        <f>(F624/F612)*CA64</f>
        <v>24896.088506458182</v>
      </c>
      <c r="G647" s="180">
        <f>(G625/G612)*CA77</f>
        <v>0</v>
      </c>
      <c r="H647" s="180">
        <f>(H628/H612)*CA60</f>
        <v>85913.151466506097</v>
      </c>
      <c r="I647" s="180">
        <f>(I629/I612)*CA78</f>
        <v>50096.260766119172</v>
      </c>
      <c r="J647" s="180">
        <f>(J630/J612)*CA79</f>
        <v>0</v>
      </c>
      <c r="K647" s="180">
        <v>0</v>
      </c>
      <c r="L647" s="180">
        <f>SUM(C645:K647)</f>
        <v>11190260.484768877</v>
      </c>
      <c r="N647" s="199" t="s">
        <v>659</v>
      </c>
    </row>
    <row r="648" spans="1:14" ht="12.65" customHeight="1" x14ac:dyDescent="0.35">
      <c r="A648" s="196"/>
      <c r="B648" s="196"/>
      <c r="C648" s="180">
        <f>SUM(C614:C647)</f>
        <v>193184763.26000002</v>
      </c>
      <c r="L648" s="266"/>
    </row>
    <row r="666" spans="1:14" ht="12.65" customHeight="1" x14ac:dyDescent="0.35">
      <c r="C666" s="181" t="s">
        <v>660</v>
      </c>
      <c r="M666" s="181" t="s">
        <v>661</v>
      </c>
    </row>
    <row r="667" spans="1:14" ht="12.65" customHeight="1" x14ac:dyDescent="0.35">
      <c r="C667" s="181" t="s">
        <v>590</v>
      </c>
      <c r="D667" s="181" t="s">
        <v>591</v>
      </c>
      <c r="E667" s="198" t="s">
        <v>592</v>
      </c>
      <c r="F667" s="181" t="s">
        <v>593</v>
      </c>
      <c r="G667" s="181" t="s">
        <v>594</v>
      </c>
      <c r="H667" s="181" t="s">
        <v>595</v>
      </c>
      <c r="I667" s="181" t="s">
        <v>596</v>
      </c>
      <c r="J667" s="181" t="s">
        <v>597</v>
      </c>
      <c r="K667" s="181" t="s">
        <v>598</v>
      </c>
      <c r="L667" s="198" t="s">
        <v>599</v>
      </c>
      <c r="M667" s="181" t="s">
        <v>662</v>
      </c>
    </row>
    <row r="668" spans="1:14" ht="12.65" customHeight="1" x14ac:dyDescent="0.35">
      <c r="A668" s="196">
        <v>6010</v>
      </c>
      <c r="B668" s="198" t="s">
        <v>283</v>
      </c>
      <c r="C668" s="180">
        <f>C71</f>
        <v>23799689.959999993</v>
      </c>
      <c r="D668" s="180">
        <f>(D615/D612)*C76</f>
        <v>651625.16917846596</v>
      </c>
      <c r="E668" s="180">
        <f>(E623/E612)*SUM(C668:D668)</f>
        <v>1467536.3014748623</v>
      </c>
      <c r="F668" s="180">
        <f>(F624/F612)*C64</f>
        <v>171252.53126863795</v>
      </c>
      <c r="G668" s="180">
        <f>(G625/G612)*C77</f>
        <v>0</v>
      </c>
      <c r="H668" s="180">
        <f>(H628/H612)*C60</f>
        <v>726432.66302297881</v>
      </c>
      <c r="I668" s="180">
        <f>(I629/I612)*C78</f>
        <v>287788.53328688769</v>
      </c>
      <c r="J668" s="180">
        <f>(J630/J612)*C79</f>
        <v>107136.29160618313</v>
      </c>
      <c r="K668" s="180">
        <f>(K644/K612)*C75</f>
        <v>3788549.5915253079</v>
      </c>
      <c r="L668" s="180">
        <f>(L647/L612)*C80</f>
        <v>1107117.1523426643</v>
      </c>
      <c r="M668" s="180">
        <f t="shared" ref="M668:M713" si="20">ROUND(SUM(D668:L668),0)</f>
        <v>8307438</v>
      </c>
      <c r="N668" s="198" t="s">
        <v>663</v>
      </c>
    </row>
    <row r="669" spans="1:14" ht="12.65" customHeight="1" x14ac:dyDescent="0.35">
      <c r="A669" s="196">
        <v>6030</v>
      </c>
      <c r="B669" s="198" t="s">
        <v>284</v>
      </c>
      <c r="C669" s="180">
        <f>D71</f>
        <v>11995408.549999999</v>
      </c>
      <c r="D669" s="180">
        <f>(D615/D612)*D76</f>
        <v>496476.31937406928</v>
      </c>
      <c r="E669" s="180">
        <f>(E623/E612)*SUM(C669:D669)</f>
        <v>749746.76915331057</v>
      </c>
      <c r="F669" s="180">
        <f>(F624/F612)*D64</f>
        <v>66440.977251466786</v>
      </c>
      <c r="G669" s="180">
        <f>(G625/G612)*D77</f>
        <v>0</v>
      </c>
      <c r="H669" s="180">
        <f>(H628/H612)*D60</f>
        <v>393974.56279919262</v>
      </c>
      <c r="I669" s="180">
        <f>(I629/I612)*D78</f>
        <v>219250.63068726062</v>
      </c>
      <c r="J669" s="180">
        <f>(J630/J612)*D79</f>
        <v>124867.69399791388</v>
      </c>
      <c r="K669" s="180">
        <f>(K644/K612)*D75</f>
        <v>2262556.1807736126</v>
      </c>
      <c r="L669" s="180">
        <f>(L647/L612)*D80</f>
        <v>513004.68222010136</v>
      </c>
      <c r="M669" s="180">
        <f t="shared" si="20"/>
        <v>4826318</v>
      </c>
      <c r="N669" s="198" t="s">
        <v>664</v>
      </c>
    </row>
    <row r="670" spans="1:14" ht="12.65" customHeight="1" x14ac:dyDescent="0.35">
      <c r="A670" s="196">
        <v>6070</v>
      </c>
      <c r="B670" s="198" t="s">
        <v>665</v>
      </c>
      <c r="C670" s="180">
        <f>E71</f>
        <v>41762422.419999979</v>
      </c>
      <c r="D670" s="180">
        <f>(D615/D612)*E76</f>
        <v>2291720.672842829</v>
      </c>
      <c r="E670" s="180">
        <f>(E623/E612)*SUM(C670:D670)</f>
        <v>2644072.6757459734</v>
      </c>
      <c r="F670" s="180">
        <f>(F624/F612)*E64</f>
        <v>197871.27030018868</v>
      </c>
      <c r="G670" s="180">
        <f>(G625/G612)*E77</f>
        <v>0</v>
      </c>
      <c r="H670" s="180">
        <f>(H628/H612)*E60</f>
        <v>1671051.1316584079</v>
      </c>
      <c r="I670" s="180">
        <f>(I629/I612)*E78</f>
        <v>1012029.2566334625</v>
      </c>
      <c r="J670" s="180">
        <f>(J630/J612)*E79</f>
        <v>320793.45435050683</v>
      </c>
      <c r="K670" s="180">
        <f>(K644/K612)*E75</f>
        <v>6714428.745794069</v>
      </c>
      <c r="L670" s="180">
        <f>(L647/L612)*E80</f>
        <v>2086265.3430496014</v>
      </c>
      <c r="M670" s="180">
        <f t="shared" si="20"/>
        <v>16938233</v>
      </c>
      <c r="N670" s="198" t="s">
        <v>666</v>
      </c>
    </row>
    <row r="671" spans="1:14" ht="12.65" customHeight="1" x14ac:dyDescent="0.35">
      <c r="A671" s="196">
        <v>6100</v>
      </c>
      <c r="B671" s="198" t="s">
        <v>667</v>
      </c>
      <c r="C671" s="180">
        <f>F71</f>
        <v>1412464.8700000003</v>
      </c>
      <c r="D671" s="180">
        <f>(D615/D612)*F76</f>
        <v>0</v>
      </c>
      <c r="E671" s="180">
        <f>(E623/E612)*SUM(C671:D671)</f>
        <v>84774.314196678475</v>
      </c>
      <c r="F671" s="180">
        <f>(F624/F612)*F64</f>
        <v>617.61002149099932</v>
      </c>
      <c r="G671" s="180">
        <f>(G625/G612)*F77</f>
        <v>0</v>
      </c>
      <c r="H671" s="180">
        <f>(H628/H612)*F60</f>
        <v>42599.278773999969</v>
      </c>
      <c r="I671" s="180">
        <f>(I629/I612)*F78</f>
        <v>0</v>
      </c>
      <c r="J671" s="180">
        <f>(J630/J612)*F79</f>
        <v>0</v>
      </c>
      <c r="K671" s="180">
        <f>(K644/K612)*F75</f>
        <v>0</v>
      </c>
      <c r="L671" s="180">
        <f>(L647/L612)*F80</f>
        <v>4715.3153301818429</v>
      </c>
      <c r="M671" s="180">
        <f t="shared" si="20"/>
        <v>132707</v>
      </c>
      <c r="N671" s="198" t="s">
        <v>668</v>
      </c>
    </row>
    <row r="672" spans="1:14" ht="12.65" customHeight="1" x14ac:dyDescent="0.35">
      <c r="A672" s="196">
        <v>6120</v>
      </c>
      <c r="B672" s="198" t="s">
        <v>669</v>
      </c>
      <c r="C672" s="180">
        <f>G71</f>
        <v>2750175.3599999994</v>
      </c>
      <c r="D672" s="180">
        <f>(D615/D612)*G76</f>
        <v>185302.53302311065</v>
      </c>
      <c r="E672" s="180">
        <f>(E623/E612)*SUM(C672:D672)</f>
        <v>176183.58552205606</v>
      </c>
      <c r="F672" s="180">
        <f>(F624/F612)*G64</f>
        <v>7033.7694894012966</v>
      </c>
      <c r="G672" s="180">
        <f>(G625/G612)*G77</f>
        <v>0</v>
      </c>
      <c r="H672" s="180">
        <f>(H628/H612)*G60</f>
        <v>100568.84514221761</v>
      </c>
      <c r="I672" s="180">
        <f>(I629/I612)*G78</f>
        <v>81821.537330276449</v>
      </c>
      <c r="J672" s="180">
        <f>(J630/J612)*G79</f>
        <v>18973.385442020728</v>
      </c>
      <c r="K672" s="180">
        <f>(K644/K612)*G75</f>
        <v>640415.67907946242</v>
      </c>
      <c r="L672" s="180">
        <f>(L647/L612)*G80</f>
        <v>125578.24660732524</v>
      </c>
      <c r="M672" s="180">
        <f t="shared" si="20"/>
        <v>1335878</v>
      </c>
      <c r="N672" s="198" t="s">
        <v>670</v>
      </c>
    </row>
    <row r="673" spans="1:14" ht="12.65" customHeight="1" x14ac:dyDescent="0.35">
      <c r="A673" s="196">
        <v>6140</v>
      </c>
      <c r="B673" s="198" t="s">
        <v>671</v>
      </c>
      <c r="C673" s="180">
        <f>H71</f>
        <v>0</v>
      </c>
      <c r="D673" s="180">
        <f>(D615/D612)*H76</f>
        <v>0</v>
      </c>
      <c r="E673" s="180">
        <f>(E623/E612)*SUM(C673:D673)</f>
        <v>0</v>
      </c>
      <c r="F673" s="180">
        <f>(F624/F612)*H64</f>
        <v>0</v>
      </c>
      <c r="G673" s="180">
        <f>(G625/G612)*H77</f>
        <v>0</v>
      </c>
      <c r="H673" s="180">
        <f>(H628/H612)*H60</f>
        <v>0</v>
      </c>
      <c r="I673" s="180">
        <f>(I629/I612)*H78</f>
        <v>0</v>
      </c>
      <c r="J673" s="180">
        <f>(J630/J612)*H79</f>
        <v>0</v>
      </c>
      <c r="K673" s="180">
        <f>(K644/K612)*H75</f>
        <v>0</v>
      </c>
      <c r="L673" s="180">
        <f>(L647/L612)*H80</f>
        <v>0</v>
      </c>
      <c r="M673" s="180">
        <f t="shared" si="20"/>
        <v>0</v>
      </c>
      <c r="N673" s="198" t="s">
        <v>672</v>
      </c>
    </row>
    <row r="674" spans="1:14" ht="12.65" customHeight="1" x14ac:dyDescent="0.35">
      <c r="A674" s="196">
        <v>6150</v>
      </c>
      <c r="B674" s="198" t="s">
        <v>673</v>
      </c>
      <c r="C674" s="180">
        <f>I71</f>
        <v>0</v>
      </c>
      <c r="D674" s="180">
        <f>(D615/D612)*I76</f>
        <v>0</v>
      </c>
      <c r="E674" s="180">
        <f>(E623/E612)*SUM(C674:D674)</f>
        <v>0</v>
      </c>
      <c r="F674" s="180">
        <f>(F624/F612)*I64</f>
        <v>0</v>
      </c>
      <c r="G674" s="180">
        <f>(G625/G612)*I77</f>
        <v>0</v>
      </c>
      <c r="H674" s="180">
        <f>(H628/H612)*I60</f>
        <v>0</v>
      </c>
      <c r="I674" s="180">
        <f>(I629/I612)*I78</f>
        <v>0</v>
      </c>
      <c r="J674" s="180">
        <f>(J630/J612)*I79</f>
        <v>0</v>
      </c>
      <c r="K674" s="180">
        <f>(K644/K612)*I75</f>
        <v>0</v>
      </c>
      <c r="L674" s="180">
        <f>(L647/L612)*I80</f>
        <v>0</v>
      </c>
      <c r="M674" s="180">
        <f t="shared" si="20"/>
        <v>0</v>
      </c>
      <c r="N674" s="198" t="s">
        <v>674</v>
      </c>
    </row>
    <row r="675" spans="1:14" ht="12.65" customHeight="1" x14ac:dyDescent="0.35">
      <c r="A675" s="196">
        <v>6170</v>
      </c>
      <c r="B675" s="198" t="s">
        <v>99</v>
      </c>
      <c r="C675" s="180">
        <f>J71</f>
        <v>0</v>
      </c>
      <c r="D675" s="180">
        <f>(D615/D612)*J76</f>
        <v>0</v>
      </c>
      <c r="E675" s="180">
        <f>(E623/E612)*SUM(C675:D675)</f>
        <v>0</v>
      </c>
      <c r="F675" s="180">
        <f>(F624/F612)*J64</f>
        <v>0</v>
      </c>
      <c r="G675" s="180">
        <f>(G625/G612)*J77</f>
        <v>0</v>
      </c>
      <c r="H675" s="180">
        <f>(H628/H612)*J60</f>
        <v>0</v>
      </c>
      <c r="I675" s="180">
        <f>(I629/I612)*J78</f>
        <v>0</v>
      </c>
      <c r="J675" s="180">
        <f>(J630/J612)*J79</f>
        <v>0</v>
      </c>
      <c r="K675" s="180">
        <f>(K644/K612)*J75</f>
        <v>0</v>
      </c>
      <c r="L675" s="180">
        <f>(L647/L612)*J80</f>
        <v>0</v>
      </c>
      <c r="M675" s="180">
        <f t="shared" si="20"/>
        <v>0</v>
      </c>
      <c r="N675" s="198" t="s">
        <v>675</v>
      </c>
    </row>
    <row r="676" spans="1:14" ht="12.65" customHeight="1" x14ac:dyDescent="0.35">
      <c r="A676" s="196">
        <v>6200</v>
      </c>
      <c r="B676" s="198" t="s">
        <v>288</v>
      </c>
      <c r="C676" s="180">
        <f>K71</f>
        <v>0</v>
      </c>
      <c r="D676" s="180">
        <f>(D615/D612)*K76</f>
        <v>0</v>
      </c>
      <c r="E676" s="180">
        <f>(E623/E612)*SUM(C676:D676)</f>
        <v>0</v>
      </c>
      <c r="F676" s="180">
        <f>(F624/F612)*K64</f>
        <v>0</v>
      </c>
      <c r="G676" s="180">
        <f>(G625/G612)*K77</f>
        <v>0</v>
      </c>
      <c r="H676" s="180">
        <f>(H628/H612)*K60</f>
        <v>0</v>
      </c>
      <c r="I676" s="180">
        <f>(I629/I612)*K78</f>
        <v>0</v>
      </c>
      <c r="J676" s="180">
        <f>(J630/J612)*K79</f>
        <v>0</v>
      </c>
      <c r="K676" s="180">
        <f>(K644/K612)*K75</f>
        <v>0</v>
      </c>
      <c r="L676" s="180">
        <f>(L647/L612)*K80</f>
        <v>0</v>
      </c>
      <c r="M676" s="180">
        <f t="shared" si="20"/>
        <v>0</v>
      </c>
      <c r="N676" s="198" t="s">
        <v>676</v>
      </c>
    </row>
    <row r="677" spans="1:14" ht="12.65" customHeight="1" x14ac:dyDescent="0.35">
      <c r="A677" s="196">
        <v>6210</v>
      </c>
      <c r="B677" s="198" t="s">
        <v>289</v>
      </c>
      <c r="C677" s="180">
        <f>L71</f>
        <v>0</v>
      </c>
      <c r="D677" s="180">
        <f>(D615/D612)*L76</f>
        <v>0</v>
      </c>
      <c r="E677" s="180">
        <f>(E623/E612)*SUM(C677:D677)</f>
        <v>0</v>
      </c>
      <c r="F677" s="180">
        <f>(F624/F612)*L64</f>
        <v>0</v>
      </c>
      <c r="G677" s="180">
        <f>(G625/G612)*L77</f>
        <v>0</v>
      </c>
      <c r="H677" s="180">
        <f>(H628/H612)*L60</f>
        <v>0</v>
      </c>
      <c r="I677" s="180">
        <f>(I629/I612)*L78</f>
        <v>0</v>
      </c>
      <c r="J677" s="180">
        <f>(J630/J612)*L79</f>
        <v>0</v>
      </c>
      <c r="K677" s="180">
        <f>(K644/K612)*L75</f>
        <v>0</v>
      </c>
      <c r="L677" s="180">
        <f>(L647/L612)*L80</f>
        <v>0</v>
      </c>
      <c r="M677" s="180">
        <f t="shared" si="20"/>
        <v>0</v>
      </c>
      <c r="N677" s="198" t="s">
        <v>677</v>
      </c>
    </row>
    <row r="678" spans="1:14" ht="12.65" customHeight="1" x14ac:dyDescent="0.35">
      <c r="A678" s="196">
        <v>6330</v>
      </c>
      <c r="B678" s="198" t="s">
        <v>678</v>
      </c>
      <c r="C678" s="180">
        <f>M71</f>
        <v>6123052.6299999999</v>
      </c>
      <c r="D678" s="180">
        <f>(D615/D612)*M76</f>
        <v>418076.74300541292</v>
      </c>
      <c r="E678" s="180">
        <f>(E623/E612)*SUM(C678:D678)</f>
        <v>392590.12273224408</v>
      </c>
      <c r="F678" s="180">
        <f>(F624/F612)*M64</f>
        <v>13272.497840821972</v>
      </c>
      <c r="G678" s="180">
        <f>(G625/G612)*M77</f>
        <v>0</v>
      </c>
      <c r="H678" s="180">
        <f>(H628/H612)*M60</f>
        <v>265057.96815057541</v>
      </c>
      <c r="I678" s="180">
        <f>(I629/I612)*M78</f>
        <v>184628.39122971706</v>
      </c>
      <c r="J678" s="180">
        <f>(J630/J612)*M79</f>
        <v>16484.621216487045</v>
      </c>
      <c r="K678" s="180">
        <f>(K644/K612)*M75</f>
        <v>276387.39597146405</v>
      </c>
      <c r="L678" s="180">
        <f>(L647/L612)*M80</f>
        <v>199217.89303355728</v>
      </c>
      <c r="M678" s="180">
        <f t="shared" si="20"/>
        <v>1765716</v>
      </c>
      <c r="N678" s="198" t="s">
        <v>679</v>
      </c>
    </row>
    <row r="679" spans="1:14" ht="12.65" customHeight="1" x14ac:dyDescent="0.35">
      <c r="A679" s="196">
        <v>6400</v>
      </c>
      <c r="B679" s="198" t="s">
        <v>680</v>
      </c>
      <c r="C679" s="180">
        <f>N71</f>
        <v>20356249.569999993</v>
      </c>
      <c r="D679" s="180">
        <f>(D615/D612)*N76</f>
        <v>102991.12748013462</v>
      </c>
      <c r="E679" s="180">
        <f>(E623/E612)*SUM(C679:D679)</f>
        <v>1227937.1586166609</v>
      </c>
      <c r="F679" s="180">
        <f>(F624/F612)*N64</f>
        <v>967.42744906312976</v>
      </c>
      <c r="G679" s="180">
        <f>(G625/G612)*N77</f>
        <v>0</v>
      </c>
      <c r="H679" s="180">
        <f>(H628/H612)*N60</f>
        <v>285272.57222588378</v>
      </c>
      <c r="I679" s="180">
        <f>(I629/I612)*N78</f>
        <v>45503.514715628698</v>
      </c>
      <c r="J679" s="180">
        <f>(J630/J612)*N79</f>
        <v>0</v>
      </c>
      <c r="K679" s="180">
        <f>(K644/K612)*N75</f>
        <v>971029.44638473704</v>
      </c>
      <c r="L679" s="180">
        <f>(L647/L612)*N80</f>
        <v>0</v>
      </c>
      <c r="M679" s="180">
        <f t="shared" si="20"/>
        <v>2633701</v>
      </c>
      <c r="N679" s="198" t="s">
        <v>681</v>
      </c>
    </row>
    <row r="680" spans="1:14" ht="12.65" customHeight="1" x14ac:dyDescent="0.35">
      <c r="A680" s="196">
        <v>7010</v>
      </c>
      <c r="B680" s="198" t="s">
        <v>682</v>
      </c>
      <c r="C680" s="180">
        <f>O71</f>
        <v>29547383.460000001</v>
      </c>
      <c r="D680" s="180">
        <f>(D615/D612)*O76</f>
        <v>1108290.4770597196</v>
      </c>
      <c r="E680" s="180">
        <f>(E623/E612)*SUM(C680:D680)</f>
        <v>1839913.8905672233</v>
      </c>
      <c r="F680" s="180">
        <f>(F624/F612)*O64</f>
        <v>177946.66175827794</v>
      </c>
      <c r="G680" s="180">
        <f>(G625/G612)*O77</f>
        <v>0</v>
      </c>
      <c r="H680" s="180">
        <f>(H628/H612)*O60</f>
        <v>991593.200854733</v>
      </c>
      <c r="I680" s="180">
        <f>(I629/I612)*O78</f>
        <v>489445.41371919255</v>
      </c>
      <c r="J680" s="180">
        <f>(J630/J612)*O79</f>
        <v>218941.99712644226</v>
      </c>
      <c r="K680" s="180">
        <f>(K644/K612)*O75</f>
        <v>5125215.1962815048</v>
      </c>
      <c r="L680" s="180">
        <f>(L647/L612)*O80</f>
        <v>1490495.3365624114</v>
      </c>
      <c r="M680" s="180">
        <f t="shared" si="20"/>
        <v>11441842</v>
      </c>
      <c r="N680" s="198" t="s">
        <v>683</v>
      </c>
    </row>
    <row r="681" spans="1:14" ht="12.65" customHeight="1" x14ac:dyDescent="0.35">
      <c r="A681" s="196">
        <v>7020</v>
      </c>
      <c r="B681" s="198" t="s">
        <v>684</v>
      </c>
      <c r="C681" s="180">
        <f>P71</f>
        <v>56825268.649999999</v>
      </c>
      <c r="D681" s="180">
        <f>(D615/D612)*P76</f>
        <v>1466243.2206202508</v>
      </c>
      <c r="E681" s="180">
        <f>(E623/E612)*SUM(C681:D681)</f>
        <v>3498581.1309554004</v>
      </c>
      <c r="F681" s="180">
        <f>(F624/F612)*P64</f>
        <v>3549791.1773613053</v>
      </c>
      <c r="G681" s="180">
        <f>(G625/G612)*P77</f>
        <v>0</v>
      </c>
      <c r="H681" s="180">
        <f>(H628/H612)*P60</f>
        <v>630277.33092677477</v>
      </c>
      <c r="I681" s="180">
        <f>(I629/I612)*P78</f>
        <v>647718.50838224893</v>
      </c>
      <c r="J681" s="180">
        <f>(J630/J612)*P79</f>
        <v>114418.5253556559</v>
      </c>
      <c r="K681" s="180">
        <f>(K644/K612)*P75</f>
        <v>12945825.74682026</v>
      </c>
      <c r="L681" s="180">
        <f>(L647/L612)*P80</f>
        <v>585719.86238271138</v>
      </c>
      <c r="M681" s="180">
        <f t="shared" si="20"/>
        <v>23438576</v>
      </c>
      <c r="N681" s="198" t="s">
        <v>685</v>
      </c>
    </row>
    <row r="682" spans="1:14" ht="12.65" customHeight="1" x14ac:dyDescent="0.35">
      <c r="A682" s="196">
        <v>7030</v>
      </c>
      <c r="B682" s="198" t="s">
        <v>686</v>
      </c>
      <c r="C682" s="180">
        <f>Q71</f>
        <v>8410713.4199999999</v>
      </c>
      <c r="D682" s="180">
        <f>(D615/D612)*Q76</f>
        <v>104295.07053824117</v>
      </c>
      <c r="E682" s="180">
        <f>(E623/E612)*SUM(C682:D682)</f>
        <v>511059.79376625037</v>
      </c>
      <c r="F682" s="180">
        <f>(F624/F612)*Q64</f>
        <v>42295.929942871546</v>
      </c>
      <c r="G682" s="180">
        <f>(G625/G612)*Q77</f>
        <v>0</v>
      </c>
      <c r="H682" s="180">
        <f>(H628/H612)*Q60</f>
        <v>288349.52798466821</v>
      </c>
      <c r="I682" s="180">
        <f>(I629/I612)*Q78</f>
        <v>46068.775767996754</v>
      </c>
      <c r="J682" s="180">
        <f>(J630/J612)*Q79</f>
        <v>0</v>
      </c>
      <c r="K682" s="180">
        <f>(K644/K612)*Q75</f>
        <v>1239073.5451396969</v>
      </c>
      <c r="L682" s="180">
        <f>(L647/L612)*Q80</f>
        <v>459452.62215879548</v>
      </c>
      <c r="M682" s="180">
        <f t="shared" si="20"/>
        <v>2690595</v>
      </c>
      <c r="N682" s="198" t="s">
        <v>687</v>
      </c>
    </row>
    <row r="683" spans="1:14" ht="12.65" customHeight="1" x14ac:dyDescent="0.35">
      <c r="A683" s="196">
        <v>7040</v>
      </c>
      <c r="B683" s="198" t="s">
        <v>107</v>
      </c>
      <c r="C683" s="180">
        <f>R71</f>
        <v>1352621.2000000002</v>
      </c>
      <c r="D683" s="180">
        <f>(D615/D612)*R76</f>
        <v>13263.545794177573</v>
      </c>
      <c r="E683" s="180">
        <f>(E623/E612)*SUM(C683:D683)</f>
        <v>81978.635402384141</v>
      </c>
      <c r="F683" s="180">
        <f>(F624/F612)*R64</f>
        <v>47558.048102695968</v>
      </c>
      <c r="G683" s="180">
        <f>(G625/G612)*R77</f>
        <v>0</v>
      </c>
      <c r="H683" s="180">
        <f>(H628/H612)*R60</f>
        <v>39850.718381006256</v>
      </c>
      <c r="I683" s="180">
        <f>(I629/I612)*R78</f>
        <v>5864.5834183186053</v>
      </c>
      <c r="J683" s="180">
        <f>(J630/J612)*R79</f>
        <v>0</v>
      </c>
      <c r="K683" s="180">
        <f>(K644/K612)*R75</f>
        <v>2003871.9407904951</v>
      </c>
      <c r="L683" s="180">
        <f>(L647/L612)*R80</f>
        <v>0</v>
      </c>
      <c r="M683" s="180">
        <f t="shared" si="20"/>
        <v>2192387</v>
      </c>
      <c r="N683" s="198" t="s">
        <v>688</v>
      </c>
    </row>
    <row r="684" spans="1:14" ht="12.65" customHeight="1" x14ac:dyDescent="0.35">
      <c r="A684" s="196">
        <v>7050</v>
      </c>
      <c r="B684" s="198" t="s">
        <v>689</v>
      </c>
      <c r="C684" s="180">
        <f>S71</f>
        <v>2895057.5500000003</v>
      </c>
      <c r="D684" s="180">
        <f>(D615/D612)*S76</f>
        <v>209242.1126055356</v>
      </c>
      <c r="E684" s="180">
        <f>(E623/E612)*SUM(C684:D684)</f>
        <v>186316.0497282772</v>
      </c>
      <c r="F684" s="180">
        <f>(F624/F612)*S64</f>
        <v>56961.339131940942</v>
      </c>
      <c r="G684" s="180">
        <f>(G625/G612)*S77</f>
        <v>0</v>
      </c>
      <c r="H684" s="180">
        <f>(H628/H612)*S60</f>
        <v>111903.84538976809</v>
      </c>
      <c r="I684" s="180">
        <f>(I629/I612)*S78</f>
        <v>92420.182062177541</v>
      </c>
      <c r="J684" s="180">
        <f>(J630/J612)*S79</f>
        <v>10552.682093861937</v>
      </c>
      <c r="K684" s="180">
        <f>(K644/K612)*S75</f>
        <v>0</v>
      </c>
      <c r="L684" s="180">
        <f>(L647/L612)*S80</f>
        <v>103.13463101885047</v>
      </c>
      <c r="M684" s="180">
        <f t="shared" si="20"/>
        <v>667499</v>
      </c>
      <c r="N684" s="198" t="s">
        <v>690</v>
      </c>
    </row>
    <row r="685" spans="1:14" ht="12.65" customHeight="1" x14ac:dyDescent="0.35">
      <c r="A685" s="196">
        <v>7060</v>
      </c>
      <c r="B685" s="198" t="s">
        <v>691</v>
      </c>
      <c r="C685" s="180">
        <f>T71</f>
        <v>0</v>
      </c>
      <c r="D685" s="180">
        <f>(D615/D612)*T76</f>
        <v>0</v>
      </c>
      <c r="E685" s="180">
        <f>(E623/E612)*SUM(C685:D685)</f>
        <v>0</v>
      </c>
      <c r="F685" s="180">
        <f>(F624/F612)*T64</f>
        <v>0</v>
      </c>
      <c r="G685" s="180">
        <f>(G625/G612)*T77</f>
        <v>0</v>
      </c>
      <c r="H685" s="180">
        <f>(H628/H612)*T60</f>
        <v>0</v>
      </c>
      <c r="I685" s="180">
        <f>(I629/I612)*T78</f>
        <v>0</v>
      </c>
      <c r="J685" s="180">
        <f>(J630/J612)*T79</f>
        <v>0</v>
      </c>
      <c r="K685" s="180">
        <f>(K644/K612)*T75</f>
        <v>0</v>
      </c>
      <c r="L685" s="180">
        <f>(L647/L612)*T80</f>
        <v>0</v>
      </c>
      <c r="M685" s="180">
        <f t="shared" si="20"/>
        <v>0</v>
      </c>
      <c r="N685" s="198" t="s">
        <v>692</v>
      </c>
    </row>
    <row r="686" spans="1:14" ht="12.65" customHeight="1" x14ac:dyDescent="0.35">
      <c r="A686" s="196">
        <v>7070</v>
      </c>
      <c r="B686" s="198" t="s">
        <v>109</v>
      </c>
      <c r="C686" s="180">
        <f>U71</f>
        <v>21083474.649999999</v>
      </c>
      <c r="D686" s="180">
        <f>(D615/D612)*U76</f>
        <v>315187.48607669288</v>
      </c>
      <c r="E686" s="180">
        <f>(E623/E612)*SUM(C686:D686)</f>
        <v>1284320.0180350908</v>
      </c>
      <c r="F686" s="180">
        <f>(F624/F612)*U64</f>
        <v>646199.72934641107</v>
      </c>
      <c r="G686" s="180">
        <f>(G625/G612)*U77</f>
        <v>0</v>
      </c>
      <c r="H686" s="180">
        <f>(H628/H612)*U60</f>
        <v>425684.97095520177</v>
      </c>
      <c r="I686" s="180">
        <f>(I629/I612)*U78</f>
        <v>139195.53414563436</v>
      </c>
      <c r="J686" s="180">
        <f>(J630/J612)*U79</f>
        <v>1144.6827840350322</v>
      </c>
      <c r="K686" s="180">
        <f>(K644/K612)*U75</f>
        <v>6627969.8695854088</v>
      </c>
      <c r="L686" s="180">
        <f>(L647/L612)*U80</f>
        <v>7784.4933865333378</v>
      </c>
      <c r="M686" s="180">
        <f t="shared" si="20"/>
        <v>9447487</v>
      </c>
      <c r="N686" s="198" t="s">
        <v>693</v>
      </c>
    </row>
    <row r="687" spans="1:14" ht="12.65" customHeight="1" x14ac:dyDescent="0.35">
      <c r="A687" s="196">
        <v>7110</v>
      </c>
      <c r="B687" s="198" t="s">
        <v>694</v>
      </c>
      <c r="C687" s="180">
        <f>V71</f>
        <v>243226.63</v>
      </c>
      <c r="D687" s="180">
        <f>(D615/D612)*V76</f>
        <v>6071.4848643086279</v>
      </c>
      <c r="E687" s="180">
        <f>(E623/E612)*SUM(C687:D687)</f>
        <v>14962.550338081353</v>
      </c>
      <c r="F687" s="180">
        <f>(F624/F612)*V64</f>
        <v>3626.9785540280623</v>
      </c>
      <c r="G687" s="180">
        <f>(G625/G612)*V77</f>
        <v>0</v>
      </c>
      <c r="H687" s="180">
        <f>(H628/H612)*V60</f>
        <v>13220.903293088615</v>
      </c>
      <c r="I687" s="180">
        <f>(I629/I612)*V78</f>
        <v>2684.9899987482772</v>
      </c>
      <c r="J687" s="180">
        <f>(J630/J612)*V79</f>
        <v>0</v>
      </c>
      <c r="K687" s="180">
        <f>(K644/K612)*V75</f>
        <v>133081.69656881347</v>
      </c>
      <c r="L687" s="180">
        <f>(L647/L612)*V80</f>
        <v>0</v>
      </c>
      <c r="M687" s="180">
        <f t="shared" si="20"/>
        <v>173649</v>
      </c>
      <c r="N687" s="198" t="s">
        <v>695</v>
      </c>
    </row>
    <row r="688" spans="1:14" ht="12.65" customHeight="1" x14ac:dyDescent="0.35">
      <c r="A688" s="196">
        <v>7120</v>
      </c>
      <c r="B688" s="198" t="s">
        <v>696</v>
      </c>
      <c r="C688" s="180">
        <f>W71</f>
        <v>1458195.6599999997</v>
      </c>
      <c r="D688" s="180">
        <f>(D615/D612)*W76</f>
        <v>63241.238318167721</v>
      </c>
      <c r="E688" s="180">
        <f>(E623/E612)*SUM(C688:D688)</f>
        <v>91314.674359613797</v>
      </c>
      <c r="F688" s="180">
        <f>(F624/F612)*W64</f>
        <v>17368.306728040137</v>
      </c>
      <c r="G688" s="180">
        <f>(G625/G612)*W77</f>
        <v>0</v>
      </c>
      <c r="H688" s="180">
        <f>(H628/H612)*W60</f>
        <v>32241.141611351955</v>
      </c>
      <c r="I688" s="180">
        <f>(I629/I612)*W78</f>
        <v>27909.764460672883</v>
      </c>
      <c r="J688" s="180">
        <f>(J630/J612)*W79</f>
        <v>12571.753289538719</v>
      </c>
      <c r="K688" s="180">
        <f>(K644/K612)*W75</f>
        <v>746515.21111646795</v>
      </c>
      <c r="L688" s="180">
        <f>(L647/L612)*W80</f>
        <v>18.99848466136719</v>
      </c>
      <c r="M688" s="180">
        <f t="shared" si="20"/>
        <v>991181</v>
      </c>
      <c r="N688" s="198" t="s">
        <v>697</v>
      </c>
    </row>
    <row r="689" spans="1:14" ht="12.65" customHeight="1" x14ac:dyDescent="0.35">
      <c r="A689" s="196">
        <v>7130</v>
      </c>
      <c r="B689" s="198" t="s">
        <v>698</v>
      </c>
      <c r="C689" s="180">
        <f>X71</f>
        <v>2800255.38</v>
      </c>
      <c r="D689" s="180">
        <f>(D615/D612)*X76</f>
        <v>64504.433155708444</v>
      </c>
      <c r="E689" s="180">
        <f>(E623/E612)*SUM(C689:D689)</f>
        <v>171939.17785614016</v>
      </c>
      <c r="F689" s="180">
        <f>(F624/F612)*X64</f>
        <v>41156.14329528276</v>
      </c>
      <c r="G689" s="180">
        <f>(G625/G612)*X77</f>
        <v>0</v>
      </c>
      <c r="H689" s="180">
        <f>(H628/H612)*X60</f>
        <v>73027.889139060324</v>
      </c>
      <c r="I689" s="180">
        <f>(I629/I612)*X78</f>
        <v>28475.025513040939</v>
      </c>
      <c r="J689" s="180">
        <f>(J630/J612)*X79</f>
        <v>0</v>
      </c>
      <c r="K689" s="180">
        <f>(K644/K612)*X75</f>
        <v>3403901.8523348854</v>
      </c>
      <c r="L689" s="180">
        <f>(L647/L612)*X80</f>
        <v>0</v>
      </c>
      <c r="M689" s="180">
        <f t="shared" si="20"/>
        <v>3783005</v>
      </c>
      <c r="N689" s="198" t="s">
        <v>699</v>
      </c>
    </row>
    <row r="690" spans="1:14" ht="12.65" customHeight="1" x14ac:dyDescent="0.35">
      <c r="A690" s="196">
        <v>7140</v>
      </c>
      <c r="B690" s="198" t="s">
        <v>1249</v>
      </c>
      <c r="C690" s="180">
        <f>Y71</f>
        <v>35213275.070000008</v>
      </c>
      <c r="D690" s="180">
        <f>(D615/D612)*Y76</f>
        <v>1031500.4554034135</v>
      </c>
      <c r="E690" s="180">
        <f>(E623/E612)*SUM(C690:D690)</f>
        <v>2175364.5372989918</v>
      </c>
      <c r="F690" s="180">
        <f>(F624/F612)*Y64</f>
        <v>653594.95409468713</v>
      </c>
      <c r="G690" s="180">
        <f>(G625/G612)*Y77</f>
        <v>0</v>
      </c>
      <c r="H690" s="180">
        <f>(H628/H612)*Y60</f>
        <v>843940.48159506707</v>
      </c>
      <c r="I690" s="180">
        <f>(I629/I612)*Y78</f>
        <v>455529.75057710905</v>
      </c>
      <c r="J690" s="180">
        <f>(J630/J612)*Y79</f>
        <v>166548.67251555232</v>
      </c>
      <c r="K690" s="180">
        <f>(K644/K612)*Y75</f>
        <v>8670112.0014962498</v>
      </c>
      <c r="L690" s="180">
        <f>(L647/L612)*Y80</f>
        <v>344798.44995037169</v>
      </c>
      <c r="M690" s="180">
        <f t="shared" si="20"/>
        <v>14341389</v>
      </c>
      <c r="N690" s="198" t="s">
        <v>700</v>
      </c>
    </row>
    <row r="691" spans="1:14" ht="12.65" customHeight="1" x14ac:dyDescent="0.35">
      <c r="A691" s="196">
        <v>7150</v>
      </c>
      <c r="B691" s="198" t="s">
        <v>701</v>
      </c>
      <c r="C691" s="180">
        <f>Z71</f>
        <v>7987001.5799999991</v>
      </c>
      <c r="D691" s="180">
        <f>(D615/D612)*Z76</f>
        <v>336030.20089611475</v>
      </c>
      <c r="E691" s="180">
        <f>(E623/E612)*SUM(C691:D691)</f>
        <v>499537.60001310857</v>
      </c>
      <c r="F691" s="180">
        <f>(F624/F612)*Z64</f>
        <v>45425.655789880431</v>
      </c>
      <c r="G691" s="180">
        <f>(G625/G612)*Z77</f>
        <v>0</v>
      </c>
      <c r="H691" s="180">
        <f>(H628/H612)*Z60</f>
        <v>120098.69962852228</v>
      </c>
      <c r="I691" s="180">
        <f>(I629/I612)*Z78</f>
        <v>148381.02624661531</v>
      </c>
      <c r="J691" s="180">
        <f>(J630/J612)*Z79</f>
        <v>26865.040516935936</v>
      </c>
      <c r="K691" s="180">
        <f>(K644/K612)*Z75</f>
        <v>1829388.5606135165</v>
      </c>
      <c r="L691" s="180">
        <f>(L647/L612)*Z80</f>
        <v>48243.883446919899</v>
      </c>
      <c r="M691" s="180">
        <f t="shared" si="20"/>
        <v>3053971</v>
      </c>
      <c r="N691" s="198" t="s">
        <v>702</v>
      </c>
    </row>
    <row r="692" spans="1:14" ht="12.65" customHeight="1" x14ac:dyDescent="0.35">
      <c r="A692" s="196">
        <v>7160</v>
      </c>
      <c r="B692" s="198" t="s">
        <v>703</v>
      </c>
      <c r="C692" s="180">
        <f>AA71</f>
        <v>1027008.3300000002</v>
      </c>
      <c r="D692" s="180">
        <f>(D615/D612)*AA76</f>
        <v>23206.111612240024</v>
      </c>
      <c r="E692" s="180">
        <f>(E623/E612)*SUM(C692:D692)</f>
        <v>63032.512126921261</v>
      </c>
      <c r="F692" s="180">
        <f>(F624/F612)*AA64</f>
        <v>28325.158484242744</v>
      </c>
      <c r="G692" s="180">
        <f>(G625/G612)*AA77</f>
        <v>0</v>
      </c>
      <c r="H692" s="180">
        <f>(H628/H612)*AA60</f>
        <v>16861.588268624444</v>
      </c>
      <c r="I692" s="180">
        <f>(I629/I612)*AA78</f>
        <v>10245.356574171057</v>
      </c>
      <c r="J692" s="180">
        <f>(J630/J612)*AA79</f>
        <v>0</v>
      </c>
      <c r="K692" s="180">
        <f>(K644/K612)*AA75</f>
        <v>230208.28247183844</v>
      </c>
      <c r="L692" s="180">
        <f>(L647/L612)*AA80</f>
        <v>0</v>
      </c>
      <c r="M692" s="180">
        <f t="shared" si="20"/>
        <v>371879</v>
      </c>
      <c r="N692" s="198" t="s">
        <v>704</v>
      </c>
    </row>
    <row r="693" spans="1:14" ht="12.65" customHeight="1" x14ac:dyDescent="0.35">
      <c r="A693" s="196">
        <v>7170</v>
      </c>
      <c r="B693" s="198" t="s">
        <v>115</v>
      </c>
      <c r="C693" s="180">
        <f>AB71</f>
        <v>25508689.520000011</v>
      </c>
      <c r="D693" s="180">
        <f>(D615/D612)*AB76</f>
        <v>156778.77862702985</v>
      </c>
      <c r="E693" s="180">
        <f>(E623/E612)*SUM(C693:D693)</f>
        <v>1540408.2039595782</v>
      </c>
      <c r="F693" s="180">
        <f>(F624/F612)*AB64</f>
        <v>1649984.9872029517</v>
      </c>
      <c r="G693" s="180">
        <f>(G625/G612)*AB77</f>
        <v>0</v>
      </c>
      <c r="H693" s="180">
        <f>(H628/H612)*AB60</f>
        <v>302586.02734625567</v>
      </c>
      <c r="I693" s="180">
        <f>(I629/I612)*AB78</f>
        <v>69244.478915087151</v>
      </c>
      <c r="J693" s="180">
        <f>(J630/J612)*AB79</f>
        <v>0</v>
      </c>
      <c r="K693" s="180">
        <f>(K644/K612)*AB75</f>
        <v>6726879.0959487166</v>
      </c>
      <c r="L693" s="180">
        <f>(L647/L612)*AB80</f>
        <v>0</v>
      </c>
      <c r="M693" s="180">
        <f t="shared" si="20"/>
        <v>10445882</v>
      </c>
      <c r="N693" s="198" t="s">
        <v>705</v>
      </c>
    </row>
    <row r="694" spans="1:14" ht="12.65" customHeight="1" x14ac:dyDescent="0.35">
      <c r="A694" s="196">
        <v>7180</v>
      </c>
      <c r="B694" s="198" t="s">
        <v>706</v>
      </c>
      <c r="C694" s="180">
        <f>AC71</f>
        <v>3632417.81</v>
      </c>
      <c r="D694" s="180">
        <f>(D615/D612)*AC76</f>
        <v>53685.780595480654</v>
      </c>
      <c r="E694" s="180">
        <f>(E623/E612)*SUM(C694:D694)</f>
        <v>221235.16880858486</v>
      </c>
      <c r="F694" s="180">
        <f>(F624/F612)*AC64</f>
        <v>35370.345164828555</v>
      </c>
      <c r="G694" s="180">
        <f>(G625/G612)*AC77</f>
        <v>0</v>
      </c>
      <c r="H694" s="180">
        <f>(H628/H612)*AC60</f>
        <v>135545.02561821465</v>
      </c>
      <c r="I694" s="180">
        <f>(I629/I612)*AC78</f>
        <v>23740.964199458453</v>
      </c>
      <c r="J694" s="180">
        <f>(J630/J612)*AC79</f>
        <v>0</v>
      </c>
      <c r="K694" s="180">
        <f>(K644/K612)*AC75</f>
        <v>1036693.695875854</v>
      </c>
      <c r="L694" s="180">
        <f>(L647/L612)*AC80</f>
        <v>0</v>
      </c>
      <c r="M694" s="180">
        <f t="shared" si="20"/>
        <v>1506271</v>
      </c>
      <c r="N694" s="198" t="s">
        <v>707</v>
      </c>
    </row>
    <row r="695" spans="1:14" ht="12.65" customHeight="1" x14ac:dyDescent="0.35">
      <c r="A695" s="196">
        <v>7190</v>
      </c>
      <c r="B695" s="198" t="s">
        <v>117</v>
      </c>
      <c r="C695" s="180">
        <f>AD71</f>
        <v>0</v>
      </c>
      <c r="D695" s="180">
        <f>(D615/D612)*AD76</f>
        <v>0</v>
      </c>
      <c r="E695" s="180">
        <f>(E623/E612)*SUM(C695:D695)</f>
        <v>0</v>
      </c>
      <c r="F695" s="180">
        <f>(F624/F612)*AD64</f>
        <v>0</v>
      </c>
      <c r="G695" s="180">
        <f>(G625/G612)*AD77</f>
        <v>0</v>
      </c>
      <c r="H695" s="180">
        <f>(H628/H612)*AD60</f>
        <v>0</v>
      </c>
      <c r="I695" s="180">
        <f>(I629/I612)*AD78</f>
        <v>0</v>
      </c>
      <c r="J695" s="180">
        <f>(J630/J612)*AD79</f>
        <v>0</v>
      </c>
      <c r="K695" s="180">
        <f>(K644/K612)*AD75</f>
        <v>0</v>
      </c>
      <c r="L695" s="180">
        <f>(L647/L612)*AD80</f>
        <v>0</v>
      </c>
      <c r="M695" s="180">
        <f t="shared" si="20"/>
        <v>0</v>
      </c>
      <c r="N695" s="198" t="s">
        <v>708</v>
      </c>
    </row>
    <row r="696" spans="1:14" ht="12.65" customHeight="1" x14ac:dyDescent="0.35">
      <c r="A696" s="196">
        <v>7200</v>
      </c>
      <c r="B696" s="198" t="s">
        <v>709</v>
      </c>
      <c r="C696" s="180">
        <f>AE71</f>
        <v>7393320.6500000013</v>
      </c>
      <c r="D696" s="180">
        <f>(D615/D612)*AE76</f>
        <v>351636.76937282755</v>
      </c>
      <c r="E696" s="180">
        <f>(E623/E612)*SUM(C696:D696)</f>
        <v>464842.3246872031</v>
      </c>
      <c r="F696" s="180">
        <f>(F624/F612)*AE64</f>
        <v>11744.88757044054</v>
      </c>
      <c r="G696" s="180">
        <f>(G625/G612)*AE77</f>
        <v>0</v>
      </c>
      <c r="H696" s="180">
        <f>(H628/H612)*AE60</f>
        <v>348004.86800473754</v>
      </c>
      <c r="I696" s="180">
        <f>(I629/I612)*AE78</f>
        <v>157707.83361068828</v>
      </c>
      <c r="J696" s="180">
        <f>(J630/J612)*AE79</f>
        <v>0</v>
      </c>
      <c r="K696" s="180">
        <f>(K644/K612)*AE75</f>
        <v>1582081.9421404826</v>
      </c>
      <c r="L696" s="180">
        <f>(L647/L612)*AE80</f>
        <v>0</v>
      </c>
      <c r="M696" s="180">
        <f t="shared" si="20"/>
        <v>2916019</v>
      </c>
      <c r="N696" s="198" t="s">
        <v>710</v>
      </c>
    </row>
    <row r="697" spans="1:14" ht="12.65" customHeight="1" x14ac:dyDescent="0.35">
      <c r="A697" s="196">
        <v>7220</v>
      </c>
      <c r="B697" s="198" t="s">
        <v>711</v>
      </c>
      <c r="C697" s="180">
        <f>AF71</f>
        <v>0</v>
      </c>
      <c r="D697" s="180">
        <f>(D615/D612)*AF76</f>
        <v>0</v>
      </c>
      <c r="E697" s="180">
        <f>(E623/E612)*SUM(C697:D697)</f>
        <v>0</v>
      </c>
      <c r="F697" s="180">
        <f>(F624/F612)*AF64</f>
        <v>0</v>
      </c>
      <c r="G697" s="180">
        <f>(G625/G612)*AF77</f>
        <v>0</v>
      </c>
      <c r="H697" s="180">
        <f>(H628/H612)*AF60</f>
        <v>0</v>
      </c>
      <c r="I697" s="180">
        <f>(I629/I612)*AF78</f>
        <v>0</v>
      </c>
      <c r="J697" s="180">
        <f>(J630/J612)*AF79</f>
        <v>0</v>
      </c>
      <c r="K697" s="180">
        <f>(K644/K612)*AF75</f>
        <v>0</v>
      </c>
      <c r="L697" s="180">
        <f>(L647/L612)*AF80</f>
        <v>0</v>
      </c>
      <c r="M697" s="180">
        <f t="shared" si="20"/>
        <v>0</v>
      </c>
      <c r="N697" s="198" t="s">
        <v>712</v>
      </c>
    </row>
    <row r="698" spans="1:14" ht="12.65" customHeight="1" x14ac:dyDescent="0.35">
      <c r="A698" s="196">
        <v>7230</v>
      </c>
      <c r="B698" s="198" t="s">
        <v>713</v>
      </c>
      <c r="C698" s="180">
        <f>AG71</f>
        <v>18671980.219999999</v>
      </c>
      <c r="D698" s="180">
        <f>(D615/D612)*AG76</f>
        <v>1121798.5121772923</v>
      </c>
      <c r="E698" s="180">
        <f>(E623/E612)*SUM(C698:D698)</f>
        <v>1187996.9923649353</v>
      </c>
      <c r="F698" s="180">
        <f>(F624/F612)*AG64</f>
        <v>165554.24873205868</v>
      </c>
      <c r="G698" s="180">
        <f>(G625/G612)*AG77</f>
        <v>0</v>
      </c>
      <c r="H698" s="180">
        <f>(H628/H612)*AG60</f>
        <v>627739.62018301082</v>
      </c>
      <c r="I698" s="180">
        <f>(I629/I612)*AG78</f>
        <v>495380.65476905712</v>
      </c>
      <c r="J698" s="180">
        <f>(J630/J612)*AG79</f>
        <v>220112.16883448799</v>
      </c>
      <c r="K698" s="180">
        <f>(K644/K612)*AG75</f>
        <v>7839733.2617176576</v>
      </c>
      <c r="L698" s="180">
        <f>(L647/L612)*AG80</f>
        <v>741356.80576325022</v>
      </c>
      <c r="M698" s="180">
        <f t="shared" si="20"/>
        <v>12399672</v>
      </c>
      <c r="N698" s="198" t="s">
        <v>714</v>
      </c>
    </row>
    <row r="699" spans="1:14" ht="12.65" customHeight="1" x14ac:dyDescent="0.35">
      <c r="A699" s="196">
        <v>7240</v>
      </c>
      <c r="B699" s="198" t="s">
        <v>119</v>
      </c>
      <c r="C699" s="180">
        <f>AH71</f>
        <v>0</v>
      </c>
      <c r="D699" s="180">
        <f>(D615/D612)*AH76</f>
        <v>0</v>
      </c>
      <c r="E699" s="180">
        <f>(E623/E612)*SUM(C699:D699)</f>
        <v>0</v>
      </c>
      <c r="F699" s="180">
        <f>(F624/F612)*AH64</f>
        <v>0</v>
      </c>
      <c r="G699" s="180">
        <f>(G625/G612)*AH77</f>
        <v>0</v>
      </c>
      <c r="H699" s="180">
        <f>(H628/H612)*AH60</f>
        <v>0</v>
      </c>
      <c r="I699" s="180">
        <f>(I629/I612)*AH78</f>
        <v>0</v>
      </c>
      <c r="J699" s="180">
        <f>(J630/J612)*AH79</f>
        <v>0</v>
      </c>
      <c r="K699" s="180">
        <f>(K644/K612)*AH75</f>
        <v>0</v>
      </c>
      <c r="L699" s="180">
        <f>(L647/L612)*AH80</f>
        <v>0</v>
      </c>
      <c r="M699" s="180">
        <f t="shared" si="20"/>
        <v>0</v>
      </c>
      <c r="N699" s="198" t="s">
        <v>715</v>
      </c>
    </row>
    <row r="700" spans="1:14" ht="12.65" customHeight="1" x14ac:dyDescent="0.35">
      <c r="A700" s="196">
        <v>7250</v>
      </c>
      <c r="B700" s="198" t="s">
        <v>716</v>
      </c>
      <c r="C700" s="180">
        <f>AI71</f>
        <v>0</v>
      </c>
      <c r="D700" s="180">
        <f>(D615/D612)*AI76</f>
        <v>0</v>
      </c>
      <c r="E700" s="180">
        <f>(E623/E612)*SUM(C700:D700)</f>
        <v>0</v>
      </c>
      <c r="F700" s="180">
        <f>(F624/F612)*AI64</f>
        <v>0</v>
      </c>
      <c r="G700" s="180">
        <f>(G625/G612)*AI77</f>
        <v>0</v>
      </c>
      <c r="H700" s="180">
        <f>(H628/H612)*AI60</f>
        <v>0</v>
      </c>
      <c r="I700" s="180">
        <f>(I629/I612)*AI78</f>
        <v>0</v>
      </c>
      <c r="J700" s="180">
        <f>(J630/J612)*AI79</f>
        <v>0</v>
      </c>
      <c r="K700" s="180">
        <f>(K644/K612)*AI75</f>
        <v>0</v>
      </c>
      <c r="L700" s="180">
        <f>(L647/L612)*AI80</f>
        <v>0</v>
      </c>
      <c r="M700" s="180">
        <f t="shared" si="20"/>
        <v>0</v>
      </c>
      <c r="N700" s="198" t="s">
        <v>717</v>
      </c>
    </row>
    <row r="701" spans="1:14" ht="12.65" customHeight="1" x14ac:dyDescent="0.35">
      <c r="A701" s="196">
        <v>7260</v>
      </c>
      <c r="B701" s="198" t="s">
        <v>121</v>
      </c>
      <c r="C701" s="180">
        <f>AJ71</f>
        <v>100109262.19000001</v>
      </c>
      <c r="D701" s="180">
        <f>(D615/D612)*AJ76</f>
        <v>2946850.1889899564</v>
      </c>
      <c r="E701" s="180">
        <f>(E623/E612)*SUM(C701:D701)</f>
        <v>6185294.5416650958</v>
      </c>
      <c r="F701" s="180">
        <f>(F624/F612)*AJ64</f>
        <v>528269.28508167132</v>
      </c>
      <c r="G701" s="180">
        <f>(G625/G612)*AJ77</f>
        <v>0</v>
      </c>
      <c r="H701" s="180">
        <f>(H628/H612)*AJ60</f>
        <v>2641656.4424669924</v>
      </c>
      <c r="I701" s="180">
        <f>(I629/I612)*AJ78</f>
        <v>1301372.2578143624</v>
      </c>
      <c r="J701" s="180">
        <f>(J630/J612)*AJ79</f>
        <v>52755.116312791157</v>
      </c>
      <c r="K701" s="180">
        <f>(K644/K612)*AJ75</f>
        <v>9228234.2464369666</v>
      </c>
      <c r="L701" s="180">
        <f>(L647/L612)*AJ80</f>
        <v>605443.81775121915</v>
      </c>
      <c r="M701" s="180">
        <f t="shared" si="20"/>
        <v>23489876</v>
      </c>
      <c r="N701" s="198" t="s">
        <v>718</v>
      </c>
    </row>
    <row r="702" spans="1:14" ht="12.65" customHeight="1" x14ac:dyDescent="0.35">
      <c r="A702" s="196">
        <v>7310</v>
      </c>
      <c r="B702" s="198" t="s">
        <v>719</v>
      </c>
      <c r="C702" s="180">
        <f>AK71</f>
        <v>0</v>
      </c>
      <c r="D702" s="180">
        <f>(D615/D612)*AK76</f>
        <v>0</v>
      </c>
      <c r="E702" s="180">
        <f>(E623/E612)*SUM(C702:D702)</f>
        <v>0</v>
      </c>
      <c r="F702" s="180">
        <f>(F624/F612)*AK64</f>
        <v>0</v>
      </c>
      <c r="G702" s="180">
        <f>(G625/G612)*AK77</f>
        <v>0</v>
      </c>
      <c r="H702" s="180">
        <f>(H628/H612)*AK60</f>
        <v>0</v>
      </c>
      <c r="I702" s="180">
        <f>(I629/I612)*AK78</f>
        <v>0</v>
      </c>
      <c r="J702" s="180">
        <f>(J630/J612)*AK79</f>
        <v>0</v>
      </c>
      <c r="K702" s="180">
        <f>(K644/K612)*AK75</f>
        <v>0</v>
      </c>
      <c r="L702" s="180">
        <f>(L647/L612)*AK80</f>
        <v>0</v>
      </c>
      <c r="M702" s="180">
        <f t="shared" si="20"/>
        <v>0</v>
      </c>
      <c r="N702" s="198" t="s">
        <v>720</v>
      </c>
    </row>
    <row r="703" spans="1:14" ht="12.65" customHeight="1" x14ac:dyDescent="0.35">
      <c r="A703" s="196">
        <v>7320</v>
      </c>
      <c r="B703" s="198" t="s">
        <v>721</v>
      </c>
      <c r="C703" s="180">
        <f>AL71</f>
        <v>0</v>
      </c>
      <c r="D703" s="180">
        <f>(D615/D612)*AL76</f>
        <v>0</v>
      </c>
      <c r="E703" s="180">
        <f>(E623/E612)*SUM(C703:D703)</f>
        <v>0</v>
      </c>
      <c r="F703" s="180">
        <f>(F624/F612)*AL64</f>
        <v>0</v>
      </c>
      <c r="G703" s="180">
        <f>(G625/G612)*AL77</f>
        <v>0</v>
      </c>
      <c r="H703" s="180">
        <f>(H628/H612)*AL60</f>
        <v>0</v>
      </c>
      <c r="I703" s="180">
        <f>(I629/I612)*AL78</f>
        <v>0</v>
      </c>
      <c r="J703" s="180">
        <f>(J630/J612)*AL79</f>
        <v>0</v>
      </c>
      <c r="K703" s="180">
        <f>(K644/K612)*AL75</f>
        <v>0</v>
      </c>
      <c r="L703" s="180">
        <f>(L647/L612)*AL80</f>
        <v>0</v>
      </c>
      <c r="M703" s="180">
        <f t="shared" si="20"/>
        <v>0</v>
      </c>
      <c r="N703" s="198" t="s">
        <v>722</v>
      </c>
    </row>
    <row r="704" spans="1:14" ht="12.65" customHeight="1" x14ac:dyDescent="0.35">
      <c r="A704" s="196">
        <v>7330</v>
      </c>
      <c r="B704" s="198" t="s">
        <v>723</v>
      </c>
      <c r="C704" s="180">
        <f>AM71</f>
        <v>0</v>
      </c>
      <c r="D704" s="180">
        <f>(D615/D612)*AM76</f>
        <v>0</v>
      </c>
      <c r="E704" s="180">
        <f>(E623/E612)*SUM(C704:D704)</f>
        <v>0</v>
      </c>
      <c r="F704" s="180">
        <f>(F624/F612)*AM64</f>
        <v>0</v>
      </c>
      <c r="G704" s="180">
        <f>(G625/G612)*AM77</f>
        <v>0</v>
      </c>
      <c r="H704" s="180">
        <f>(H628/H612)*AM60</f>
        <v>0</v>
      </c>
      <c r="I704" s="180">
        <f>(I629/I612)*AM78</f>
        <v>0</v>
      </c>
      <c r="J704" s="180">
        <f>(J630/J612)*AM79</f>
        <v>0</v>
      </c>
      <c r="K704" s="180">
        <f>(K644/K612)*AM75</f>
        <v>0</v>
      </c>
      <c r="L704" s="180">
        <f>(L647/L612)*AM80</f>
        <v>0</v>
      </c>
      <c r="M704" s="180">
        <f t="shared" si="20"/>
        <v>0</v>
      </c>
      <c r="N704" s="198" t="s">
        <v>724</v>
      </c>
    </row>
    <row r="705" spans="1:83" ht="12.65" customHeight="1" x14ac:dyDescent="0.35">
      <c r="A705" s="196">
        <v>7340</v>
      </c>
      <c r="B705" s="198" t="s">
        <v>725</v>
      </c>
      <c r="C705" s="180">
        <f>AN71</f>
        <v>0</v>
      </c>
      <c r="D705" s="180">
        <f>(D615/D612)*AN76</f>
        <v>0</v>
      </c>
      <c r="E705" s="180">
        <f>(E623/E612)*SUM(C705:D705)</f>
        <v>0</v>
      </c>
      <c r="F705" s="180">
        <f>(F624/F612)*AN64</f>
        <v>0</v>
      </c>
      <c r="G705" s="180">
        <f>(G625/G612)*AN77</f>
        <v>0</v>
      </c>
      <c r="H705" s="180">
        <f>(H628/H612)*AN60</f>
        <v>0</v>
      </c>
      <c r="I705" s="180">
        <f>(I629/I612)*AN78</f>
        <v>0</v>
      </c>
      <c r="J705" s="180">
        <f>(J630/J612)*AN79</f>
        <v>0</v>
      </c>
      <c r="K705" s="180">
        <f>(K644/K612)*AN75</f>
        <v>0</v>
      </c>
      <c r="L705" s="180">
        <f>(L647/L612)*AN80</f>
        <v>0</v>
      </c>
      <c r="M705" s="180">
        <f t="shared" si="20"/>
        <v>0</v>
      </c>
      <c r="N705" s="198" t="s">
        <v>726</v>
      </c>
    </row>
    <row r="706" spans="1:83" ht="12.65" customHeight="1" x14ac:dyDescent="0.35">
      <c r="A706" s="196">
        <v>7350</v>
      </c>
      <c r="B706" s="198" t="s">
        <v>727</v>
      </c>
      <c r="C706" s="180">
        <f>AO71</f>
        <v>0</v>
      </c>
      <c r="D706" s="180">
        <f>(D615/D612)*AO76</f>
        <v>0</v>
      </c>
      <c r="E706" s="180">
        <f>(E623/E612)*SUM(C706:D706)</f>
        <v>0</v>
      </c>
      <c r="F706" s="180">
        <f>(F624/F612)*AO64</f>
        <v>0</v>
      </c>
      <c r="G706" s="180">
        <f>(G625/G612)*AO77</f>
        <v>0</v>
      </c>
      <c r="H706" s="180">
        <f>(H628/H612)*AO60</f>
        <v>0</v>
      </c>
      <c r="I706" s="180">
        <f>(I629/I612)*AO78</f>
        <v>0</v>
      </c>
      <c r="J706" s="180">
        <f>(J630/J612)*AO79</f>
        <v>0</v>
      </c>
      <c r="K706" s="180">
        <f>(K644/K612)*AO75</f>
        <v>0</v>
      </c>
      <c r="L706" s="180">
        <f>(L647/L612)*AO80</f>
        <v>0</v>
      </c>
      <c r="M706" s="180">
        <f t="shared" si="20"/>
        <v>0</v>
      </c>
      <c r="N706" s="198" t="s">
        <v>728</v>
      </c>
    </row>
    <row r="707" spans="1:83" ht="12.65" customHeight="1" x14ac:dyDescent="0.35">
      <c r="A707" s="196">
        <v>7380</v>
      </c>
      <c r="B707" s="198" t="s">
        <v>729</v>
      </c>
      <c r="C707" s="180">
        <f>AP71</f>
        <v>79820872.239999995</v>
      </c>
      <c r="D707" s="180">
        <f>(D615/D612)*AP76</f>
        <v>936557.10148503026</v>
      </c>
      <c r="E707" s="180">
        <f>(E623/E612)*SUM(C707:D707)</f>
        <v>4846956.4334800839</v>
      </c>
      <c r="F707" s="180">
        <f>(F624/F612)*AP64</f>
        <v>477455.96970964019</v>
      </c>
      <c r="G707" s="180">
        <f>(G625/G612)*AP77</f>
        <v>0</v>
      </c>
      <c r="H707" s="180">
        <f>(H628/H612)*AP60</f>
        <v>2204911.2653523139</v>
      </c>
      <c r="I707" s="180">
        <f>(I629/I612)*AP78</f>
        <v>413629.77507032669</v>
      </c>
      <c r="J707" s="180">
        <f>(J630/J612)*AP79</f>
        <v>0</v>
      </c>
      <c r="K707" s="180">
        <f>(K644/K612)*AP75</f>
        <v>6203368.3160108849</v>
      </c>
      <c r="L707" s="180">
        <f>(L647/L612)*AP80</f>
        <v>173944.04604438637</v>
      </c>
      <c r="M707" s="180">
        <f t="shared" si="20"/>
        <v>15256823</v>
      </c>
      <c r="N707" s="198" t="s">
        <v>730</v>
      </c>
    </row>
    <row r="708" spans="1:83" ht="12.65" customHeight="1" x14ac:dyDescent="0.35">
      <c r="A708" s="196">
        <v>7390</v>
      </c>
      <c r="B708" s="198" t="s">
        <v>731</v>
      </c>
      <c r="C708" s="180">
        <f>AQ71</f>
        <v>0</v>
      </c>
      <c r="D708" s="180">
        <f>(D615/D612)*AQ76</f>
        <v>0</v>
      </c>
      <c r="E708" s="180">
        <f>(E623/E612)*SUM(C708:D708)</f>
        <v>0</v>
      </c>
      <c r="F708" s="180">
        <f>(F624/F612)*AQ64</f>
        <v>0</v>
      </c>
      <c r="G708" s="180">
        <f>(G625/G612)*AQ77</f>
        <v>0</v>
      </c>
      <c r="H708" s="180">
        <f>(H628/H612)*AQ60</f>
        <v>0</v>
      </c>
      <c r="I708" s="180">
        <f>(I629/I612)*AQ78</f>
        <v>0</v>
      </c>
      <c r="J708" s="180">
        <f>(J630/J612)*AQ79</f>
        <v>0</v>
      </c>
      <c r="K708" s="180">
        <f>(K644/K612)*AQ75</f>
        <v>0</v>
      </c>
      <c r="L708" s="180">
        <f>(L647/L612)*AQ80</f>
        <v>0</v>
      </c>
      <c r="M708" s="180">
        <f t="shared" si="20"/>
        <v>0</v>
      </c>
      <c r="N708" s="198" t="s">
        <v>732</v>
      </c>
    </row>
    <row r="709" spans="1:83" ht="12.65" customHeight="1" x14ac:dyDescent="0.35">
      <c r="A709" s="196">
        <v>7400</v>
      </c>
      <c r="B709" s="198" t="s">
        <v>733</v>
      </c>
      <c r="C709" s="180">
        <f>AR71</f>
        <v>71372341.429999992</v>
      </c>
      <c r="D709" s="180">
        <f>(D615/D612)*AR76</f>
        <v>0</v>
      </c>
      <c r="E709" s="180">
        <f>(E623/E612)*SUM(C709:D709)</f>
        <v>4283675.5984872244</v>
      </c>
      <c r="F709" s="180">
        <f>(F624/F612)*AR64</f>
        <v>355372.6511699059</v>
      </c>
      <c r="G709" s="180">
        <f>(G625/G612)*AR77</f>
        <v>0</v>
      </c>
      <c r="H709" s="180">
        <f>(H628/H612)*AR60</f>
        <v>2674665.3213742063</v>
      </c>
      <c r="I709" s="180">
        <f>(I629/I612)*AR78</f>
        <v>0</v>
      </c>
      <c r="J709" s="180">
        <f>(J630/J612)*AR79</f>
        <v>0</v>
      </c>
      <c r="K709" s="180">
        <f>(K644/K612)*AR75</f>
        <v>6356242.3541685678</v>
      </c>
      <c r="L709" s="180">
        <f>(L647/L612)*AR80</f>
        <v>1967424.2305101224</v>
      </c>
      <c r="M709" s="180">
        <f t="shared" si="20"/>
        <v>15637380</v>
      </c>
      <c r="N709" s="198" t="s">
        <v>734</v>
      </c>
    </row>
    <row r="710" spans="1:83" ht="12.65" customHeight="1" x14ac:dyDescent="0.35">
      <c r="A710" s="196">
        <v>7410</v>
      </c>
      <c r="B710" s="198" t="s">
        <v>129</v>
      </c>
      <c r="C710" s="180">
        <f>AS71</f>
        <v>0</v>
      </c>
      <c r="D710" s="180">
        <f>(D615/D612)*AS76</f>
        <v>0</v>
      </c>
      <c r="E710" s="180">
        <f>(E623/E612)*SUM(C710:D710)</f>
        <v>0</v>
      </c>
      <c r="F710" s="180">
        <f>(F624/F612)*AS64</f>
        <v>0</v>
      </c>
      <c r="G710" s="180">
        <f>(G625/G612)*AS77</f>
        <v>0</v>
      </c>
      <c r="H710" s="180">
        <f>(H628/H612)*AS60</f>
        <v>0</v>
      </c>
      <c r="I710" s="180">
        <f>(I629/I612)*AS78</f>
        <v>0</v>
      </c>
      <c r="J710" s="180">
        <f>(J630/J612)*AS79</f>
        <v>0</v>
      </c>
      <c r="K710" s="180">
        <f>(K644/K612)*AS75</f>
        <v>0</v>
      </c>
      <c r="L710" s="180">
        <f>(L647/L612)*AS80</f>
        <v>0</v>
      </c>
      <c r="M710" s="180">
        <f t="shared" si="20"/>
        <v>0</v>
      </c>
      <c r="N710" s="198" t="s">
        <v>735</v>
      </c>
    </row>
    <row r="711" spans="1:83" ht="12.65" customHeight="1" x14ac:dyDescent="0.35">
      <c r="A711" s="196">
        <v>7420</v>
      </c>
      <c r="B711" s="198" t="s">
        <v>736</v>
      </c>
      <c r="C711" s="180">
        <f>AT71</f>
        <v>0</v>
      </c>
      <c r="D711" s="180">
        <f>(D615/D612)*AT76</f>
        <v>0</v>
      </c>
      <c r="E711" s="180">
        <f>(E623/E612)*SUM(C711:D711)</f>
        <v>0</v>
      </c>
      <c r="F711" s="180">
        <f>(F624/F612)*AT64</f>
        <v>0</v>
      </c>
      <c r="G711" s="180">
        <f>(G625/G612)*AT77</f>
        <v>0</v>
      </c>
      <c r="H711" s="180">
        <f>(H628/H612)*AT60</f>
        <v>0</v>
      </c>
      <c r="I711" s="180">
        <f>(I629/I612)*AT78</f>
        <v>0</v>
      </c>
      <c r="J711" s="180">
        <f>(J630/J612)*AT79</f>
        <v>0</v>
      </c>
      <c r="K711" s="180">
        <f>(K644/K612)*AT75</f>
        <v>0</v>
      </c>
      <c r="L711" s="180">
        <f>(L647/L612)*AT80</f>
        <v>0</v>
      </c>
      <c r="M711" s="180">
        <f t="shared" si="20"/>
        <v>0</v>
      </c>
      <c r="N711" s="198" t="s">
        <v>737</v>
      </c>
    </row>
    <row r="712" spans="1:83" ht="12.65" customHeight="1" x14ac:dyDescent="0.35">
      <c r="A712" s="196">
        <v>7430</v>
      </c>
      <c r="B712" s="198" t="s">
        <v>738</v>
      </c>
      <c r="C712" s="180">
        <f>AU71</f>
        <v>0</v>
      </c>
      <c r="D712" s="180">
        <f>(D615/D612)*AU76</f>
        <v>0</v>
      </c>
      <c r="E712" s="180">
        <f>(E623/E612)*SUM(C712:D712)</f>
        <v>0</v>
      </c>
      <c r="F712" s="180">
        <f>(F624/F612)*AU64</f>
        <v>0</v>
      </c>
      <c r="G712" s="180">
        <f>(G625/G612)*AU77</f>
        <v>0</v>
      </c>
      <c r="H712" s="180">
        <f>(H628/H612)*AU60</f>
        <v>0</v>
      </c>
      <c r="I712" s="180">
        <f>(I629/I612)*AU78</f>
        <v>0</v>
      </c>
      <c r="J712" s="180">
        <f>(J630/J612)*AU79</f>
        <v>0</v>
      </c>
      <c r="K712" s="180">
        <f>(K644/K612)*AU75</f>
        <v>0</v>
      </c>
      <c r="L712" s="180">
        <f>(L647/L612)*AU80</f>
        <v>0</v>
      </c>
      <c r="M712" s="180">
        <f t="shared" si="20"/>
        <v>0</v>
      </c>
      <c r="N712" s="198" t="s">
        <v>739</v>
      </c>
    </row>
    <row r="713" spans="1:83" ht="12.65" customHeight="1" x14ac:dyDescent="0.35">
      <c r="A713" s="196">
        <v>7490</v>
      </c>
      <c r="B713" s="198" t="s">
        <v>740</v>
      </c>
      <c r="C713" s="180">
        <f>AV71</f>
        <v>4339394.4700000016</v>
      </c>
      <c r="D713" s="180">
        <f>(D615/D612)*AV76</f>
        <v>267613.9385660867</v>
      </c>
      <c r="E713" s="180">
        <f>(E623/E612)*SUM(C713:D713)</f>
        <v>276506.68461193034</v>
      </c>
      <c r="F713" s="180">
        <f>(F624/F612)*AV64</f>
        <v>798392.31171272066</v>
      </c>
      <c r="G713" s="180">
        <f>(G625/G612)*AV77</f>
        <v>0</v>
      </c>
      <c r="H713" s="180">
        <f>(H628/H612)*AV60</f>
        <v>133199.79463855343</v>
      </c>
      <c r="I713" s="180">
        <f>(I629/I612)*AV78</f>
        <v>118210.2175764702</v>
      </c>
      <c r="J713" s="180">
        <f>(J630/J612)*AV79</f>
        <v>16803.580586087584</v>
      </c>
      <c r="K713" s="180">
        <f>(K644/K612)*AV75</f>
        <v>659088.84249449463</v>
      </c>
      <c r="L713" s="180">
        <f>(L647/L612)*AV80</f>
        <v>729576.17111304484</v>
      </c>
      <c r="M713" s="180">
        <f t="shared" si="20"/>
        <v>2999392</v>
      </c>
      <c r="N713" s="199" t="s">
        <v>741</v>
      </c>
    </row>
    <row r="715" spans="1:83" ht="12.65" customHeight="1" x14ac:dyDescent="0.35">
      <c r="C715" s="180">
        <f>SUM(C614:C647)+SUM(C668:C713)</f>
        <v>781075986.7299999</v>
      </c>
      <c r="D715" s="180">
        <f>SUM(D616:D647)+SUM(D668:D713)</f>
        <v>18868646.899999999</v>
      </c>
      <c r="E715" s="180">
        <f>SUM(E624:E647)+SUM(E668:E713)</f>
        <v>44224851.853617795</v>
      </c>
      <c r="F715" s="180">
        <f>SUM(F625:F648)+SUM(F668:F713)</f>
        <v>10246062.775533689</v>
      </c>
      <c r="G715" s="180">
        <f>SUM(G626:G647)+SUM(G668:G713)</f>
        <v>0</v>
      </c>
      <c r="H715" s="180">
        <f>SUM(H629:H647)+SUM(H668:H713)</f>
        <v>20248214.392873764</v>
      </c>
      <c r="I715" s="180">
        <f>SUM(I630:I647)+SUM(I668:I713)</f>
        <v>7551463.7138479836</v>
      </c>
      <c r="J715" s="180">
        <f>SUM(J631:J647)+SUM(J668:J713)</f>
        <v>1458354.7626317276</v>
      </c>
      <c r="K715" s="180">
        <f>SUM(K668:K713)</f>
        <v>97240852.697541416</v>
      </c>
      <c r="L715" s="180">
        <f>SUM(L668:L713)</f>
        <v>11190260.484768879</v>
      </c>
      <c r="M715" s="180">
        <f>SUM(M668:M713)</f>
        <v>193184766</v>
      </c>
      <c r="N715" s="198" t="s">
        <v>742</v>
      </c>
    </row>
    <row r="716" spans="1:83" ht="12.65" customHeight="1" x14ac:dyDescent="0.35">
      <c r="C716" s="180">
        <f>CE71</f>
        <v>781075986.72999966</v>
      </c>
      <c r="D716" s="180">
        <f>D615</f>
        <v>18868646.899999999</v>
      </c>
      <c r="E716" s="180">
        <f>E623</f>
        <v>44224851.853617795</v>
      </c>
      <c r="F716" s="180">
        <f>F624</f>
        <v>10246062.775533693</v>
      </c>
      <c r="G716" s="180">
        <f>G625</f>
        <v>0</v>
      </c>
      <c r="H716" s="180">
        <f>H628</f>
        <v>20248214.392873768</v>
      </c>
      <c r="I716" s="180">
        <f>I629</f>
        <v>7551463.7138479836</v>
      </c>
      <c r="J716" s="180">
        <f>J630</f>
        <v>1458354.7626317281</v>
      </c>
      <c r="K716" s="180">
        <f>K644</f>
        <v>97240852.697541416</v>
      </c>
      <c r="L716" s="180">
        <f>L647</f>
        <v>11190260.484768877</v>
      </c>
      <c r="M716" s="180">
        <f>C648</f>
        <v>193184763.26000002</v>
      </c>
      <c r="N716" s="198" t="s">
        <v>743</v>
      </c>
    </row>
    <row r="717" spans="1:83" ht="12.65" customHeight="1" x14ac:dyDescent="0.35">
      <c r="O717" s="198"/>
    </row>
    <row r="718" spans="1:83" ht="12.65" customHeight="1" x14ac:dyDescent="0.35">
      <c r="O718" s="198"/>
    </row>
    <row r="719" spans="1:83" ht="12.65" customHeight="1" x14ac:dyDescent="0.35">
      <c r="O719" s="198"/>
    </row>
    <row r="720" spans="1:83" s="201" customFormat="1" ht="12.65" customHeight="1" x14ac:dyDescent="0.35">
      <c r="A720" s="201" t="s">
        <v>744</v>
      </c>
      <c r="B720" s="276"/>
      <c r="C720" s="276"/>
      <c r="D720" s="276"/>
      <c r="E720" s="276"/>
      <c r="F720" s="276"/>
      <c r="G720" s="276"/>
      <c r="H720" s="276"/>
      <c r="I720" s="276"/>
      <c r="J720" s="276"/>
      <c r="K720" s="276"/>
      <c r="L720" s="276"/>
      <c r="M720" s="276"/>
      <c r="N720" s="276"/>
      <c r="O720" s="276"/>
      <c r="P720" s="276"/>
      <c r="Q720" s="276"/>
      <c r="R720" s="276"/>
      <c r="S720" s="276"/>
      <c r="T720" s="276"/>
      <c r="U720" s="276"/>
      <c r="V720" s="276"/>
      <c r="W720" s="276"/>
      <c r="X720" s="276"/>
      <c r="Y720" s="276"/>
      <c r="Z720" s="276"/>
      <c r="AA720" s="276"/>
      <c r="AB720" s="276"/>
      <c r="AC720" s="276"/>
      <c r="AD720" s="276"/>
      <c r="AE720" s="276"/>
      <c r="AF720" s="276"/>
      <c r="AG720" s="276"/>
      <c r="AH720" s="276"/>
      <c r="AI720" s="276"/>
      <c r="AJ720" s="276"/>
      <c r="AK720" s="276"/>
      <c r="AL720" s="276"/>
      <c r="AM720" s="276"/>
      <c r="AN720" s="276"/>
      <c r="AO720" s="276"/>
      <c r="AP720" s="276"/>
      <c r="AQ720" s="276"/>
      <c r="AR720" s="276"/>
      <c r="AS720" s="276"/>
      <c r="AT720" s="276"/>
      <c r="AU720" s="276"/>
      <c r="AV720" s="276"/>
      <c r="AW720" s="276"/>
      <c r="AX720" s="276"/>
      <c r="AY720" s="276"/>
      <c r="AZ720" s="276"/>
      <c r="BA720" s="276"/>
      <c r="BB720" s="276"/>
      <c r="BC720" s="276"/>
      <c r="BD720" s="276"/>
      <c r="BE720" s="276"/>
      <c r="BF720" s="276"/>
      <c r="BG720" s="276"/>
      <c r="BH720" s="276"/>
      <c r="BI720" s="276"/>
      <c r="BJ720" s="276"/>
      <c r="BK720" s="276"/>
      <c r="BL720" s="276"/>
      <c r="BM720" s="276"/>
      <c r="BN720" s="276"/>
      <c r="BO720" s="276"/>
      <c r="BP720" s="276"/>
      <c r="BQ720" s="276"/>
      <c r="BR720" s="276"/>
      <c r="BS720" s="276"/>
      <c r="BT720" s="276"/>
      <c r="BU720" s="276"/>
      <c r="BV720" s="276"/>
      <c r="BW720" s="276"/>
      <c r="BX720" s="276"/>
      <c r="BY720" s="276"/>
      <c r="BZ720" s="276"/>
      <c r="CA720" s="276"/>
      <c r="CB720" s="276"/>
      <c r="CC720" s="276"/>
      <c r="CD720" s="276"/>
      <c r="CE720" s="276"/>
    </row>
    <row r="721" spans="1:84" s="203" customFormat="1" ht="12.65" customHeight="1" x14ac:dyDescent="0.35">
      <c r="A721" s="203" t="s">
        <v>745</v>
      </c>
      <c r="B721" s="203" t="s">
        <v>746</v>
      </c>
      <c r="C721" s="203" t="s">
        <v>747</v>
      </c>
      <c r="D721" s="203" t="s">
        <v>748</v>
      </c>
      <c r="E721" s="203" t="s">
        <v>749</v>
      </c>
      <c r="F721" s="203" t="s">
        <v>750</v>
      </c>
      <c r="G721" s="203" t="s">
        <v>751</v>
      </c>
      <c r="H721" s="203" t="s">
        <v>752</v>
      </c>
      <c r="I721" s="203" t="s">
        <v>753</v>
      </c>
      <c r="J721" s="203" t="s">
        <v>754</v>
      </c>
      <c r="K721" s="203" t="s">
        <v>755</v>
      </c>
      <c r="L721" s="203" t="s">
        <v>756</v>
      </c>
      <c r="M721" s="203" t="s">
        <v>757</v>
      </c>
      <c r="N721" s="203" t="s">
        <v>758</v>
      </c>
      <c r="O721" s="203" t="s">
        <v>759</v>
      </c>
      <c r="P721" s="203" t="s">
        <v>760</v>
      </c>
      <c r="Q721" s="203" t="s">
        <v>761</v>
      </c>
      <c r="R721" s="203" t="s">
        <v>762</v>
      </c>
      <c r="S721" s="203" t="s">
        <v>763</v>
      </c>
      <c r="T721" s="203" t="s">
        <v>764</v>
      </c>
      <c r="U721" s="203" t="s">
        <v>765</v>
      </c>
      <c r="V721" s="203" t="s">
        <v>766</v>
      </c>
      <c r="W721" s="203" t="s">
        <v>767</v>
      </c>
      <c r="X721" s="203" t="s">
        <v>768</v>
      </c>
      <c r="Y721" s="203" t="s">
        <v>769</v>
      </c>
      <c r="Z721" s="203" t="s">
        <v>770</v>
      </c>
      <c r="AA721" s="203" t="s">
        <v>771</v>
      </c>
      <c r="AB721" s="203" t="s">
        <v>772</v>
      </c>
      <c r="AC721" s="203" t="s">
        <v>773</v>
      </c>
      <c r="AD721" s="203" t="s">
        <v>774</v>
      </c>
      <c r="AE721" s="203" t="s">
        <v>775</v>
      </c>
      <c r="AF721" s="203" t="s">
        <v>776</v>
      </c>
      <c r="AG721" s="203" t="s">
        <v>777</v>
      </c>
      <c r="AH721" s="203" t="s">
        <v>778</v>
      </c>
      <c r="AI721" s="203" t="s">
        <v>779</v>
      </c>
      <c r="AJ721" s="203" t="s">
        <v>780</v>
      </c>
      <c r="AK721" s="203" t="s">
        <v>781</v>
      </c>
      <c r="AL721" s="203" t="s">
        <v>782</v>
      </c>
      <c r="AM721" s="203" t="s">
        <v>783</v>
      </c>
      <c r="AN721" s="203" t="s">
        <v>784</v>
      </c>
      <c r="AO721" s="203" t="s">
        <v>785</v>
      </c>
      <c r="AP721" s="203" t="s">
        <v>786</v>
      </c>
      <c r="AQ721" s="203" t="s">
        <v>787</v>
      </c>
      <c r="AR721" s="203" t="s">
        <v>788</v>
      </c>
      <c r="AS721" s="203" t="s">
        <v>789</v>
      </c>
      <c r="AT721" s="203" t="s">
        <v>790</v>
      </c>
      <c r="AU721" s="203" t="s">
        <v>791</v>
      </c>
      <c r="AV721" s="203" t="s">
        <v>792</v>
      </c>
      <c r="AW721" s="203" t="s">
        <v>793</v>
      </c>
      <c r="AX721" s="203" t="s">
        <v>794</v>
      </c>
      <c r="AY721" s="203" t="s">
        <v>795</v>
      </c>
      <c r="AZ721" s="203" t="s">
        <v>796</v>
      </c>
      <c r="BA721" s="203" t="s">
        <v>797</v>
      </c>
      <c r="BB721" s="203" t="s">
        <v>798</v>
      </c>
      <c r="BC721" s="203" t="s">
        <v>799</v>
      </c>
      <c r="BD721" s="203" t="s">
        <v>800</v>
      </c>
      <c r="BE721" s="203" t="s">
        <v>801</v>
      </c>
      <c r="BF721" s="203" t="s">
        <v>802</v>
      </c>
      <c r="BG721" s="203" t="s">
        <v>803</v>
      </c>
      <c r="BH721" s="203" t="s">
        <v>804</v>
      </c>
      <c r="BI721" s="203" t="s">
        <v>805</v>
      </c>
      <c r="BJ721" s="203" t="s">
        <v>806</v>
      </c>
      <c r="BK721" s="203" t="s">
        <v>807</v>
      </c>
      <c r="BL721" s="203" t="s">
        <v>808</v>
      </c>
      <c r="BM721" s="203" t="s">
        <v>809</v>
      </c>
      <c r="BN721" s="203" t="s">
        <v>810</v>
      </c>
      <c r="BO721" s="203" t="s">
        <v>811</v>
      </c>
      <c r="BP721" s="203" t="s">
        <v>812</v>
      </c>
      <c r="BQ721" s="203" t="s">
        <v>813</v>
      </c>
      <c r="BR721" s="203" t="s">
        <v>814</v>
      </c>
      <c r="BS721" s="203" t="s">
        <v>815</v>
      </c>
      <c r="BT721" s="203" t="s">
        <v>816</v>
      </c>
      <c r="BU721" s="203" t="s">
        <v>817</v>
      </c>
      <c r="BV721" s="203" t="s">
        <v>818</v>
      </c>
      <c r="BW721" s="203" t="s">
        <v>819</v>
      </c>
      <c r="BX721" s="203" t="s">
        <v>820</v>
      </c>
      <c r="BY721" s="203" t="s">
        <v>821</v>
      </c>
      <c r="BZ721" s="203" t="s">
        <v>822</v>
      </c>
      <c r="CA721" s="203" t="s">
        <v>823</v>
      </c>
      <c r="CB721" s="203" t="s">
        <v>824</v>
      </c>
      <c r="CC721" s="203" t="s">
        <v>825</v>
      </c>
      <c r="CD721" s="203" t="s">
        <v>1255</v>
      </c>
    </row>
    <row r="722" spans="1:84" s="201" customFormat="1" ht="12.65" customHeight="1" x14ac:dyDescent="0.35">
      <c r="A722" s="202" t="str">
        <f>RIGHT(C83,3)&amp;"*"&amp;RIGHT(C82,4)&amp;"*"&amp;"A"</f>
        <v>164*2021*A</v>
      </c>
      <c r="B722" s="276">
        <f>ROUND(C165,0)</f>
        <v>27566399</v>
      </c>
      <c r="C722" s="276">
        <f>ROUND(C166,0)</f>
        <v>11058</v>
      </c>
      <c r="D722" s="276">
        <f>ROUND(C167,0)</f>
        <v>2813235</v>
      </c>
      <c r="E722" s="276">
        <f>ROUND(C168,0)</f>
        <v>48803374</v>
      </c>
      <c r="F722" s="276">
        <f>ROUND(C169,0)</f>
        <v>206869</v>
      </c>
      <c r="G722" s="276">
        <f>ROUND(C170,0)</f>
        <v>21453089</v>
      </c>
      <c r="H722" s="276">
        <f>ROUND(C171+C172,0)</f>
        <v>1573712</v>
      </c>
      <c r="I722" s="276">
        <f>ROUND(C175,0)</f>
        <v>13656735</v>
      </c>
      <c r="J722" s="276">
        <f>ROUND(C176,0)</f>
        <v>3123056</v>
      </c>
      <c r="K722" s="276">
        <f>ROUND(C179,0)</f>
        <v>1412203</v>
      </c>
      <c r="L722" s="276">
        <f>ROUND(C180,0)</f>
        <v>1832793</v>
      </c>
      <c r="M722" s="276">
        <f>ROUND(C183,0)</f>
        <v>469973</v>
      </c>
      <c r="N722" s="276">
        <f>ROUND(C184,0)</f>
        <v>6802635</v>
      </c>
      <c r="O722" s="276">
        <f>ROUND(C185,0)</f>
        <v>0</v>
      </c>
      <c r="P722" s="276">
        <f>ROUND(C188,0)</f>
        <v>9081161</v>
      </c>
      <c r="Q722" s="276">
        <f>ROUND(C189,0)</f>
        <v>0</v>
      </c>
      <c r="R722" s="276">
        <f>ROUND(B195,0)</f>
        <v>4913660</v>
      </c>
      <c r="S722" s="276">
        <f>ROUND(C195,0)</f>
        <v>0</v>
      </c>
      <c r="T722" s="276">
        <f>ROUND(D195,0)</f>
        <v>0</v>
      </c>
      <c r="U722" s="276">
        <f>ROUND(B196,0)</f>
        <v>13123911</v>
      </c>
      <c r="V722" s="276">
        <f>ROUND(C196,0)</f>
        <v>0</v>
      </c>
      <c r="W722" s="276">
        <f>ROUND(D196,0)</f>
        <v>2805</v>
      </c>
      <c r="X722" s="276">
        <f>ROUND(B197,0)</f>
        <v>340376358</v>
      </c>
      <c r="Y722" s="276">
        <f>ROUND(C197,0)</f>
        <v>18633496</v>
      </c>
      <c r="Z722" s="276">
        <f>ROUND(D197,0)</f>
        <v>683557</v>
      </c>
      <c r="AA722" s="276">
        <f>ROUND(B198,0)</f>
        <v>130279560</v>
      </c>
      <c r="AB722" s="276">
        <f>ROUND(C198,0)</f>
        <v>3839889</v>
      </c>
      <c r="AC722" s="276">
        <f>ROUND(D198,0)</f>
        <v>350948</v>
      </c>
      <c r="AD722" s="276">
        <f>ROUND(B199,0)</f>
        <v>23123</v>
      </c>
      <c r="AE722" s="276">
        <f>ROUND(C199,0)</f>
        <v>0</v>
      </c>
      <c r="AF722" s="276">
        <f>ROUND(D199,0)</f>
        <v>12522</v>
      </c>
      <c r="AG722" s="276">
        <f>ROUND(B200,0)</f>
        <v>301103323</v>
      </c>
      <c r="AH722" s="276">
        <f>ROUND(C200,0)</f>
        <v>19964651</v>
      </c>
      <c r="AI722" s="276">
        <f>ROUND(D200,0)</f>
        <v>31909848</v>
      </c>
      <c r="AJ722" s="276">
        <f>ROUND(B201,0)</f>
        <v>0</v>
      </c>
      <c r="AK722" s="276">
        <f>ROUND(C201,0)</f>
        <v>0</v>
      </c>
      <c r="AL722" s="276">
        <f>ROUND(D201,0)</f>
        <v>0</v>
      </c>
      <c r="AM722" s="276">
        <f>ROUND(B202,0)</f>
        <v>39940622</v>
      </c>
      <c r="AN722" s="276">
        <f>ROUND(C202,0)</f>
        <v>71762</v>
      </c>
      <c r="AO722" s="276">
        <f>ROUND(D202,0)</f>
        <v>156740</v>
      </c>
      <c r="AP722" s="276">
        <f>ROUND(B203,0)</f>
        <v>24573853</v>
      </c>
      <c r="AQ722" s="276">
        <f>ROUND(C203,0)</f>
        <v>55099847</v>
      </c>
      <c r="AR722" s="276">
        <f>ROUND(D203,0)</f>
        <v>46387444</v>
      </c>
      <c r="AS722" s="276"/>
      <c r="AT722" s="276"/>
      <c r="AU722" s="276"/>
      <c r="AV722" s="276">
        <f>ROUND(B209,0)</f>
        <v>11308055</v>
      </c>
      <c r="AW722" s="276">
        <f>ROUND(C209,0)</f>
        <v>355809</v>
      </c>
      <c r="AX722" s="276">
        <f>ROUND(D209,0)</f>
        <v>2805</v>
      </c>
      <c r="AY722" s="276">
        <f>ROUND(B210,0)</f>
        <v>182460179</v>
      </c>
      <c r="AZ722" s="276">
        <f>ROUND(C210,0)</f>
        <v>11974387</v>
      </c>
      <c r="BA722" s="276">
        <f>ROUND(D210,0)</f>
        <v>683557</v>
      </c>
      <c r="BB722" s="276">
        <f>ROUND(B211,0)</f>
        <v>96254498</v>
      </c>
      <c r="BC722" s="276">
        <f>ROUND(C211,0)</f>
        <v>4414448</v>
      </c>
      <c r="BD722" s="276">
        <f>ROUND(D211,0)</f>
        <v>350948</v>
      </c>
      <c r="BE722" s="276">
        <f>ROUND(B212,0)</f>
        <v>21268</v>
      </c>
      <c r="BF722" s="276">
        <f>ROUND(C212,0)</f>
        <v>530</v>
      </c>
      <c r="BG722" s="276">
        <f>ROUND(D212,0)</f>
        <v>12522</v>
      </c>
      <c r="BH722" s="276">
        <f>ROUND(B213,0)</f>
        <v>230163888</v>
      </c>
      <c r="BI722" s="276">
        <f>ROUND(C213,0)</f>
        <v>19085474</v>
      </c>
      <c r="BJ722" s="276">
        <f>ROUND(D213,0)</f>
        <v>31274217</v>
      </c>
      <c r="BK722" s="276">
        <f>ROUND(B214,0)</f>
        <v>0</v>
      </c>
      <c r="BL722" s="276">
        <f>ROUND(C214,0)</f>
        <v>0</v>
      </c>
      <c r="BM722" s="276">
        <f>ROUND(D214,0)</f>
        <v>0</v>
      </c>
      <c r="BN722" s="276">
        <f>ROUND(B215,0)</f>
        <v>23969317</v>
      </c>
      <c r="BO722" s="276">
        <f>ROUND(C215,0)</f>
        <v>2470979</v>
      </c>
      <c r="BP722" s="276">
        <f>ROUND(D215,0)</f>
        <v>156740</v>
      </c>
      <c r="BQ722" s="276">
        <f>ROUND(B216,0)</f>
        <v>0</v>
      </c>
      <c r="BR722" s="276">
        <f>ROUND(C216,0)</f>
        <v>0</v>
      </c>
      <c r="BS722" s="276">
        <f>ROUND(D216,0)</f>
        <v>0</v>
      </c>
      <c r="BT722" s="276">
        <f>ROUND(C223,0)</f>
        <v>636075632</v>
      </c>
      <c r="BU722" s="276">
        <f>ROUND(C224,0)</f>
        <v>146018542</v>
      </c>
      <c r="BV722" s="276">
        <f>ROUND(C225,0)</f>
        <v>9103062</v>
      </c>
      <c r="BW722" s="276">
        <f>ROUND(C226,0)</f>
        <v>8198226</v>
      </c>
      <c r="BX722" s="276">
        <f>ROUND(C227,0)</f>
        <v>502508168</v>
      </c>
      <c r="BY722" s="276">
        <f>ROUND(C228,0)</f>
        <v>465710</v>
      </c>
      <c r="BZ722" s="276">
        <f>ROUND(C231,0)</f>
        <v>3855</v>
      </c>
      <c r="CA722" s="276">
        <f>ROUND(C233,0)</f>
        <v>3406539</v>
      </c>
      <c r="CB722" s="276">
        <f>ROUND(C234,0)</f>
        <v>5038549</v>
      </c>
      <c r="CC722" s="276">
        <f>ROUND(C238+C239,0)</f>
        <v>4732488</v>
      </c>
      <c r="CD722" s="276">
        <f>D221</f>
        <v>16930347</v>
      </c>
      <c r="CE722" s="276"/>
    </row>
    <row r="723" spans="1:84" ht="12.65" customHeight="1" x14ac:dyDescent="0.35">
      <c r="B723" s="277"/>
      <c r="C723" s="277"/>
      <c r="D723" s="277"/>
      <c r="E723" s="277"/>
      <c r="F723" s="277"/>
      <c r="G723" s="277"/>
      <c r="H723" s="277"/>
      <c r="I723" s="277"/>
      <c r="J723" s="277"/>
      <c r="K723" s="277"/>
      <c r="L723" s="277"/>
      <c r="M723" s="277"/>
      <c r="N723" s="277"/>
      <c r="O723" s="277"/>
      <c r="P723" s="277"/>
      <c r="Q723" s="277"/>
      <c r="R723" s="277"/>
      <c r="S723" s="277"/>
      <c r="T723" s="277"/>
      <c r="U723" s="277"/>
      <c r="V723" s="277"/>
      <c r="W723" s="277"/>
      <c r="X723" s="277"/>
      <c r="Y723" s="277"/>
      <c r="Z723" s="277"/>
      <c r="AA723" s="277"/>
      <c r="AB723" s="277"/>
      <c r="AC723" s="277"/>
      <c r="AD723" s="277"/>
      <c r="AE723" s="277"/>
      <c r="AF723" s="277"/>
      <c r="AG723" s="277"/>
      <c r="AH723" s="277"/>
      <c r="AI723" s="277"/>
      <c r="AJ723" s="277"/>
      <c r="AK723" s="277"/>
      <c r="AL723" s="277"/>
      <c r="AM723" s="277"/>
      <c r="AN723" s="277"/>
      <c r="AO723" s="277"/>
      <c r="AP723" s="277"/>
      <c r="AQ723" s="277"/>
      <c r="AR723" s="277"/>
      <c r="AS723" s="277"/>
      <c r="AT723" s="277"/>
      <c r="AU723" s="277"/>
      <c r="AV723" s="277"/>
      <c r="AW723" s="277"/>
      <c r="AX723" s="277"/>
      <c r="AY723" s="277"/>
      <c r="AZ723" s="277"/>
      <c r="BA723" s="277"/>
      <c r="BB723" s="277"/>
      <c r="BC723" s="277"/>
      <c r="BD723" s="277"/>
      <c r="BE723" s="277"/>
      <c r="BF723" s="277"/>
      <c r="BG723" s="277"/>
      <c r="BH723" s="277"/>
      <c r="BI723" s="277"/>
      <c r="BJ723" s="277"/>
      <c r="BK723" s="277"/>
      <c r="BL723" s="277"/>
      <c r="BM723" s="277"/>
      <c r="BN723" s="277"/>
      <c r="BO723" s="277"/>
      <c r="BP723" s="277"/>
      <c r="BQ723" s="277"/>
      <c r="BR723" s="277"/>
      <c r="BS723" s="277"/>
      <c r="BT723" s="277"/>
      <c r="BU723" s="277"/>
      <c r="BV723" s="277"/>
      <c r="BW723" s="277"/>
      <c r="BX723" s="277"/>
      <c r="BY723" s="277"/>
      <c r="BZ723" s="277"/>
      <c r="CA723" s="277"/>
      <c r="CB723" s="277"/>
      <c r="CC723" s="277"/>
      <c r="CD723" s="277"/>
      <c r="CE723" s="277"/>
    </row>
    <row r="724" spans="1:84" s="201" customFormat="1" ht="12.65" customHeight="1" x14ac:dyDescent="0.35">
      <c r="A724" s="201" t="s">
        <v>148</v>
      </c>
      <c r="B724" s="276"/>
      <c r="C724" s="276"/>
      <c r="D724" s="276"/>
      <c r="E724" s="276"/>
      <c r="F724" s="276"/>
      <c r="G724" s="276"/>
      <c r="H724" s="276"/>
      <c r="I724" s="276"/>
      <c r="J724" s="276"/>
      <c r="K724" s="276"/>
      <c r="L724" s="276"/>
      <c r="M724" s="276"/>
      <c r="N724" s="276"/>
      <c r="O724" s="276"/>
      <c r="P724" s="276"/>
      <c r="Q724" s="276"/>
      <c r="R724" s="276"/>
      <c r="S724" s="276"/>
      <c r="T724" s="276"/>
      <c r="U724" s="276"/>
      <c r="V724" s="276"/>
      <c r="W724" s="276"/>
      <c r="X724" s="276"/>
      <c r="Y724" s="276"/>
      <c r="Z724" s="276"/>
      <c r="AA724" s="276"/>
      <c r="AB724" s="276"/>
      <c r="AC724" s="276"/>
      <c r="AD724" s="276"/>
      <c r="AE724" s="276"/>
      <c r="AF724" s="276"/>
      <c r="AG724" s="276"/>
      <c r="AH724" s="276"/>
      <c r="AI724" s="276"/>
      <c r="AJ724" s="276"/>
      <c r="AK724" s="276"/>
      <c r="AL724" s="276"/>
      <c r="AM724" s="276"/>
      <c r="AN724" s="276"/>
      <c r="AO724" s="276"/>
      <c r="AP724" s="276"/>
      <c r="AQ724" s="276"/>
      <c r="AR724" s="276"/>
      <c r="AS724" s="276"/>
      <c r="AT724" s="276"/>
      <c r="AU724" s="276"/>
      <c r="AV724" s="276"/>
      <c r="AW724" s="276"/>
      <c r="AX724" s="276"/>
      <c r="AY724" s="276"/>
      <c r="AZ724" s="276"/>
      <c r="BA724" s="276"/>
      <c r="BB724" s="276"/>
      <c r="BC724" s="276"/>
      <c r="BD724" s="276"/>
      <c r="BE724" s="276"/>
      <c r="BF724" s="276"/>
      <c r="BG724" s="276"/>
      <c r="BH724" s="276"/>
      <c r="BI724" s="276"/>
      <c r="BJ724" s="276"/>
      <c r="BK724" s="276"/>
      <c r="BL724" s="276"/>
      <c r="BM724" s="276"/>
      <c r="BN724" s="276"/>
      <c r="BO724" s="276"/>
      <c r="BP724" s="276"/>
      <c r="BQ724" s="276"/>
      <c r="BR724" s="276"/>
      <c r="BS724" s="276"/>
      <c r="BT724" s="276"/>
      <c r="BU724" s="276"/>
      <c r="BV724" s="276"/>
      <c r="BW724" s="276"/>
      <c r="BX724" s="276"/>
      <c r="BY724" s="276"/>
      <c r="BZ724" s="276"/>
      <c r="CA724" s="276"/>
      <c r="CB724" s="276"/>
      <c r="CC724" s="276"/>
      <c r="CD724" s="276"/>
      <c r="CE724" s="276"/>
    </row>
    <row r="725" spans="1:84" s="203" customFormat="1" ht="12.65" customHeight="1" x14ac:dyDescent="0.35">
      <c r="A725" s="203" t="s">
        <v>745</v>
      </c>
      <c r="B725" s="203" t="s">
        <v>826</v>
      </c>
      <c r="C725" s="203" t="s">
        <v>827</v>
      </c>
      <c r="D725" s="203" t="s">
        <v>828</v>
      </c>
      <c r="E725" s="203" t="s">
        <v>829</v>
      </c>
      <c r="F725" s="203" t="s">
        <v>830</v>
      </c>
      <c r="G725" s="203" t="s">
        <v>831</v>
      </c>
      <c r="H725" s="203" t="s">
        <v>832</v>
      </c>
      <c r="I725" s="203" t="s">
        <v>833</v>
      </c>
      <c r="J725" s="203" t="s">
        <v>834</v>
      </c>
      <c r="K725" s="203" t="s">
        <v>835</v>
      </c>
      <c r="L725" s="203" t="s">
        <v>836</v>
      </c>
      <c r="M725" s="203" t="s">
        <v>837</v>
      </c>
      <c r="N725" s="203" t="s">
        <v>838</v>
      </c>
      <c r="O725" s="203" t="s">
        <v>839</v>
      </c>
      <c r="P725" s="203" t="s">
        <v>840</v>
      </c>
      <c r="Q725" s="203" t="s">
        <v>841</v>
      </c>
      <c r="R725" s="203" t="s">
        <v>842</v>
      </c>
      <c r="S725" s="203" t="s">
        <v>843</v>
      </c>
      <c r="T725" s="203" t="s">
        <v>844</v>
      </c>
      <c r="U725" s="203" t="s">
        <v>845</v>
      </c>
      <c r="V725" s="203" t="s">
        <v>846</v>
      </c>
      <c r="W725" s="203" t="s">
        <v>847</v>
      </c>
      <c r="X725" s="203" t="s">
        <v>848</v>
      </c>
      <c r="Y725" s="203" t="s">
        <v>849</v>
      </c>
      <c r="Z725" s="203" t="s">
        <v>850</v>
      </c>
      <c r="AA725" s="203" t="s">
        <v>851</v>
      </c>
      <c r="AB725" s="203" t="s">
        <v>852</v>
      </c>
      <c r="AC725" s="203" t="s">
        <v>853</v>
      </c>
      <c r="AD725" s="203" t="s">
        <v>854</v>
      </c>
      <c r="AE725" s="203" t="s">
        <v>855</v>
      </c>
      <c r="AF725" s="203" t="s">
        <v>856</v>
      </c>
      <c r="AG725" s="203" t="s">
        <v>857</v>
      </c>
      <c r="AH725" s="203" t="s">
        <v>858</v>
      </c>
      <c r="AI725" s="203" t="s">
        <v>859</v>
      </c>
      <c r="AJ725" s="203" t="s">
        <v>860</v>
      </c>
      <c r="AK725" s="203" t="s">
        <v>861</v>
      </c>
      <c r="AL725" s="203" t="s">
        <v>862</v>
      </c>
      <c r="AM725" s="203" t="s">
        <v>863</v>
      </c>
      <c r="AN725" s="203" t="s">
        <v>864</v>
      </c>
      <c r="AO725" s="203" t="s">
        <v>865</v>
      </c>
      <c r="AP725" s="203" t="s">
        <v>866</v>
      </c>
      <c r="AQ725" s="203" t="s">
        <v>867</v>
      </c>
      <c r="AR725" s="203" t="s">
        <v>868</v>
      </c>
      <c r="AS725" s="203" t="s">
        <v>869</v>
      </c>
      <c r="AT725" s="203" t="s">
        <v>870</v>
      </c>
      <c r="AU725" s="203" t="s">
        <v>871</v>
      </c>
      <c r="AV725" s="203" t="s">
        <v>872</v>
      </c>
      <c r="AW725" s="203" t="s">
        <v>873</v>
      </c>
      <c r="AX725" s="203" t="s">
        <v>874</v>
      </c>
      <c r="AY725" s="203" t="s">
        <v>875</v>
      </c>
      <c r="AZ725" s="203" t="s">
        <v>876</v>
      </c>
      <c r="BA725" s="203" t="s">
        <v>877</v>
      </c>
      <c r="BB725" s="203" t="s">
        <v>878</v>
      </c>
      <c r="BC725" s="203" t="s">
        <v>879</v>
      </c>
      <c r="BD725" s="203" t="s">
        <v>880</v>
      </c>
      <c r="BE725" s="203" t="s">
        <v>881</v>
      </c>
      <c r="BF725" s="203" t="s">
        <v>882</v>
      </c>
      <c r="BG725" s="203" t="s">
        <v>883</v>
      </c>
      <c r="BH725" s="203" t="s">
        <v>884</v>
      </c>
      <c r="BI725" s="203" t="s">
        <v>885</v>
      </c>
      <c r="BJ725" s="203" t="s">
        <v>886</v>
      </c>
      <c r="BK725" s="203" t="s">
        <v>887</v>
      </c>
      <c r="BL725" s="203" t="s">
        <v>888</v>
      </c>
      <c r="BM725" s="203" t="s">
        <v>889</v>
      </c>
      <c r="BN725" s="203" t="s">
        <v>890</v>
      </c>
      <c r="BO725" s="203" t="s">
        <v>891</v>
      </c>
      <c r="BP725" s="203" t="s">
        <v>892</v>
      </c>
      <c r="BQ725" s="203" t="s">
        <v>893</v>
      </c>
      <c r="BR725" s="203" t="s">
        <v>894</v>
      </c>
    </row>
    <row r="726" spans="1:84" s="201" customFormat="1" ht="12.65" customHeight="1" x14ac:dyDescent="0.35">
      <c r="A726" s="202" t="str">
        <f>RIGHT(C83,3)&amp;"*"&amp;RIGHT(C82,4)&amp;"*"&amp;"A"</f>
        <v>164*2021*A</v>
      </c>
      <c r="B726" s="276">
        <f>ROUND(C111,0)</f>
        <v>14650</v>
      </c>
      <c r="C726" s="276">
        <f>ROUND(C112,0)</f>
        <v>0</v>
      </c>
      <c r="D726" s="276">
        <f>ROUND(C113,0)</f>
        <v>0</v>
      </c>
      <c r="E726" s="276">
        <f>ROUND(C114,0)</f>
        <v>4833</v>
      </c>
      <c r="F726" s="276">
        <f>ROUND(D111,0)</f>
        <v>66833</v>
      </c>
      <c r="G726" s="276">
        <f>ROUND(D112,0)</f>
        <v>0</v>
      </c>
      <c r="H726" s="276">
        <f>ROUND(D113,0)</f>
        <v>0</v>
      </c>
      <c r="I726" s="276">
        <f>ROUND(D114,0)</f>
        <v>0</v>
      </c>
      <c r="J726" s="276">
        <f>ROUND(C116,0)</f>
        <v>20</v>
      </c>
      <c r="K726" s="276">
        <f>ROUND(C117,0)</f>
        <v>31</v>
      </c>
      <c r="L726" s="276">
        <f>ROUND(C118,0)</f>
        <v>173</v>
      </c>
      <c r="M726" s="276">
        <f>ROUND(C119,0)</f>
        <v>1</v>
      </c>
      <c r="N726" s="276">
        <f>ROUND(C120,0)</f>
        <v>36</v>
      </c>
      <c r="O726" s="276">
        <f>ROUND(C121,0)</f>
        <v>14</v>
      </c>
      <c r="P726" s="276">
        <f>ROUND(C122,0)</f>
        <v>0</v>
      </c>
      <c r="Q726" s="276">
        <f>ROUND(C123,0)</f>
        <v>0</v>
      </c>
      <c r="R726" s="276">
        <f>ROUND(C124,0)</f>
        <v>0</v>
      </c>
      <c r="S726" s="276">
        <f>ROUND(C125,0)</f>
        <v>0</v>
      </c>
      <c r="T726" s="276"/>
      <c r="U726" s="276">
        <f>ROUND(C126,0)</f>
        <v>42</v>
      </c>
      <c r="V726" s="276">
        <f>ROUND(C128,0)</f>
        <v>318</v>
      </c>
      <c r="W726" s="276">
        <f>ROUND(C129,0)</f>
        <v>0</v>
      </c>
      <c r="X726" s="276">
        <f>ROUND(B138,0)</f>
        <v>5611</v>
      </c>
      <c r="Y726" s="276">
        <f>ROUND(B139,0)</f>
        <v>39261</v>
      </c>
      <c r="Z726" s="276">
        <f>ROUND(B140,0)</f>
        <v>0</v>
      </c>
      <c r="AA726" s="276">
        <f>ROUND(B141,0)</f>
        <v>400385844</v>
      </c>
      <c r="AB726" s="276">
        <f>ROUND(B142,0)</f>
        <v>493100168</v>
      </c>
      <c r="AC726" s="276">
        <f>ROUND(C138,0)</f>
        <v>5472</v>
      </c>
      <c r="AD726" s="276">
        <f>ROUND(C139,0)</f>
        <v>10432</v>
      </c>
      <c r="AE726" s="276">
        <f>ROUND(C140,0)</f>
        <v>0</v>
      </c>
      <c r="AF726" s="276">
        <f>ROUND(C141,0)</f>
        <v>100991324</v>
      </c>
      <c r="AG726" s="276">
        <f>ROUND(C142,0)</f>
        <v>108672622</v>
      </c>
      <c r="AH726" s="276">
        <f>ROUND(D138,0)</f>
        <v>3567</v>
      </c>
      <c r="AI726" s="276">
        <f>ROUND(D139,0)</f>
        <v>17140</v>
      </c>
      <c r="AJ726" s="276">
        <f>ROUND(D140,0)</f>
        <v>0</v>
      </c>
      <c r="AK726" s="276">
        <f>ROUND(D141,0)</f>
        <v>346118150</v>
      </c>
      <c r="AL726" s="276">
        <f>ROUND(D142,0)</f>
        <v>651741769</v>
      </c>
      <c r="AM726" s="276">
        <f>ROUND(B144,0)</f>
        <v>0</v>
      </c>
      <c r="AN726" s="276">
        <f>ROUND(B145,0)</f>
        <v>0</v>
      </c>
      <c r="AO726" s="276">
        <f>ROUND(B146,0)</f>
        <v>0</v>
      </c>
      <c r="AP726" s="276">
        <f>ROUND(B147,0)</f>
        <v>0</v>
      </c>
      <c r="AQ726" s="276">
        <f>ROUND(B148,0)</f>
        <v>0</v>
      </c>
      <c r="AR726" s="276">
        <f>ROUND(C144,0)</f>
        <v>0</v>
      </c>
      <c r="AS726" s="276">
        <f>ROUND(C145,0)</f>
        <v>0</v>
      </c>
      <c r="AT726" s="276">
        <f>ROUND(C146,0)</f>
        <v>0</v>
      </c>
      <c r="AU726" s="276">
        <f>ROUND(C147,0)</f>
        <v>0</v>
      </c>
      <c r="AV726" s="276">
        <f>ROUND(C148,0)</f>
        <v>0</v>
      </c>
      <c r="AW726" s="276">
        <f>ROUND(D144,0)</f>
        <v>0</v>
      </c>
      <c r="AX726" s="276">
        <f>ROUND(D145,0)</f>
        <v>0</v>
      </c>
      <c r="AY726" s="276">
        <f>ROUND(D146,0)</f>
        <v>0</v>
      </c>
      <c r="AZ726" s="276">
        <f>ROUND(D147,0)</f>
        <v>0</v>
      </c>
      <c r="BA726" s="276">
        <f>ROUND(D148,0)</f>
        <v>0</v>
      </c>
      <c r="BB726" s="276">
        <f>ROUND(B150,0)</f>
        <v>0</v>
      </c>
      <c r="BC726" s="276">
        <f>ROUND(B151,0)</f>
        <v>0</v>
      </c>
      <c r="BD726" s="276">
        <f>ROUND(B152,0)</f>
        <v>0</v>
      </c>
      <c r="BE726" s="276">
        <f>ROUND(B153,0)</f>
        <v>0</v>
      </c>
      <c r="BF726" s="276">
        <f>ROUND(B154,0)</f>
        <v>0</v>
      </c>
      <c r="BG726" s="276">
        <f>ROUND(C150,0)</f>
        <v>0</v>
      </c>
      <c r="BH726" s="276">
        <f>ROUND(C151,0)</f>
        <v>0</v>
      </c>
      <c r="BI726" s="276">
        <f>ROUND(C152,0)</f>
        <v>0</v>
      </c>
      <c r="BJ726" s="276">
        <f>ROUND(C153,0)</f>
        <v>0</v>
      </c>
      <c r="BK726" s="276">
        <f>ROUND(C154,0)</f>
        <v>0</v>
      </c>
      <c r="BL726" s="276">
        <f>ROUND(D150,0)</f>
        <v>0</v>
      </c>
      <c r="BM726" s="276">
        <f>ROUND(D151,0)</f>
        <v>0</v>
      </c>
      <c r="BN726" s="276">
        <f>ROUND(D152,0)</f>
        <v>0</v>
      </c>
      <c r="BO726" s="276">
        <f>ROUND(D153,0)</f>
        <v>0</v>
      </c>
      <c r="BP726" s="276">
        <f>ROUND(D154,0)</f>
        <v>0</v>
      </c>
      <c r="BQ726" s="276">
        <f>ROUND(B157,0)</f>
        <v>7835412</v>
      </c>
      <c r="BR726" s="276">
        <f>ROUND(C157,0)</f>
        <v>16660393</v>
      </c>
      <c r="BS726" s="276"/>
      <c r="BT726" s="276"/>
      <c r="BU726" s="276"/>
      <c r="BV726" s="276"/>
      <c r="BW726" s="276"/>
      <c r="BX726" s="276"/>
      <c r="BY726" s="276"/>
      <c r="BZ726" s="276"/>
      <c r="CA726" s="276"/>
      <c r="CB726" s="276"/>
      <c r="CC726" s="276"/>
      <c r="CD726" s="276"/>
      <c r="CE726" s="276"/>
    </row>
    <row r="727" spans="1:84" ht="12.65" customHeight="1" x14ac:dyDescent="0.35">
      <c r="B727" s="277"/>
      <c r="C727" s="277"/>
      <c r="D727" s="277"/>
      <c r="E727" s="277"/>
      <c r="F727" s="277"/>
      <c r="G727" s="277"/>
      <c r="H727" s="277"/>
      <c r="I727" s="277"/>
      <c r="J727" s="277"/>
      <c r="K727" s="277"/>
      <c r="L727" s="277"/>
      <c r="M727" s="277"/>
      <c r="N727" s="277"/>
      <c r="O727" s="277"/>
      <c r="P727" s="277"/>
      <c r="Q727" s="277"/>
      <c r="R727" s="277"/>
      <c r="S727" s="277"/>
      <c r="T727" s="277"/>
      <c r="U727" s="277"/>
      <c r="V727" s="277"/>
      <c r="W727" s="277"/>
      <c r="X727" s="277"/>
      <c r="Y727" s="277"/>
      <c r="Z727" s="277"/>
      <c r="AA727" s="277"/>
      <c r="AB727" s="277"/>
      <c r="AC727" s="277"/>
      <c r="AD727" s="277"/>
      <c r="AE727" s="277"/>
      <c r="AF727" s="277"/>
      <c r="AG727" s="277"/>
      <c r="AH727" s="277"/>
      <c r="AI727" s="277"/>
      <c r="AJ727" s="277"/>
      <c r="AK727" s="277"/>
      <c r="AL727" s="277"/>
      <c r="AM727" s="277"/>
      <c r="AN727" s="277"/>
      <c r="AO727" s="277"/>
      <c r="AP727" s="277"/>
      <c r="AQ727" s="277"/>
      <c r="AR727" s="277"/>
      <c r="AS727" s="277"/>
      <c r="AT727" s="277"/>
      <c r="AU727" s="277"/>
      <c r="AV727" s="277"/>
      <c r="AW727" s="277"/>
      <c r="AX727" s="277"/>
      <c r="AY727" s="277"/>
      <c r="AZ727" s="277"/>
      <c r="BA727" s="277"/>
      <c r="BB727" s="277"/>
      <c r="BC727" s="277"/>
      <c r="BD727" s="277"/>
      <c r="BE727" s="277"/>
      <c r="BF727" s="277"/>
      <c r="BG727" s="277"/>
      <c r="BH727" s="277"/>
      <c r="BI727" s="277"/>
      <c r="BJ727" s="277"/>
      <c r="BK727" s="277"/>
      <c r="BL727" s="277"/>
      <c r="BM727" s="277"/>
      <c r="BN727" s="277"/>
      <c r="BO727" s="277"/>
      <c r="BP727" s="277"/>
      <c r="BQ727" s="277"/>
      <c r="BR727" s="277"/>
      <c r="BS727" s="277"/>
      <c r="BT727" s="277"/>
      <c r="BU727" s="277"/>
      <c r="BV727" s="277"/>
      <c r="BW727" s="277"/>
      <c r="BX727" s="277"/>
      <c r="BY727" s="277"/>
      <c r="BZ727" s="277"/>
      <c r="CA727" s="277"/>
      <c r="CB727" s="277"/>
      <c r="CC727" s="277"/>
      <c r="CD727" s="277"/>
      <c r="CE727" s="277"/>
    </row>
    <row r="728" spans="1:84" s="201" customFormat="1" ht="12.65" customHeight="1" x14ac:dyDescent="0.35">
      <c r="A728" s="201" t="s">
        <v>895</v>
      </c>
      <c r="B728" s="276"/>
      <c r="C728" s="276"/>
      <c r="D728" s="276"/>
      <c r="E728" s="276"/>
      <c r="F728" s="276"/>
      <c r="G728" s="276"/>
      <c r="H728" s="276"/>
      <c r="I728" s="276"/>
      <c r="J728" s="276"/>
      <c r="K728" s="276"/>
      <c r="L728" s="276"/>
      <c r="M728" s="276"/>
      <c r="N728" s="276"/>
      <c r="O728" s="276"/>
      <c r="P728" s="276"/>
      <c r="Q728" s="276"/>
      <c r="R728" s="276"/>
      <c r="S728" s="276"/>
      <c r="T728" s="276"/>
      <c r="U728" s="276"/>
      <c r="V728" s="276"/>
      <c r="W728" s="276"/>
      <c r="X728" s="276"/>
      <c r="Y728" s="276"/>
      <c r="Z728" s="276"/>
      <c r="AA728" s="276"/>
      <c r="AB728" s="276"/>
      <c r="AC728" s="276"/>
      <c r="AD728" s="276"/>
      <c r="AE728" s="276"/>
      <c r="AF728" s="276"/>
      <c r="AG728" s="276"/>
      <c r="AH728" s="276"/>
      <c r="AI728" s="276"/>
      <c r="AJ728" s="276"/>
      <c r="AK728" s="276"/>
      <c r="AL728" s="276"/>
      <c r="AM728" s="276"/>
      <c r="AN728" s="276"/>
      <c r="AO728" s="276"/>
      <c r="AP728" s="276"/>
      <c r="AQ728" s="276"/>
      <c r="AR728" s="276"/>
      <c r="AS728" s="276"/>
      <c r="AT728" s="276"/>
      <c r="AU728" s="276"/>
      <c r="AV728" s="276"/>
      <c r="AW728" s="276"/>
      <c r="AX728" s="276"/>
      <c r="AY728" s="276"/>
      <c r="AZ728" s="276"/>
      <c r="BA728" s="276"/>
      <c r="BB728" s="276"/>
      <c r="BC728" s="276"/>
      <c r="BD728" s="276"/>
      <c r="BE728" s="276"/>
      <c r="BF728" s="276"/>
      <c r="BG728" s="276"/>
      <c r="BH728" s="276"/>
      <c r="BI728" s="276"/>
      <c r="BJ728" s="276"/>
      <c r="BK728" s="276"/>
      <c r="BL728" s="276"/>
      <c r="BM728" s="276"/>
      <c r="BN728" s="276"/>
      <c r="BO728" s="276"/>
      <c r="BP728" s="276"/>
      <c r="BQ728" s="276"/>
      <c r="BR728" s="276"/>
      <c r="BS728" s="276"/>
      <c r="BT728" s="276"/>
      <c r="BU728" s="276"/>
      <c r="BV728" s="276"/>
      <c r="BW728" s="276"/>
      <c r="BX728" s="276"/>
      <c r="BY728" s="276"/>
      <c r="BZ728" s="276"/>
      <c r="CA728" s="276"/>
      <c r="CB728" s="276"/>
      <c r="CC728" s="276"/>
      <c r="CD728" s="276"/>
      <c r="CE728" s="276"/>
    </row>
    <row r="729" spans="1:84" s="203" customFormat="1" ht="12.65" customHeight="1" x14ac:dyDescent="0.35">
      <c r="A729" s="203" t="s">
        <v>745</v>
      </c>
      <c r="B729" s="203" t="s">
        <v>896</v>
      </c>
      <c r="C729" s="203" t="s">
        <v>897</v>
      </c>
      <c r="D729" s="203" t="s">
        <v>898</v>
      </c>
      <c r="E729" s="203" t="s">
        <v>899</v>
      </c>
      <c r="F729" s="203" t="s">
        <v>900</v>
      </c>
      <c r="G729" s="203" t="s">
        <v>901</v>
      </c>
      <c r="H729" s="203" t="s">
        <v>902</v>
      </c>
      <c r="I729" s="203" t="s">
        <v>903</v>
      </c>
      <c r="J729" s="203" t="s">
        <v>904</v>
      </c>
      <c r="K729" s="203" t="s">
        <v>905</v>
      </c>
      <c r="L729" s="203" t="s">
        <v>906</v>
      </c>
      <c r="M729" s="203" t="s">
        <v>907</v>
      </c>
      <c r="N729" s="203" t="s">
        <v>908</v>
      </c>
      <c r="O729" s="203" t="s">
        <v>909</v>
      </c>
      <c r="P729" s="203" t="s">
        <v>910</v>
      </c>
      <c r="Q729" s="203" t="s">
        <v>911</v>
      </c>
      <c r="R729" s="203" t="s">
        <v>912</v>
      </c>
      <c r="S729" s="203" t="s">
        <v>913</v>
      </c>
      <c r="T729" s="203" t="s">
        <v>914</v>
      </c>
      <c r="U729" s="203" t="s">
        <v>915</v>
      </c>
      <c r="V729" s="203" t="s">
        <v>916</v>
      </c>
      <c r="W729" s="203" t="s">
        <v>917</v>
      </c>
      <c r="X729" s="203" t="s">
        <v>918</v>
      </c>
      <c r="Y729" s="203" t="s">
        <v>919</v>
      </c>
      <c r="Z729" s="203" t="s">
        <v>920</v>
      </c>
      <c r="AA729" s="203" t="s">
        <v>921</v>
      </c>
      <c r="AB729" s="203" t="s">
        <v>922</v>
      </c>
      <c r="AC729" s="203" t="s">
        <v>923</v>
      </c>
      <c r="AD729" s="203" t="s">
        <v>924</v>
      </c>
      <c r="AE729" s="203" t="s">
        <v>925</v>
      </c>
      <c r="AF729" s="203" t="s">
        <v>926</v>
      </c>
      <c r="AG729" s="203" t="s">
        <v>927</v>
      </c>
      <c r="AH729" s="203" t="s">
        <v>928</v>
      </c>
      <c r="AI729" s="203" t="s">
        <v>929</v>
      </c>
      <c r="AJ729" s="203" t="s">
        <v>930</v>
      </c>
      <c r="AK729" s="203" t="s">
        <v>931</v>
      </c>
      <c r="AL729" s="203" t="s">
        <v>932</v>
      </c>
      <c r="AM729" s="203" t="s">
        <v>933</v>
      </c>
      <c r="AN729" s="203" t="s">
        <v>934</v>
      </c>
      <c r="AO729" s="203" t="s">
        <v>935</v>
      </c>
      <c r="AP729" s="203" t="s">
        <v>936</v>
      </c>
      <c r="AQ729" s="203" t="s">
        <v>937</v>
      </c>
      <c r="AR729" s="203" t="s">
        <v>938</v>
      </c>
      <c r="AS729" s="203" t="s">
        <v>939</v>
      </c>
      <c r="AT729" s="203" t="s">
        <v>940</v>
      </c>
      <c r="AU729" s="203" t="s">
        <v>941</v>
      </c>
      <c r="AV729" s="203" t="s">
        <v>942</v>
      </c>
      <c r="AW729" s="203" t="s">
        <v>943</v>
      </c>
      <c r="AX729" s="203" t="s">
        <v>944</v>
      </c>
      <c r="AY729" s="203" t="s">
        <v>945</v>
      </c>
      <c r="AZ729" s="203" t="s">
        <v>946</v>
      </c>
      <c r="BA729" s="203" t="s">
        <v>947</v>
      </c>
      <c r="BB729" s="203" t="s">
        <v>948</v>
      </c>
      <c r="BC729" s="203" t="s">
        <v>949</v>
      </c>
      <c r="BD729" s="203" t="s">
        <v>950</v>
      </c>
      <c r="BE729" s="203" t="s">
        <v>951</v>
      </c>
      <c r="BF729" s="203" t="s">
        <v>952</v>
      </c>
      <c r="BG729" s="203" t="s">
        <v>953</v>
      </c>
      <c r="BH729" s="203" t="s">
        <v>954</v>
      </c>
      <c r="BI729" s="203" t="s">
        <v>955</v>
      </c>
      <c r="BJ729" s="203" t="s">
        <v>956</v>
      </c>
      <c r="BK729" s="203" t="s">
        <v>957</v>
      </c>
      <c r="BL729" s="203" t="s">
        <v>958</v>
      </c>
      <c r="BM729" s="203" t="s">
        <v>959</v>
      </c>
      <c r="BN729" s="203" t="s">
        <v>960</v>
      </c>
      <c r="BO729" s="203" t="s">
        <v>961</v>
      </c>
      <c r="BP729" s="203" t="s">
        <v>962</v>
      </c>
      <c r="BQ729" s="203" t="s">
        <v>963</v>
      </c>
      <c r="BR729" s="203" t="s">
        <v>964</v>
      </c>
      <c r="BS729" s="203" t="s">
        <v>965</v>
      </c>
      <c r="BT729" s="203" t="s">
        <v>966</v>
      </c>
      <c r="BU729" s="203" t="s">
        <v>967</v>
      </c>
      <c r="BV729" s="203" t="s">
        <v>968</v>
      </c>
      <c r="BW729" s="203" t="s">
        <v>969</v>
      </c>
      <c r="BX729" s="203" t="s">
        <v>970</v>
      </c>
      <c r="BY729" s="203" t="s">
        <v>971</v>
      </c>
      <c r="BZ729" s="203" t="s">
        <v>972</v>
      </c>
      <c r="CA729" s="203" t="s">
        <v>973</v>
      </c>
      <c r="CB729" s="203" t="s">
        <v>974</v>
      </c>
      <c r="CC729" s="203" t="s">
        <v>975</v>
      </c>
      <c r="CD729" s="203" t="s">
        <v>976</v>
      </c>
      <c r="CE729" s="203" t="s">
        <v>977</v>
      </c>
      <c r="CF729" s="203" t="s">
        <v>978</v>
      </c>
    </row>
    <row r="730" spans="1:84" s="201" customFormat="1" ht="12.65" customHeight="1" x14ac:dyDescent="0.35">
      <c r="A730" s="202" t="str">
        <f>RIGHT(C83,3)&amp;"*"&amp;RIGHT(C82,4)&amp;"*"&amp;"A"</f>
        <v>164*2021*A</v>
      </c>
      <c r="B730" s="276">
        <f>ROUND(C250,0)</f>
        <v>121853533</v>
      </c>
      <c r="C730" s="276">
        <f>ROUND(C251,0)</f>
        <v>0</v>
      </c>
      <c r="D730" s="276">
        <f>ROUND(C252,0)</f>
        <v>344927595</v>
      </c>
      <c r="E730" s="276">
        <f>ROUND(C253,0)</f>
        <v>230910979</v>
      </c>
      <c r="F730" s="276">
        <f>ROUND(C254,0)</f>
        <v>4893510</v>
      </c>
      <c r="G730" s="276">
        <f>ROUND(C255,0)</f>
        <v>15858030</v>
      </c>
      <c r="H730" s="276">
        <f>ROUND(C256,0)</f>
        <v>3797293</v>
      </c>
      <c r="I730" s="276">
        <f>ROUND(C257,0)</f>
        <v>8096346</v>
      </c>
      <c r="J730" s="276">
        <f>ROUND(C258,0)</f>
        <v>8710734</v>
      </c>
      <c r="K730" s="276">
        <f>ROUND(C259,0)</f>
        <v>0</v>
      </c>
      <c r="L730" s="276">
        <f>ROUND(C262,0)</f>
        <v>249874806</v>
      </c>
      <c r="M730" s="276">
        <f>ROUND(C263,0)</f>
        <v>0</v>
      </c>
      <c r="N730" s="276">
        <f>ROUND(C264,0)</f>
        <v>0</v>
      </c>
      <c r="O730" s="276">
        <f>ROUND(C267,0)</f>
        <v>4913660</v>
      </c>
      <c r="P730" s="276">
        <f>ROUND(C268,0)</f>
        <v>13121106</v>
      </c>
      <c r="Q730" s="276">
        <f>ROUND(C269,0)</f>
        <v>358326296</v>
      </c>
      <c r="R730" s="276">
        <f>ROUND(C270,0)</f>
        <v>133768500</v>
      </c>
      <c r="S730" s="276">
        <f>ROUND(C271,0)</f>
        <v>10601</v>
      </c>
      <c r="T730" s="276">
        <f>ROUND(C272,0)</f>
        <v>293035773</v>
      </c>
      <c r="U730" s="276">
        <f>ROUND(C273,0)</f>
        <v>39855644</v>
      </c>
      <c r="V730" s="276">
        <f>ROUND(C274,0)</f>
        <v>33286255</v>
      </c>
      <c r="W730" s="276">
        <f>ROUND(C275,0)</f>
        <v>0</v>
      </c>
      <c r="X730" s="276">
        <f>ROUND(C276,0)</f>
        <v>549998043</v>
      </c>
      <c r="Y730" s="276">
        <f>ROUND(C279,0)</f>
        <v>0</v>
      </c>
      <c r="Z730" s="276">
        <f>ROUND(C280,0)</f>
        <v>0</v>
      </c>
      <c r="AA730" s="276">
        <f>ROUND(C281,0)</f>
        <v>7885852</v>
      </c>
      <c r="AB730" s="276">
        <f>ROUND(C282,0)</f>
        <v>3417138</v>
      </c>
      <c r="AC730" s="276">
        <f>ROUND(C286,0)</f>
        <v>24914365</v>
      </c>
      <c r="AD730" s="276">
        <f>ROUND(C287,0)</f>
        <v>0</v>
      </c>
      <c r="AE730" s="276">
        <f>ROUND(C288,0)</f>
        <v>0</v>
      </c>
      <c r="AF730" s="276">
        <f>ROUND(C289,0)</f>
        <v>0</v>
      </c>
      <c r="AG730" s="276">
        <f>ROUND(C304,0)</f>
        <v>0</v>
      </c>
      <c r="AH730" s="276">
        <f>ROUND(C305,0)</f>
        <v>34543779</v>
      </c>
      <c r="AI730" s="276">
        <f>ROUND(C306,0)</f>
        <v>53469901</v>
      </c>
      <c r="AJ730" s="276">
        <f>ROUND(C307,0)</f>
        <v>731431</v>
      </c>
      <c r="AK730" s="276">
        <f>ROUND(C308,0)</f>
        <v>0</v>
      </c>
      <c r="AL730" s="276">
        <f>ROUND(C309,0)</f>
        <v>7327761</v>
      </c>
      <c r="AM730" s="276">
        <f>ROUND(C310,0)</f>
        <v>0</v>
      </c>
      <c r="AN730" s="276">
        <f>ROUND(C311,0)</f>
        <v>0</v>
      </c>
      <c r="AO730" s="276">
        <f>ROUND(C312,0)</f>
        <v>1429161</v>
      </c>
      <c r="AP730" s="276">
        <f>ROUND(C313,0)</f>
        <v>15389095</v>
      </c>
      <c r="AQ730" s="276">
        <f>ROUND(C316,0)</f>
        <v>0</v>
      </c>
      <c r="AR730" s="276">
        <f>ROUND(C317,0)</f>
        <v>31738822</v>
      </c>
      <c r="AS730" s="276">
        <f>ROUND(C318,0)</f>
        <v>1006585</v>
      </c>
      <c r="AT730" s="276">
        <f>ROUND(C321,0)</f>
        <v>0</v>
      </c>
      <c r="AU730" s="276">
        <f>ROUND(C322,0)</f>
        <v>0</v>
      </c>
      <c r="AV730" s="276">
        <f>ROUND(C323,0)</f>
        <v>0</v>
      </c>
      <c r="AW730" s="276">
        <f>ROUND(C324,0)</f>
        <v>6048982</v>
      </c>
      <c r="AX730" s="276">
        <f>ROUND(C325,0)</f>
        <v>278870835</v>
      </c>
      <c r="AY730" s="276">
        <f>ROUND(C326,0)</f>
        <v>0</v>
      </c>
      <c r="AZ730" s="276">
        <f>ROUND(C327,0)</f>
        <v>18752134</v>
      </c>
      <c r="BA730" s="276">
        <f>ROUND(C328,0)</f>
        <v>0</v>
      </c>
      <c r="BB730" s="276">
        <f>ROUND(C332,0)</f>
        <v>455718624</v>
      </c>
      <c r="BC730" s="276"/>
      <c r="BD730" s="276"/>
      <c r="BE730" s="276">
        <f>ROUND(C337,0)</f>
        <v>0</v>
      </c>
      <c r="BF730" s="276">
        <f>ROUND(C336,0)</f>
        <v>0</v>
      </c>
      <c r="BG730" s="276"/>
      <c r="BH730" s="276"/>
      <c r="BI730" s="276">
        <f>ROUND(CE60,2)</f>
        <v>3994.17</v>
      </c>
      <c r="BJ730" s="276">
        <f>ROUND(C359,0)</f>
        <v>847495317</v>
      </c>
      <c r="BK730" s="276">
        <f>ROUND(C360,0)</f>
        <v>1253514560</v>
      </c>
      <c r="BL730" s="276">
        <f>ROUND(C364,0)</f>
        <v>1302369341</v>
      </c>
      <c r="BM730" s="276">
        <f>ROUND(C365,0)</f>
        <v>8445088</v>
      </c>
      <c r="BN730" s="276">
        <f>ROUND(C366,0)</f>
        <v>4732488</v>
      </c>
      <c r="BO730" s="276">
        <f>ROUND(C370,0)</f>
        <v>52999500</v>
      </c>
      <c r="BP730" s="276">
        <f>ROUND(C371,0)</f>
        <v>27967605</v>
      </c>
      <c r="BQ730" s="276">
        <f>ROUND(C378,0)</f>
        <v>454782941</v>
      </c>
      <c r="BR730" s="276">
        <f>ROUND(C379,0)</f>
        <v>102427735</v>
      </c>
      <c r="BS730" s="276">
        <f>ROUND(C380,0)</f>
        <v>19523451</v>
      </c>
      <c r="BT730" s="276">
        <f>ROUND(C381,0)</f>
        <v>109418061</v>
      </c>
      <c r="BU730" s="276">
        <f>ROUND(C382,0)</f>
        <v>6832969</v>
      </c>
      <c r="BV730" s="276">
        <f>ROUND(C383,0)</f>
        <v>64778714</v>
      </c>
      <c r="BW730" s="276">
        <f>ROUND(C384,0)</f>
        <v>37830757</v>
      </c>
      <c r="BX730" s="276">
        <f>ROUND(C385,0)</f>
        <v>16779791</v>
      </c>
      <c r="BY730" s="276">
        <f>ROUND(C386,0)</f>
        <v>3244996</v>
      </c>
      <c r="BZ730" s="276">
        <f>ROUND(C387,0)</f>
        <v>7272608</v>
      </c>
      <c r="CA730" s="276">
        <f>ROUND(C388,0)</f>
        <v>9081161</v>
      </c>
      <c r="CB730" s="276">
        <f>C363</f>
        <v>16930347</v>
      </c>
      <c r="CC730" s="276">
        <f>ROUND(C389,0)</f>
        <v>11183462</v>
      </c>
      <c r="CD730" s="276">
        <f>ROUND(C392,0)</f>
        <v>5307505</v>
      </c>
      <c r="CE730" s="276">
        <f>ROUND(C394,0)</f>
        <v>0</v>
      </c>
      <c r="CF730" s="201">
        <f>ROUND(C395,0)</f>
        <v>0</v>
      </c>
    </row>
    <row r="731" spans="1:84" ht="12.65" customHeight="1" x14ac:dyDescent="0.35">
      <c r="B731" s="277"/>
      <c r="C731" s="277"/>
      <c r="D731" s="277"/>
      <c r="E731" s="277"/>
      <c r="F731" s="277"/>
      <c r="G731" s="277"/>
      <c r="H731" s="277"/>
      <c r="I731" s="277"/>
      <c r="J731" s="277"/>
      <c r="K731" s="277"/>
      <c r="L731" s="277"/>
      <c r="M731" s="277"/>
      <c r="N731" s="277"/>
      <c r="O731" s="277"/>
      <c r="P731" s="277"/>
      <c r="Q731" s="277"/>
      <c r="R731" s="277"/>
      <c r="S731" s="277"/>
      <c r="T731" s="277"/>
      <c r="U731" s="277"/>
      <c r="V731" s="277"/>
      <c r="W731" s="277"/>
      <c r="X731" s="277"/>
      <c r="Y731" s="277"/>
      <c r="Z731" s="277"/>
      <c r="AA731" s="277"/>
      <c r="AB731" s="277"/>
      <c r="AC731" s="277"/>
      <c r="AD731" s="277"/>
      <c r="AE731" s="277"/>
      <c r="AF731" s="277"/>
      <c r="AG731" s="277"/>
      <c r="AH731" s="277"/>
      <c r="AI731" s="277"/>
      <c r="AJ731" s="277"/>
      <c r="AK731" s="277"/>
      <c r="AL731" s="277"/>
      <c r="AM731" s="277"/>
      <c r="AN731" s="277"/>
      <c r="AO731" s="277"/>
      <c r="AP731" s="277"/>
      <c r="AQ731" s="277"/>
      <c r="AR731" s="277"/>
      <c r="AS731" s="277"/>
      <c r="AT731" s="277"/>
      <c r="AU731" s="277"/>
      <c r="AV731" s="277"/>
      <c r="AW731" s="277"/>
      <c r="AX731" s="277"/>
      <c r="AY731" s="277"/>
      <c r="AZ731" s="277"/>
      <c r="BA731" s="277"/>
      <c r="BB731" s="277"/>
      <c r="BC731" s="277"/>
      <c r="BD731" s="277"/>
      <c r="BE731" s="277"/>
      <c r="BF731" s="277"/>
      <c r="BG731" s="277"/>
      <c r="BH731" s="277"/>
      <c r="BI731" s="277"/>
      <c r="BJ731" s="277"/>
      <c r="BK731" s="277"/>
      <c r="BL731" s="277"/>
      <c r="BM731" s="277"/>
      <c r="BN731" s="277"/>
      <c r="BO731" s="277"/>
      <c r="BP731" s="277"/>
      <c r="BQ731" s="277"/>
      <c r="BR731" s="277"/>
      <c r="BS731" s="277"/>
      <c r="BT731" s="277"/>
      <c r="BU731" s="277"/>
      <c r="BV731" s="277"/>
      <c r="BW731" s="277"/>
      <c r="BX731" s="277"/>
      <c r="BY731" s="277"/>
      <c r="BZ731" s="277"/>
      <c r="CA731" s="277"/>
      <c r="CB731" s="277"/>
      <c r="CC731" s="277"/>
      <c r="CD731" s="277"/>
      <c r="CE731" s="277"/>
    </row>
    <row r="732" spans="1:84" s="201" customFormat="1" ht="12.65" customHeight="1" x14ac:dyDescent="0.35">
      <c r="A732" s="201" t="s">
        <v>979</v>
      </c>
      <c r="B732" s="276"/>
      <c r="C732" s="276"/>
      <c r="D732" s="276"/>
      <c r="E732" s="276"/>
      <c r="F732" s="276"/>
      <c r="G732" s="276"/>
      <c r="H732" s="276"/>
      <c r="I732" s="276"/>
      <c r="J732" s="276"/>
      <c r="K732" s="276"/>
      <c r="L732" s="276"/>
      <c r="M732" s="276"/>
      <c r="N732" s="276"/>
      <c r="O732" s="276"/>
      <c r="P732" s="276"/>
      <c r="Q732" s="276"/>
      <c r="R732" s="276"/>
      <c r="S732" s="276"/>
      <c r="T732" s="276"/>
      <c r="U732" s="276"/>
      <c r="V732" s="276"/>
      <c r="W732" s="276"/>
      <c r="X732" s="276"/>
      <c r="Y732" s="276"/>
      <c r="Z732" s="276"/>
      <c r="AA732" s="276"/>
      <c r="AB732" s="276"/>
      <c r="AC732" s="276"/>
      <c r="AD732" s="276"/>
      <c r="AE732" s="276"/>
      <c r="AF732" s="276"/>
      <c r="AG732" s="276"/>
      <c r="AH732" s="276"/>
      <c r="AI732" s="276"/>
      <c r="AJ732" s="276"/>
      <c r="AK732" s="276"/>
      <c r="AL732" s="276"/>
      <c r="AM732" s="276"/>
      <c r="AN732" s="276"/>
      <c r="AO732" s="276"/>
      <c r="AP732" s="276"/>
      <c r="AQ732" s="276"/>
      <c r="AR732" s="276"/>
      <c r="AS732" s="276"/>
      <c r="AT732" s="276"/>
      <c r="AU732" s="276"/>
      <c r="AV732" s="276"/>
      <c r="AW732" s="276"/>
      <c r="AX732" s="276"/>
      <c r="AY732" s="276"/>
      <c r="AZ732" s="276"/>
      <c r="BA732" s="276"/>
      <c r="BB732" s="276"/>
      <c r="BC732" s="276"/>
      <c r="BD732" s="276"/>
      <c r="BE732" s="276"/>
      <c r="BF732" s="276"/>
      <c r="BG732" s="276"/>
      <c r="BH732" s="276"/>
      <c r="BI732" s="276"/>
      <c r="BJ732" s="276"/>
      <c r="BK732" s="276"/>
      <c r="BL732" s="276"/>
      <c r="BM732" s="276"/>
      <c r="BN732" s="276"/>
      <c r="BO732" s="276"/>
      <c r="BP732" s="276"/>
      <c r="BQ732" s="276"/>
      <c r="BR732" s="276"/>
      <c r="BS732" s="276"/>
      <c r="BT732" s="276"/>
      <c r="BU732" s="276"/>
      <c r="BV732" s="276"/>
      <c r="BW732" s="276"/>
      <c r="BX732" s="276"/>
      <c r="BY732" s="276"/>
      <c r="BZ732" s="276"/>
      <c r="CA732" s="276"/>
      <c r="CB732" s="276"/>
      <c r="CC732" s="276"/>
      <c r="CD732" s="276"/>
      <c r="CE732" s="276"/>
    </row>
    <row r="733" spans="1:84" s="203" customFormat="1" ht="12.65" customHeight="1" x14ac:dyDescent="0.35">
      <c r="A733" s="203" t="s">
        <v>745</v>
      </c>
      <c r="B733" s="203" t="s">
        <v>980</v>
      </c>
      <c r="C733" s="203" t="s">
        <v>981</v>
      </c>
      <c r="D733" s="203" t="s">
        <v>982</v>
      </c>
      <c r="E733" s="203" t="s">
        <v>983</v>
      </c>
      <c r="F733" s="203" t="s">
        <v>984</v>
      </c>
      <c r="G733" s="203" t="s">
        <v>985</v>
      </c>
      <c r="H733" s="203" t="s">
        <v>986</v>
      </c>
      <c r="I733" s="203" t="s">
        <v>987</v>
      </c>
      <c r="J733" s="203" t="s">
        <v>988</v>
      </c>
      <c r="K733" s="203" t="s">
        <v>989</v>
      </c>
      <c r="L733" s="203" t="s">
        <v>990</v>
      </c>
      <c r="M733" s="203" t="s">
        <v>991</v>
      </c>
      <c r="N733" s="203" t="s">
        <v>992</v>
      </c>
      <c r="O733" s="203" t="s">
        <v>993</v>
      </c>
      <c r="P733" s="203" t="s">
        <v>994</v>
      </c>
      <c r="Q733" s="203" t="s">
        <v>995</v>
      </c>
      <c r="R733" s="203" t="s">
        <v>996</v>
      </c>
      <c r="S733" s="203" t="s">
        <v>997</v>
      </c>
      <c r="T733" s="203" t="s">
        <v>998</v>
      </c>
      <c r="U733" s="203" t="s">
        <v>999</v>
      </c>
      <c r="V733" s="203" t="s">
        <v>1000</v>
      </c>
      <c r="W733" s="203" t="s">
        <v>1001</v>
      </c>
      <c r="X733" s="203" t="s">
        <v>1002</v>
      </c>
      <c r="Y733" s="203" t="s">
        <v>1003</v>
      </c>
    </row>
    <row r="734" spans="1:84" s="201" customFormat="1" ht="12.65" customHeight="1" x14ac:dyDescent="0.35">
      <c r="A734" s="202" t="str">
        <f>RIGHT($C$83,3)&amp;"*"&amp;RIGHT($C$82,4)&amp;"*"&amp;C$55&amp;"*"&amp;"A"</f>
        <v>164*2021*6010*A</v>
      </c>
      <c r="B734" s="276">
        <f>ROUND(C59,0)</f>
        <v>5466</v>
      </c>
      <c r="C734" s="276">
        <f>ROUND(C60,2)</f>
        <v>129.66</v>
      </c>
      <c r="D734" s="276">
        <f>ROUND(C61,0)</f>
        <v>16171233</v>
      </c>
      <c r="E734" s="276">
        <f>ROUND(C62,0)</f>
        <v>3281901</v>
      </c>
      <c r="F734" s="276">
        <f>ROUND(C63,0)</f>
        <v>669000</v>
      </c>
      <c r="G734" s="276">
        <f>ROUND(C64,0)</f>
        <v>1831743</v>
      </c>
      <c r="H734" s="276">
        <f>ROUND(C65,0)</f>
        <v>5365</v>
      </c>
      <c r="I734" s="276">
        <f>ROUND(C66,0)</f>
        <v>421364</v>
      </c>
      <c r="J734" s="276">
        <f>ROUND(C67,0)</f>
        <v>1452876</v>
      </c>
      <c r="K734" s="276">
        <f>ROUND(C68,0)</f>
        <v>0</v>
      </c>
      <c r="L734" s="276">
        <f>ROUND(C69,0)</f>
        <v>11059</v>
      </c>
      <c r="M734" s="276">
        <f>ROUND(C70,0)</f>
        <v>44851</v>
      </c>
      <c r="N734" s="276">
        <f>ROUND(C75,0)</f>
        <v>81856338</v>
      </c>
      <c r="O734" s="276">
        <f>ROUND(C73,0)</f>
        <v>81926691</v>
      </c>
      <c r="P734" s="276">
        <f>IF(C76&gt;0,ROUND(C76,0),0)</f>
        <v>31983</v>
      </c>
      <c r="Q734" s="276">
        <f>IF(C77&gt;0,ROUND(C77,0),0)</f>
        <v>8432</v>
      </c>
      <c r="R734" s="276">
        <f>IF(C78&gt;0,ROUND(C78,0),0)</f>
        <v>4073</v>
      </c>
      <c r="S734" s="276">
        <f>IF(C79&gt;0,ROUND(C79,0),0)</f>
        <v>180193</v>
      </c>
      <c r="T734" s="276">
        <f>IF(C80&gt;0,ROUND(C80,2),0)</f>
        <v>98.06</v>
      </c>
      <c r="U734" s="276"/>
      <c r="V734" s="276"/>
      <c r="W734" s="276"/>
      <c r="X734" s="276"/>
      <c r="Y734" s="276">
        <f>IF(M668&lt;&gt;0,ROUND(M668,0),0)</f>
        <v>8307438</v>
      </c>
      <c r="Z734" s="276"/>
      <c r="AA734" s="276"/>
      <c r="AB734" s="276"/>
      <c r="AC734" s="276"/>
      <c r="AD734" s="276"/>
      <c r="AE734" s="276"/>
      <c r="AF734" s="276"/>
      <c r="AG734" s="276"/>
      <c r="AH734" s="276"/>
      <c r="AI734" s="276"/>
      <c r="AJ734" s="276"/>
      <c r="AK734" s="276"/>
      <c r="AL734" s="276"/>
      <c r="AM734" s="276"/>
      <c r="AN734" s="276"/>
      <c r="AO734" s="276"/>
      <c r="AP734" s="276"/>
      <c r="AQ734" s="276"/>
      <c r="AR734" s="276"/>
      <c r="AS734" s="276"/>
      <c r="AT734" s="276"/>
      <c r="AU734" s="276"/>
      <c r="AV734" s="276"/>
      <c r="AW734" s="276"/>
      <c r="AX734" s="276"/>
      <c r="AY734" s="276"/>
      <c r="AZ734" s="276"/>
      <c r="BA734" s="276"/>
      <c r="BB734" s="276"/>
      <c r="BC734" s="276"/>
      <c r="BD734" s="276"/>
      <c r="BE734" s="276"/>
      <c r="BF734" s="276"/>
      <c r="BG734" s="276"/>
      <c r="BH734" s="276"/>
      <c r="BI734" s="276"/>
      <c r="BJ734" s="276"/>
      <c r="BK734" s="276"/>
      <c r="BL734" s="276"/>
      <c r="BM734" s="276"/>
      <c r="BN734" s="276"/>
      <c r="BO734" s="276"/>
      <c r="BP734" s="276"/>
      <c r="BQ734" s="276"/>
      <c r="BR734" s="276"/>
      <c r="BS734" s="276"/>
      <c r="BT734" s="276"/>
      <c r="BU734" s="276"/>
      <c r="BV734" s="276"/>
      <c r="BW734" s="276"/>
      <c r="BX734" s="276"/>
      <c r="BY734" s="276"/>
      <c r="BZ734" s="276"/>
      <c r="CA734" s="276"/>
      <c r="CB734" s="276"/>
      <c r="CC734" s="276"/>
      <c r="CD734" s="276"/>
      <c r="CE734" s="276"/>
    </row>
    <row r="735" spans="1:84" ht="12.65" customHeight="1" x14ac:dyDescent="0.35">
      <c r="A735" s="209" t="str">
        <f>RIGHT($C$83,3)&amp;"*"&amp;RIGHT($C$82,4)&amp;"*"&amp;D$55&amp;"*"&amp;"A"</f>
        <v>164*2021*6030*A</v>
      </c>
      <c r="B735" s="276">
        <f>ROUND(D59,0)</f>
        <v>9975</v>
      </c>
      <c r="C735" s="278">
        <f>ROUND(D60,2)</f>
        <v>70.319999999999993</v>
      </c>
      <c r="D735" s="276">
        <f>ROUND(D61,0)</f>
        <v>7759540</v>
      </c>
      <c r="E735" s="276">
        <f>ROUND(D62,0)</f>
        <v>1625255</v>
      </c>
      <c r="F735" s="276">
        <f>ROUND(D63,0)</f>
        <v>0</v>
      </c>
      <c r="G735" s="276">
        <f>ROUND(D64,0)</f>
        <v>710663</v>
      </c>
      <c r="H735" s="276">
        <f>ROUND(D65,0)</f>
        <v>0</v>
      </c>
      <c r="I735" s="276">
        <f>ROUND(D66,0)</f>
        <v>323395</v>
      </c>
      <c r="J735" s="276">
        <f>ROUND(D67,0)</f>
        <v>1565460</v>
      </c>
      <c r="K735" s="276">
        <f>ROUND(D68,0)</f>
        <v>0</v>
      </c>
      <c r="L735" s="276">
        <f>ROUND(D69,0)</f>
        <v>11096</v>
      </c>
      <c r="M735" s="276">
        <f>ROUND(D70,0)</f>
        <v>0</v>
      </c>
      <c r="N735" s="276">
        <f>ROUND(D75,0)</f>
        <v>48885348</v>
      </c>
      <c r="O735" s="276">
        <f>ROUND(D73,0)</f>
        <v>48349975</v>
      </c>
      <c r="P735" s="276">
        <f>IF(D76&gt;0,ROUND(D76,0),0)</f>
        <v>24368</v>
      </c>
      <c r="Q735" s="276">
        <f>IF(D77&gt;0,ROUND(D77,0),0)</f>
        <v>29212</v>
      </c>
      <c r="R735" s="276">
        <f>IF(D78&gt;0,ROUND(D78,0),0)</f>
        <v>3103</v>
      </c>
      <c r="S735" s="276">
        <f>IF(D79&gt;0,ROUND(D79,0),0)</f>
        <v>210016</v>
      </c>
      <c r="T735" s="278">
        <f>IF(D80&gt;0,ROUND(D80,2),0)</f>
        <v>45.44</v>
      </c>
      <c r="U735" s="276"/>
      <c r="V735" s="277"/>
      <c r="W735" s="276"/>
      <c r="X735" s="276"/>
      <c r="Y735" s="276">
        <f t="shared" ref="Y735:Y779" si="21">IF(M669&lt;&gt;0,ROUND(M669,0),0)</f>
        <v>4826318</v>
      </c>
      <c r="Z735" s="277"/>
      <c r="AA735" s="277"/>
      <c r="AB735" s="277"/>
      <c r="AC735" s="277"/>
      <c r="AD735" s="277"/>
      <c r="AE735" s="277"/>
      <c r="AF735" s="277"/>
      <c r="AG735" s="277"/>
      <c r="AH735" s="277"/>
      <c r="AI735" s="277"/>
      <c r="AJ735" s="277"/>
      <c r="AK735" s="277"/>
      <c r="AL735" s="277"/>
      <c r="AM735" s="277"/>
      <c r="AN735" s="277"/>
      <c r="AO735" s="277"/>
      <c r="AP735" s="277"/>
      <c r="AQ735" s="277"/>
      <c r="AR735" s="277"/>
      <c r="AS735" s="277"/>
      <c r="AT735" s="277"/>
      <c r="AU735" s="277"/>
      <c r="AV735" s="277"/>
      <c r="AW735" s="277"/>
      <c r="AX735" s="277"/>
      <c r="AY735" s="277"/>
      <c r="AZ735" s="277"/>
      <c r="BA735" s="277"/>
      <c r="BB735" s="277"/>
      <c r="BC735" s="277"/>
      <c r="BD735" s="277"/>
      <c r="BE735" s="277"/>
      <c r="BF735" s="277"/>
      <c r="BG735" s="277"/>
      <c r="BH735" s="277"/>
      <c r="BI735" s="277"/>
      <c r="BJ735" s="277"/>
      <c r="BK735" s="277"/>
      <c r="BL735" s="277"/>
      <c r="BM735" s="277"/>
      <c r="BN735" s="277"/>
      <c r="BO735" s="277"/>
      <c r="BP735" s="277"/>
      <c r="BQ735" s="277"/>
      <c r="BR735" s="277"/>
      <c r="BS735" s="277"/>
      <c r="BT735" s="277"/>
      <c r="BU735" s="277"/>
      <c r="BV735" s="277"/>
      <c r="BW735" s="277"/>
      <c r="BX735" s="277"/>
      <c r="BY735" s="277"/>
      <c r="BZ735" s="277"/>
      <c r="CA735" s="277"/>
      <c r="CB735" s="277"/>
      <c r="CC735" s="277"/>
      <c r="CD735" s="277"/>
      <c r="CE735" s="277"/>
    </row>
    <row r="736" spans="1:84" ht="12.65" customHeight="1" x14ac:dyDescent="0.35">
      <c r="A736" s="209" t="str">
        <f>RIGHT($C$83,3)&amp;"*"&amp;RIGHT($C$82,4)&amp;"*"&amp;E$55&amp;"*"&amp;"A"</f>
        <v>164*2021*6070*A</v>
      </c>
      <c r="B736" s="276">
        <f>ROUND(E59,0)</f>
        <v>40881</v>
      </c>
      <c r="C736" s="278">
        <f>ROUND(E60,2)</f>
        <v>298.27</v>
      </c>
      <c r="D736" s="276">
        <f>ROUND(E61,0)</f>
        <v>31075555</v>
      </c>
      <c r="E736" s="276">
        <f>ROUND(E62,0)</f>
        <v>5461788</v>
      </c>
      <c r="F736" s="276">
        <f>ROUND(E63,0)</f>
        <v>0</v>
      </c>
      <c r="G736" s="276">
        <f>ROUND(E64,0)</f>
        <v>2116461</v>
      </c>
      <c r="H736" s="276">
        <f>ROUND(E65,0)</f>
        <v>0</v>
      </c>
      <c r="I736" s="276">
        <f>ROUND(E66,0)</f>
        <v>783907</v>
      </c>
      <c r="J736" s="276">
        <f>ROUND(E67,0)</f>
        <v>2309574</v>
      </c>
      <c r="K736" s="276">
        <f>ROUND(E68,0)</f>
        <v>0</v>
      </c>
      <c r="L736" s="276">
        <f>ROUND(E69,0)</f>
        <v>15188</v>
      </c>
      <c r="M736" s="276">
        <f>ROUND(E70,0)</f>
        <v>50</v>
      </c>
      <c r="N736" s="276">
        <f>ROUND(E75,0)</f>
        <v>145073606</v>
      </c>
      <c r="O736" s="276">
        <f>ROUND(E73,0)</f>
        <v>138453401</v>
      </c>
      <c r="P736" s="276">
        <f>IF(E76&gt;0,ROUND(E76,0),0)</f>
        <v>112482</v>
      </c>
      <c r="Q736" s="276">
        <f>IF(E77&gt;0,ROUND(E77,0),0)</f>
        <v>128071</v>
      </c>
      <c r="R736" s="276">
        <f>IF(E78&gt;0,ROUND(E78,0),0)</f>
        <v>14323</v>
      </c>
      <c r="S736" s="276">
        <f>IF(E79&gt;0,ROUND(E79,0),0)</f>
        <v>539545</v>
      </c>
      <c r="T736" s="278">
        <f>IF(E80&gt;0,ROUND(E80,2),0)</f>
        <v>184.78</v>
      </c>
      <c r="U736" s="276"/>
      <c r="V736" s="277"/>
      <c r="W736" s="276"/>
      <c r="X736" s="276"/>
      <c r="Y736" s="276">
        <f t="shared" si="21"/>
        <v>16938233</v>
      </c>
      <c r="Z736" s="277"/>
      <c r="AA736" s="277"/>
      <c r="AB736" s="277"/>
      <c r="AC736" s="277"/>
      <c r="AD736" s="277"/>
      <c r="AE736" s="277"/>
      <c r="AF736" s="277"/>
      <c r="AG736" s="277"/>
      <c r="AH736" s="277"/>
      <c r="AI736" s="277"/>
      <c r="AJ736" s="277"/>
      <c r="AK736" s="277"/>
      <c r="AL736" s="277"/>
      <c r="AM736" s="277"/>
      <c r="AN736" s="277"/>
      <c r="AO736" s="277"/>
      <c r="AP736" s="277"/>
      <c r="AQ736" s="277"/>
      <c r="AR736" s="277"/>
      <c r="AS736" s="277"/>
      <c r="AT736" s="277"/>
      <c r="AU736" s="277"/>
      <c r="AV736" s="277"/>
      <c r="AW736" s="277"/>
      <c r="AX736" s="277"/>
      <c r="AY736" s="277"/>
      <c r="AZ736" s="277"/>
      <c r="BA736" s="277"/>
      <c r="BB736" s="277"/>
      <c r="BC736" s="277"/>
      <c r="BD736" s="277"/>
      <c r="BE736" s="277"/>
      <c r="BF736" s="277"/>
      <c r="BG736" s="277"/>
      <c r="BH736" s="277"/>
      <c r="BI736" s="277"/>
      <c r="BJ736" s="277"/>
      <c r="BK736" s="277"/>
      <c r="BL736" s="277"/>
      <c r="BM736" s="277"/>
      <c r="BN736" s="277"/>
      <c r="BO736" s="277"/>
      <c r="BP736" s="277"/>
      <c r="BQ736" s="277"/>
      <c r="BR736" s="277"/>
      <c r="BS736" s="277"/>
      <c r="BT736" s="277"/>
      <c r="BU736" s="277"/>
      <c r="BV736" s="277"/>
      <c r="BW736" s="277"/>
      <c r="BX736" s="277"/>
      <c r="BY736" s="277"/>
      <c r="BZ736" s="277"/>
      <c r="CA736" s="277"/>
      <c r="CB736" s="277"/>
      <c r="CC736" s="277"/>
      <c r="CD736" s="277"/>
      <c r="CE736" s="277"/>
    </row>
    <row r="737" spans="1:83" ht="12.65" customHeight="1" x14ac:dyDescent="0.35">
      <c r="A737" s="209" t="str">
        <f>RIGHT($C$83,3)&amp;"*"&amp;RIGHT($C$82,4)&amp;"*"&amp;F$55&amp;"*"&amp;"A"</f>
        <v>164*2021*6100*A</v>
      </c>
      <c r="B737" s="276">
        <f>ROUND(F59,0)</f>
        <v>0</v>
      </c>
      <c r="C737" s="278">
        <f>ROUND(F60,2)</f>
        <v>7.6</v>
      </c>
      <c r="D737" s="276">
        <f>ROUND(F61,0)</f>
        <v>1113003</v>
      </c>
      <c r="E737" s="276">
        <f>ROUND(F62,0)</f>
        <v>195882</v>
      </c>
      <c r="F737" s="276">
        <f>ROUND(F63,0)</f>
        <v>0</v>
      </c>
      <c r="G737" s="276">
        <f>ROUND(F64,0)</f>
        <v>6606</v>
      </c>
      <c r="H737" s="276">
        <f>ROUND(F65,0)</f>
        <v>0</v>
      </c>
      <c r="I737" s="276">
        <f>ROUND(F66,0)</f>
        <v>57111</v>
      </c>
      <c r="J737" s="276">
        <f>ROUND(F67,0)</f>
        <v>140</v>
      </c>
      <c r="K737" s="276">
        <f>ROUND(F68,0)</f>
        <v>0</v>
      </c>
      <c r="L737" s="276">
        <f>ROUND(F69,0)</f>
        <v>39723</v>
      </c>
      <c r="M737" s="276">
        <f>ROUND(F70,0)</f>
        <v>0</v>
      </c>
      <c r="N737" s="276">
        <f>ROUND(F75,0)</f>
        <v>0</v>
      </c>
      <c r="O737" s="276">
        <f>ROUND(F73,0)</f>
        <v>0</v>
      </c>
      <c r="P737" s="276">
        <f>IF(F76&gt;0,ROUND(F76,0),0)</f>
        <v>0</v>
      </c>
      <c r="Q737" s="276">
        <f>IF(F77&gt;0,ROUND(F77,0),0)</f>
        <v>0</v>
      </c>
      <c r="R737" s="276">
        <f>IF(F78&gt;0,ROUND(F78,0),0)</f>
        <v>0</v>
      </c>
      <c r="S737" s="276">
        <f>IF(F79&gt;0,ROUND(F79,0),0)</f>
        <v>0</v>
      </c>
      <c r="T737" s="278">
        <f>IF(F80&gt;0,ROUND(F80,2),0)</f>
        <v>0.42</v>
      </c>
      <c r="U737" s="276"/>
      <c r="V737" s="277"/>
      <c r="W737" s="276"/>
      <c r="X737" s="276"/>
      <c r="Y737" s="276">
        <f t="shared" si="21"/>
        <v>132707</v>
      </c>
      <c r="Z737" s="277"/>
      <c r="AA737" s="277"/>
      <c r="AB737" s="277"/>
      <c r="AC737" s="277"/>
      <c r="AD737" s="277"/>
      <c r="AE737" s="277"/>
      <c r="AF737" s="277"/>
      <c r="AG737" s="277"/>
      <c r="AH737" s="277"/>
      <c r="AI737" s="277"/>
      <c r="AJ737" s="277"/>
      <c r="AK737" s="277"/>
      <c r="AL737" s="277"/>
      <c r="AM737" s="277"/>
      <c r="AN737" s="277"/>
      <c r="AO737" s="277"/>
      <c r="AP737" s="277"/>
      <c r="AQ737" s="277"/>
      <c r="AR737" s="277"/>
      <c r="AS737" s="277"/>
      <c r="AT737" s="277"/>
      <c r="AU737" s="277"/>
      <c r="AV737" s="277"/>
      <c r="AW737" s="277"/>
      <c r="AX737" s="277"/>
      <c r="AY737" s="277"/>
      <c r="AZ737" s="277"/>
      <c r="BA737" s="277"/>
      <c r="BB737" s="277"/>
      <c r="BC737" s="277"/>
      <c r="BD737" s="277"/>
      <c r="BE737" s="277"/>
      <c r="BF737" s="277"/>
      <c r="BG737" s="277"/>
      <c r="BH737" s="277"/>
      <c r="BI737" s="277"/>
      <c r="BJ737" s="277"/>
      <c r="BK737" s="277"/>
      <c r="BL737" s="277"/>
      <c r="BM737" s="277"/>
      <c r="BN737" s="277"/>
      <c r="BO737" s="277"/>
      <c r="BP737" s="277"/>
      <c r="BQ737" s="277"/>
      <c r="BR737" s="277"/>
      <c r="BS737" s="277"/>
      <c r="BT737" s="277"/>
      <c r="BU737" s="277"/>
      <c r="BV737" s="277"/>
      <c r="BW737" s="277"/>
      <c r="BX737" s="277"/>
      <c r="BY737" s="277"/>
      <c r="BZ737" s="277"/>
      <c r="CA737" s="277"/>
      <c r="CB737" s="277"/>
      <c r="CC737" s="277"/>
      <c r="CD737" s="277"/>
      <c r="CE737" s="277"/>
    </row>
    <row r="738" spans="1:83" ht="12.65" customHeight="1" x14ac:dyDescent="0.35">
      <c r="A738" s="209" t="str">
        <f>RIGHT($C$83,3)&amp;"*"&amp;RIGHT($C$82,4)&amp;"*"&amp;G$55&amp;"*"&amp;"A"</f>
        <v>164*2021*6120*A</v>
      </c>
      <c r="B738" s="276">
        <f>ROUND(G59,0)</f>
        <v>3342</v>
      </c>
      <c r="C738" s="278">
        <f>ROUND(G60,2)</f>
        <v>17.95</v>
      </c>
      <c r="D738" s="276">
        <f>ROUND(G61,0)</f>
        <v>2040310</v>
      </c>
      <c r="E738" s="276">
        <f>ROUND(G62,0)</f>
        <v>486252</v>
      </c>
      <c r="F738" s="276">
        <f>ROUND(G63,0)</f>
        <v>0</v>
      </c>
      <c r="G738" s="276">
        <f>ROUND(G64,0)</f>
        <v>75234</v>
      </c>
      <c r="H738" s="276">
        <f>ROUND(G65,0)</f>
        <v>0</v>
      </c>
      <c r="I738" s="276">
        <f>ROUND(G66,0)</f>
        <v>46066</v>
      </c>
      <c r="J738" s="276">
        <f>ROUND(G67,0)</f>
        <v>92894</v>
      </c>
      <c r="K738" s="276">
        <f>ROUND(G68,0)</f>
        <v>0</v>
      </c>
      <c r="L738" s="276">
        <f>ROUND(G69,0)</f>
        <v>9419</v>
      </c>
      <c r="M738" s="276">
        <f>ROUND(G70,0)</f>
        <v>0</v>
      </c>
      <c r="N738" s="276">
        <f>ROUND(G75,0)</f>
        <v>13836979</v>
      </c>
      <c r="O738" s="276">
        <f>ROUND(G73,0)</f>
        <v>13841087</v>
      </c>
      <c r="P738" s="276">
        <f>IF(G76&gt;0,ROUND(G76,0),0)</f>
        <v>9095</v>
      </c>
      <c r="Q738" s="276">
        <f>IF(G77&gt;0,ROUND(G77,0),0)</f>
        <v>9866</v>
      </c>
      <c r="R738" s="276">
        <f>IF(G78&gt;0,ROUND(G78,0),0)</f>
        <v>1158</v>
      </c>
      <c r="S738" s="276">
        <f>IF(G79&gt;0,ROUND(G79,0),0)</f>
        <v>31911</v>
      </c>
      <c r="T738" s="278">
        <f>IF(G80&gt;0,ROUND(G80,2),0)</f>
        <v>11.12</v>
      </c>
      <c r="U738" s="276"/>
      <c r="V738" s="277"/>
      <c r="W738" s="276"/>
      <c r="X738" s="276"/>
      <c r="Y738" s="276">
        <f t="shared" si="21"/>
        <v>1335878</v>
      </c>
      <c r="Z738" s="277"/>
      <c r="AA738" s="277"/>
      <c r="AB738" s="277"/>
      <c r="AC738" s="277"/>
      <c r="AD738" s="277"/>
      <c r="AE738" s="277"/>
      <c r="AF738" s="277"/>
      <c r="AG738" s="277"/>
      <c r="AH738" s="277"/>
      <c r="AI738" s="277"/>
      <c r="AJ738" s="277"/>
      <c r="AK738" s="277"/>
      <c r="AL738" s="277"/>
      <c r="AM738" s="277"/>
      <c r="AN738" s="277"/>
      <c r="AO738" s="277"/>
      <c r="AP738" s="277"/>
      <c r="AQ738" s="277"/>
      <c r="AR738" s="277"/>
      <c r="AS738" s="277"/>
      <c r="AT738" s="277"/>
      <c r="AU738" s="277"/>
      <c r="AV738" s="277"/>
      <c r="AW738" s="277"/>
      <c r="AX738" s="277"/>
      <c r="AY738" s="277"/>
      <c r="AZ738" s="277"/>
      <c r="BA738" s="277"/>
      <c r="BB738" s="277"/>
      <c r="BC738" s="277"/>
      <c r="BD738" s="277"/>
      <c r="BE738" s="277"/>
      <c r="BF738" s="277"/>
      <c r="BG738" s="277"/>
      <c r="BH738" s="277"/>
      <c r="BI738" s="277"/>
      <c r="BJ738" s="277"/>
      <c r="BK738" s="277"/>
      <c r="BL738" s="277"/>
      <c r="BM738" s="277"/>
      <c r="BN738" s="277"/>
      <c r="BO738" s="277"/>
      <c r="BP738" s="277"/>
      <c r="BQ738" s="277"/>
      <c r="BR738" s="277"/>
      <c r="BS738" s="277"/>
      <c r="BT738" s="277"/>
      <c r="BU738" s="277"/>
      <c r="BV738" s="277"/>
      <c r="BW738" s="277"/>
      <c r="BX738" s="277"/>
      <c r="BY738" s="277"/>
      <c r="BZ738" s="277"/>
      <c r="CA738" s="277"/>
      <c r="CB738" s="277"/>
      <c r="CC738" s="277"/>
      <c r="CD738" s="277"/>
      <c r="CE738" s="277"/>
    </row>
    <row r="739" spans="1:83" ht="12.65" customHeight="1" x14ac:dyDescent="0.35">
      <c r="A739" s="209" t="str">
        <f>RIGHT($C$83,3)&amp;"*"&amp;RIGHT($C$82,4)&amp;"*"&amp;H$55&amp;"*"&amp;"A"</f>
        <v>164*2021*6140*A</v>
      </c>
      <c r="B739" s="276">
        <f>ROUND(H59,0)</f>
        <v>0</v>
      </c>
      <c r="C739" s="278">
        <f>ROUND(H60,2)</f>
        <v>0</v>
      </c>
      <c r="D739" s="276">
        <f>ROUND(H61,0)</f>
        <v>0</v>
      </c>
      <c r="E739" s="276">
        <f>ROUND(H62,0)</f>
        <v>0</v>
      </c>
      <c r="F739" s="276">
        <f>ROUND(H63,0)</f>
        <v>0</v>
      </c>
      <c r="G739" s="276">
        <f>ROUND(H64,0)</f>
        <v>0</v>
      </c>
      <c r="H739" s="276">
        <f>ROUND(H65,0)</f>
        <v>0</v>
      </c>
      <c r="I739" s="276">
        <f>ROUND(H66,0)</f>
        <v>0</v>
      </c>
      <c r="J739" s="276">
        <f>ROUND(H67,0)</f>
        <v>0</v>
      </c>
      <c r="K739" s="276">
        <f>ROUND(H68,0)</f>
        <v>0</v>
      </c>
      <c r="L739" s="276">
        <f>ROUND(H69,0)</f>
        <v>0</v>
      </c>
      <c r="M739" s="276">
        <f>ROUND(H70,0)</f>
        <v>0</v>
      </c>
      <c r="N739" s="276">
        <f>ROUND(H75,0)</f>
        <v>0</v>
      </c>
      <c r="O739" s="276">
        <f>ROUND(H73,0)</f>
        <v>0</v>
      </c>
      <c r="P739" s="276">
        <f>IF(H76&gt;0,ROUND(H76,0),0)</f>
        <v>0</v>
      </c>
      <c r="Q739" s="276">
        <f>IF(H77&gt;0,ROUND(H77,0),0)</f>
        <v>0</v>
      </c>
      <c r="R739" s="276">
        <f>IF(H78&gt;0,ROUND(H78,0),0)</f>
        <v>0</v>
      </c>
      <c r="S739" s="276">
        <f>IF(H79&gt;0,ROUND(H79,0),0)</f>
        <v>0</v>
      </c>
      <c r="T739" s="278">
        <f>IF(H80&gt;0,ROUND(H80,2),0)</f>
        <v>0</v>
      </c>
      <c r="U739" s="276"/>
      <c r="V739" s="277"/>
      <c r="W739" s="276"/>
      <c r="X739" s="276"/>
      <c r="Y739" s="276">
        <f t="shared" si="21"/>
        <v>0</v>
      </c>
      <c r="Z739" s="277"/>
      <c r="AA739" s="277"/>
      <c r="AB739" s="277"/>
      <c r="AC739" s="277"/>
      <c r="AD739" s="277"/>
      <c r="AE739" s="277"/>
      <c r="AF739" s="277"/>
      <c r="AG739" s="277"/>
      <c r="AH739" s="277"/>
      <c r="AI739" s="277"/>
      <c r="AJ739" s="277"/>
      <c r="AK739" s="277"/>
      <c r="AL739" s="277"/>
      <c r="AM739" s="277"/>
      <c r="AN739" s="277"/>
      <c r="AO739" s="277"/>
      <c r="AP739" s="277"/>
      <c r="AQ739" s="277"/>
      <c r="AR739" s="277"/>
      <c r="AS739" s="277"/>
      <c r="AT739" s="277"/>
      <c r="AU739" s="277"/>
      <c r="AV739" s="277"/>
      <c r="AW739" s="277"/>
      <c r="AX739" s="277"/>
      <c r="AY739" s="277"/>
      <c r="AZ739" s="277"/>
      <c r="BA739" s="277"/>
      <c r="BB739" s="277"/>
      <c r="BC739" s="277"/>
      <c r="BD739" s="277"/>
      <c r="BE739" s="277"/>
      <c r="BF739" s="277"/>
      <c r="BG739" s="277"/>
      <c r="BH739" s="277"/>
      <c r="BI739" s="277"/>
      <c r="BJ739" s="277"/>
      <c r="BK739" s="277"/>
      <c r="BL739" s="277"/>
      <c r="BM739" s="277"/>
      <c r="BN739" s="277"/>
      <c r="BO739" s="277"/>
      <c r="BP739" s="277"/>
      <c r="BQ739" s="277"/>
      <c r="BR739" s="277"/>
      <c r="BS739" s="277"/>
      <c r="BT739" s="277"/>
      <c r="BU739" s="277"/>
      <c r="BV739" s="277"/>
      <c r="BW739" s="277"/>
      <c r="BX739" s="277"/>
      <c r="BY739" s="277"/>
      <c r="BZ739" s="277"/>
      <c r="CA739" s="277"/>
      <c r="CB739" s="277"/>
      <c r="CC739" s="277"/>
      <c r="CD739" s="277"/>
      <c r="CE739" s="277"/>
    </row>
    <row r="740" spans="1:83" ht="12.65" customHeight="1" x14ac:dyDescent="0.35">
      <c r="A740" s="209" t="str">
        <f>RIGHT($C$83,3)&amp;"*"&amp;RIGHT($C$82,4)&amp;"*"&amp;I$55&amp;"*"&amp;"A"</f>
        <v>164*2021*6150*A</v>
      </c>
      <c r="B740" s="276">
        <f>ROUND(I59,0)</f>
        <v>0</v>
      </c>
      <c r="C740" s="278">
        <f>ROUND(I60,2)</f>
        <v>0</v>
      </c>
      <c r="D740" s="276">
        <f>ROUND(I61,0)</f>
        <v>0</v>
      </c>
      <c r="E740" s="276">
        <f>ROUND(I62,0)</f>
        <v>0</v>
      </c>
      <c r="F740" s="276">
        <f>ROUND(I63,0)</f>
        <v>0</v>
      </c>
      <c r="G740" s="276">
        <f>ROUND(I64,0)</f>
        <v>0</v>
      </c>
      <c r="H740" s="276">
        <f>ROUND(I65,0)</f>
        <v>0</v>
      </c>
      <c r="I740" s="276">
        <f>ROUND(I66,0)</f>
        <v>0</v>
      </c>
      <c r="J740" s="276">
        <f>ROUND(I67,0)</f>
        <v>0</v>
      </c>
      <c r="K740" s="276">
        <f>ROUND(I68,0)</f>
        <v>0</v>
      </c>
      <c r="L740" s="276">
        <f>ROUND(I69,0)</f>
        <v>0</v>
      </c>
      <c r="M740" s="276">
        <f>ROUND(I70,0)</f>
        <v>0</v>
      </c>
      <c r="N740" s="276">
        <f>ROUND(I75,0)</f>
        <v>0</v>
      </c>
      <c r="O740" s="276">
        <f>ROUND(I73,0)</f>
        <v>0</v>
      </c>
      <c r="P740" s="276">
        <f>IF(I76&gt;0,ROUND(I76,0),0)</f>
        <v>0</v>
      </c>
      <c r="Q740" s="276">
        <f>IF(I77&gt;0,ROUND(I77,0),0)</f>
        <v>0</v>
      </c>
      <c r="R740" s="276">
        <f>IF(I78&gt;0,ROUND(I78,0),0)</f>
        <v>0</v>
      </c>
      <c r="S740" s="276">
        <f>IF(I79&gt;0,ROUND(I79,0),0)</f>
        <v>0</v>
      </c>
      <c r="T740" s="278">
        <f>IF(I80&gt;0,ROUND(I80,2),0)</f>
        <v>0</v>
      </c>
      <c r="U740" s="276"/>
      <c r="V740" s="277"/>
      <c r="W740" s="276"/>
      <c r="X740" s="276"/>
      <c r="Y740" s="276">
        <f t="shared" si="21"/>
        <v>0</v>
      </c>
      <c r="Z740" s="277"/>
      <c r="AA740" s="277"/>
      <c r="AB740" s="277"/>
      <c r="AC740" s="277"/>
      <c r="AD740" s="277"/>
      <c r="AE740" s="277"/>
      <c r="AF740" s="277"/>
      <c r="AG740" s="277"/>
      <c r="AH740" s="277"/>
      <c r="AI740" s="277"/>
      <c r="AJ740" s="277"/>
      <c r="AK740" s="277"/>
      <c r="AL740" s="277"/>
      <c r="AM740" s="277"/>
      <c r="AN740" s="277"/>
      <c r="AO740" s="277"/>
      <c r="AP740" s="277"/>
      <c r="AQ740" s="277"/>
      <c r="AR740" s="277"/>
      <c r="AS740" s="277"/>
      <c r="AT740" s="277"/>
      <c r="AU740" s="277"/>
      <c r="AV740" s="277"/>
      <c r="AW740" s="277"/>
      <c r="AX740" s="277"/>
      <c r="AY740" s="277"/>
      <c r="AZ740" s="277"/>
      <c r="BA740" s="277"/>
      <c r="BB740" s="277"/>
      <c r="BC740" s="277"/>
      <c r="BD740" s="277"/>
      <c r="BE740" s="277"/>
      <c r="BF740" s="277"/>
      <c r="BG740" s="277"/>
      <c r="BH740" s="277"/>
      <c r="BI740" s="277"/>
      <c r="BJ740" s="277"/>
      <c r="BK740" s="277"/>
      <c r="BL740" s="277"/>
      <c r="BM740" s="277"/>
      <c r="BN740" s="277"/>
      <c r="BO740" s="277"/>
      <c r="BP740" s="277"/>
      <c r="BQ740" s="277"/>
      <c r="BR740" s="277"/>
      <c r="BS740" s="277"/>
      <c r="BT740" s="277"/>
      <c r="BU740" s="277"/>
      <c r="BV740" s="277"/>
      <c r="BW740" s="277"/>
      <c r="BX740" s="277"/>
      <c r="BY740" s="277"/>
      <c r="BZ740" s="277"/>
      <c r="CA740" s="277"/>
      <c r="CB740" s="277"/>
      <c r="CC740" s="277"/>
      <c r="CD740" s="277"/>
      <c r="CE740" s="277"/>
    </row>
    <row r="741" spans="1:83" ht="12.65" customHeight="1" x14ac:dyDescent="0.35">
      <c r="A741" s="209" t="str">
        <f>RIGHT($C$83,3)&amp;"*"&amp;RIGHT($C$82,4)&amp;"*"&amp;J$55&amp;"*"&amp;"A"</f>
        <v>164*2021*6170*A</v>
      </c>
      <c r="B741" s="276">
        <f>ROUND(J59,0)</f>
        <v>0</v>
      </c>
      <c r="C741" s="278">
        <f>ROUND(J60,2)</f>
        <v>0</v>
      </c>
      <c r="D741" s="276">
        <f>ROUND(J61,0)</f>
        <v>0</v>
      </c>
      <c r="E741" s="276">
        <f>ROUND(J62,0)</f>
        <v>0</v>
      </c>
      <c r="F741" s="276">
        <f>ROUND(J63,0)</f>
        <v>0</v>
      </c>
      <c r="G741" s="276">
        <f>ROUND(J64,0)</f>
        <v>0</v>
      </c>
      <c r="H741" s="276">
        <f>ROUND(J65,0)</f>
        <v>0</v>
      </c>
      <c r="I741" s="276">
        <f>ROUND(J66,0)</f>
        <v>0</v>
      </c>
      <c r="J741" s="276">
        <f>ROUND(J67,0)</f>
        <v>0</v>
      </c>
      <c r="K741" s="276">
        <f>ROUND(J68,0)</f>
        <v>0</v>
      </c>
      <c r="L741" s="276">
        <f>ROUND(J69,0)</f>
        <v>0</v>
      </c>
      <c r="M741" s="276">
        <f>ROUND(J70,0)</f>
        <v>0</v>
      </c>
      <c r="N741" s="276">
        <f>ROUND(J75,0)</f>
        <v>0</v>
      </c>
      <c r="O741" s="276">
        <f>ROUND(J73,0)</f>
        <v>0</v>
      </c>
      <c r="P741" s="276">
        <f>IF(J76&gt;0,ROUND(J76,0),0)</f>
        <v>0</v>
      </c>
      <c r="Q741" s="276">
        <f>IF(J77&gt;0,ROUND(J77,0),0)</f>
        <v>0</v>
      </c>
      <c r="R741" s="276">
        <f>IF(J78&gt;0,ROUND(J78,0),0)</f>
        <v>0</v>
      </c>
      <c r="S741" s="276">
        <f>IF(J79&gt;0,ROUND(J79,0),0)</f>
        <v>0</v>
      </c>
      <c r="T741" s="278">
        <f>IF(J80&gt;0,ROUND(J80,2),0)</f>
        <v>0</v>
      </c>
      <c r="U741" s="276"/>
      <c r="V741" s="277"/>
      <c r="W741" s="276"/>
      <c r="X741" s="276"/>
      <c r="Y741" s="276">
        <f t="shared" si="21"/>
        <v>0</v>
      </c>
      <c r="Z741" s="277"/>
      <c r="AA741" s="277"/>
      <c r="AB741" s="277"/>
      <c r="AC741" s="277"/>
      <c r="AD741" s="277"/>
      <c r="AE741" s="277"/>
      <c r="AF741" s="277"/>
      <c r="AG741" s="277"/>
      <c r="AH741" s="277"/>
      <c r="AI741" s="277"/>
      <c r="AJ741" s="277"/>
      <c r="AK741" s="277"/>
      <c r="AL741" s="277"/>
      <c r="AM741" s="277"/>
      <c r="AN741" s="277"/>
      <c r="AO741" s="277"/>
      <c r="AP741" s="277"/>
      <c r="AQ741" s="277"/>
      <c r="AR741" s="277"/>
      <c r="AS741" s="277"/>
      <c r="AT741" s="277"/>
      <c r="AU741" s="277"/>
      <c r="AV741" s="277"/>
      <c r="AW741" s="277"/>
      <c r="AX741" s="277"/>
      <c r="AY741" s="277"/>
      <c r="AZ741" s="277"/>
      <c r="BA741" s="277"/>
      <c r="BB741" s="277"/>
      <c r="BC741" s="277"/>
      <c r="BD741" s="277"/>
      <c r="BE741" s="277"/>
      <c r="BF741" s="277"/>
      <c r="BG741" s="277"/>
      <c r="BH741" s="277"/>
      <c r="BI741" s="277"/>
      <c r="BJ741" s="277"/>
      <c r="BK741" s="277"/>
      <c r="BL741" s="277"/>
      <c r="BM741" s="277"/>
      <c r="BN741" s="277"/>
      <c r="BO741" s="277"/>
      <c r="BP741" s="277"/>
      <c r="BQ741" s="277"/>
      <c r="BR741" s="277"/>
      <c r="BS741" s="277"/>
      <c r="BT741" s="277"/>
      <c r="BU741" s="277"/>
      <c r="BV741" s="277"/>
      <c r="BW741" s="277"/>
      <c r="BX741" s="277"/>
      <c r="BY741" s="277"/>
      <c r="BZ741" s="277"/>
      <c r="CA741" s="277"/>
      <c r="CB741" s="277"/>
      <c r="CC741" s="277"/>
      <c r="CD741" s="277"/>
      <c r="CE741" s="277"/>
    </row>
    <row r="742" spans="1:83" ht="12.65" customHeight="1" x14ac:dyDescent="0.35">
      <c r="A742" s="209" t="str">
        <f>RIGHT($C$83,3)&amp;"*"&amp;RIGHT($C$82,4)&amp;"*"&amp;K$55&amp;"*"&amp;"A"</f>
        <v>164*2021*6200*A</v>
      </c>
      <c r="B742" s="276">
        <f>ROUND(K59,0)</f>
        <v>0</v>
      </c>
      <c r="C742" s="278">
        <f>ROUND(K60,2)</f>
        <v>0</v>
      </c>
      <c r="D742" s="276">
        <f>ROUND(K61,0)</f>
        <v>0</v>
      </c>
      <c r="E742" s="276">
        <f>ROUND(K62,0)</f>
        <v>0</v>
      </c>
      <c r="F742" s="276">
        <f>ROUND(K63,0)</f>
        <v>0</v>
      </c>
      <c r="G742" s="276">
        <f>ROUND(K64,0)</f>
        <v>0</v>
      </c>
      <c r="H742" s="276">
        <f>ROUND(K65,0)</f>
        <v>0</v>
      </c>
      <c r="I742" s="276">
        <f>ROUND(K66,0)</f>
        <v>0</v>
      </c>
      <c r="J742" s="276">
        <f>ROUND(K67,0)</f>
        <v>0</v>
      </c>
      <c r="K742" s="276">
        <f>ROUND(K68,0)</f>
        <v>0</v>
      </c>
      <c r="L742" s="276">
        <f>ROUND(K69,0)</f>
        <v>0</v>
      </c>
      <c r="M742" s="276">
        <f>ROUND(K70,0)</f>
        <v>0</v>
      </c>
      <c r="N742" s="276">
        <f>ROUND(K75,0)</f>
        <v>0</v>
      </c>
      <c r="O742" s="276">
        <f>ROUND(K73,0)</f>
        <v>0</v>
      </c>
      <c r="P742" s="276">
        <f>IF(K76&gt;0,ROUND(K76,0),0)</f>
        <v>0</v>
      </c>
      <c r="Q742" s="276">
        <f>IF(K77&gt;0,ROUND(K77,0),0)</f>
        <v>0</v>
      </c>
      <c r="R742" s="276">
        <f>IF(K78&gt;0,ROUND(K78,0),0)</f>
        <v>0</v>
      </c>
      <c r="S742" s="276">
        <f>IF(K79&gt;0,ROUND(K79,0),0)</f>
        <v>0</v>
      </c>
      <c r="T742" s="278">
        <f>IF(K80&gt;0,ROUND(K80,2),0)</f>
        <v>0</v>
      </c>
      <c r="U742" s="276"/>
      <c r="V742" s="277"/>
      <c r="W742" s="276"/>
      <c r="X742" s="276"/>
      <c r="Y742" s="276">
        <f t="shared" si="21"/>
        <v>0</v>
      </c>
      <c r="Z742" s="277"/>
      <c r="AA742" s="277"/>
      <c r="AB742" s="277"/>
      <c r="AC742" s="277"/>
      <c r="AD742" s="277"/>
      <c r="AE742" s="277"/>
      <c r="AF742" s="277"/>
      <c r="AG742" s="277"/>
      <c r="AH742" s="277"/>
      <c r="AI742" s="277"/>
      <c r="AJ742" s="277"/>
      <c r="AK742" s="277"/>
      <c r="AL742" s="277"/>
      <c r="AM742" s="277"/>
      <c r="AN742" s="277"/>
      <c r="AO742" s="277"/>
      <c r="AP742" s="277"/>
      <c r="AQ742" s="277"/>
      <c r="AR742" s="277"/>
      <c r="AS742" s="277"/>
      <c r="AT742" s="277"/>
      <c r="AU742" s="277"/>
      <c r="AV742" s="277"/>
      <c r="AW742" s="277"/>
      <c r="AX742" s="277"/>
      <c r="AY742" s="277"/>
      <c r="AZ742" s="277"/>
      <c r="BA742" s="277"/>
      <c r="BB742" s="277"/>
      <c r="BC742" s="277"/>
      <c r="BD742" s="277"/>
      <c r="BE742" s="277"/>
      <c r="BF742" s="277"/>
      <c r="BG742" s="277"/>
      <c r="BH742" s="277"/>
      <c r="BI742" s="277"/>
      <c r="BJ742" s="277"/>
      <c r="BK742" s="277"/>
      <c r="BL742" s="277"/>
      <c r="BM742" s="277"/>
      <c r="BN742" s="277"/>
      <c r="BO742" s="277"/>
      <c r="BP742" s="277"/>
      <c r="BQ742" s="277"/>
      <c r="BR742" s="277"/>
      <c r="BS742" s="277"/>
      <c r="BT742" s="277"/>
      <c r="BU742" s="277"/>
      <c r="BV742" s="277"/>
      <c r="BW742" s="277"/>
      <c r="BX742" s="277"/>
      <c r="BY742" s="277"/>
      <c r="BZ742" s="277"/>
      <c r="CA742" s="277"/>
      <c r="CB742" s="277"/>
      <c r="CC742" s="277"/>
      <c r="CD742" s="277"/>
      <c r="CE742" s="277"/>
    </row>
    <row r="743" spans="1:83" ht="12.65" customHeight="1" x14ac:dyDescent="0.35">
      <c r="A743" s="209" t="str">
        <f>RIGHT($C$83,3)&amp;"*"&amp;RIGHT($C$82,4)&amp;"*"&amp;L$55&amp;"*"&amp;"A"</f>
        <v>164*2021*6210*A</v>
      </c>
      <c r="B743" s="276">
        <f>ROUND(L59,0)</f>
        <v>0</v>
      </c>
      <c r="C743" s="278">
        <f>ROUND(L60,2)</f>
        <v>0</v>
      </c>
      <c r="D743" s="276">
        <f>ROUND(L61,0)</f>
        <v>0</v>
      </c>
      <c r="E743" s="276">
        <f>ROUND(L62,0)</f>
        <v>0</v>
      </c>
      <c r="F743" s="276">
        <f>ROUND(L63,0)</f>
        <v>0</v>
      </c>
      <c r="G743" s="276">
        <f>ROUND(L64,0)</f>
        <v>0</v>
      </c>
      <c r="H743" s="276">
        <f>ROUND(L65,0)</f>
        <v>0</v>
      </c>
      <c r="I743" s="276">
        <f>ROUND(L66,0)</f>
        <v>0</v>
      </c>
      <c r="J743" s="276">
        <f>ROUND(L67,0)</f>
        <v>0</v>
      </c>
      <c r="K743" s="276">
        <f>ROUND(L68,0)</f>
        <v>0</v>
      </c>
      <c r="L743" s="276">
        <f>ROUND(L69,0)</f>
        <v>0</v>
      </c>
      <c r="M743" s="276">
        <f>ROUND(L70,0)</f>
        <v>0</v>
      </c>
      <c r="N743" s="276">
        <f>ROUND(L75,0)</f>
        <v>0</v>
      </c>
      <c r="O743" s="276">
        <f>ROUND(L73,0)</f>
        <v>0</v>
      </c>
      <c r="P743" s="276">
        <f>IF(L76&gt;0,ROUND(L76,0),0)</f>
        <v>0</v>
      </c>
      <c r="Q743" s="276">
        <f>IF(L77&gt;0,ROUND(L77,0),0)</f>
        <v>0</v>
      </c>
      <c r="R743" s="276">
        <f>IF(L78&gt;0,ROUND(L78,0),0)</f>
        <v>0</v>
      </c>
      <c r="S743" s="276">
        <f>IF(L79&gt;0,ROUND(L79,0),0)</f>
        <v>0</v>
      </c>
      <c r="T743" s="278">
        <f>IF(L80&gt;0,ROUND(L80,2),0)</f>
        <v>0</v>
      </c>
      <c r="U743" s="276"/>
      <c r="V743" s="277"/>
      <c r="W743" s="276"/>
      <c r="X743" s="276"/>
      <c r="Y743" s="276">
        <f t="shared" si="21"/>
        <v>0</v>
      </c>
      <c r="Z743" s="277"/>
      <c r="AA743" s="277"/>
      <c r="AB743" s="277"/>
      <c r="AC743" s="277"/>
      <c r="AD743" s="277"/>
      <c r="AE743" s="277"/>
      <c r="AF743" s="277"/>
      <c r="AG743" s="277"/>
      <c r="AH743" s="277"/>
      <c r="AI743" s="277"/>
      <c r="AJ743" s="277"/>
      <c r="AK743" s="277"/>
      <c r="AL743" s="277"/>
      <c r="AM743" s="277"/>
      <c r="AN743" s="277"/>
      <c r="AO743" s="277"/>
      <c r="AP743" s="277"/>
      <c r="AQ743" s="277"/>
      <c r="AR743" s="277"/>
      <c r="AS743" s="277"/>
      <c r="AT743" s="277"/>
      <c r="AU743" s="277"/>
      <c r="AV743" s="277"/>
      <c r="AW743" s="277"/>
      <c r="AX743" s="277"/>
      <c r="AY743" s="277"/>
      <c r="AZ743" s="277"/>
      <c r="BA743" s="277"/>
      <c r="BB743" s="277"/>
      <c r="BC743" s="277"/>
      <c r="BD743" s="277"/>
      <c r="BE743" s="277"/>
      <c r="BF743" s="277"/>
      <c r="BG743" s="277"/>
      <c r="BH743" s="277"/>
      <c r="BI743" s="277"/>
      <c r="BJ743" s="277"/>
      <c r="BK743" s="277"/>
      <c r="BL743" s="277"/>
      <c r="BM743" s="277"/>
      <c r="BN743" s="277"/>
      <c r="BO743" s="277"/>
      <c r="BP743" s="277"/>
      <c r="BQ743" s="277"/>
      <c r="BR743" s="277"/>
      <c r="BS743" s="277"/>
      <c r="BT743" s="277"/>
      <c r="BU743" s="277"/>
      <c r="BV743" s="277"/>
      <c r="BW743" s="277"/>
      <c r="BX743" s="277"/>
      <c r="BY743" s="277"/>
      <c r="BZ743" s="277"/>
      <c r="CA743" s="277"/>
      <c r="CB743" s="277"/>
      <c r="CC743" s="277"/>
      <c r="CD743" s="277"/>
      <c r="CE743" s="277"/>
    </row>
    <row r="744" spans="1:83" ht="12.65" customHeight="1" x14ac:dyDescent="0.35">
      <c r="A744" s="209" t="str">
        <f>RIGHT($C$83,3)&amp;"*"&amp;RIGHT($C$82,4)&amp;"*"&amp;M$55&amp;"*"&amp;"A"</f>
        <v>164*2021*6330*A</v>
      </c>
      <c r="B744" s="276">
        <f>ROUND(M59,0)</f>
        <v>3471</v>
      </c>
      <c r="C744" s="278">
        <f>ROUND(M60,2)</f>
        <v>47.31</v>
      </c>
      <c r="D744" s="276">
        <f>ROUND(M61,0)</f>
        <v>5110697</v>
      </c>
      <c r="E744" s="276">
        <f>ROUND(M62,0)</f>
        <v>1278056</v>
      </c>
      <c r="F744" s="276">
        <f>ROUND(M63,0)</f>
        <v>2248</v>
      </c>
      <c r="G744" s="276">
        <f>ROUND(M64,0)</f>
        <v>141965</v>
      </c>
      <c r="H744" s="276">
        <f>ROUND(M65,0)</f>
        <v>8774</v>
      </c>
      <c r="I744" s="276">
        <f>ROUND(M66,0)</f>
        <v>182620</v>
      </c>
      <c r="J744" s="276">
        <f>ROUND(M67,0)</f>
        <v>151265</v>
      </c>
      <c r="K744" s="276">
        <f>ROUND(M68,0)</f>
        <v>77882</v>
      </c>
      <c r="L744" s="276">
        <f>ROUND(M69,0)</f>
        <v>42937</v>
      </c>
      <c r="M744" s="276">
        <f>ROUND(M70,0)</f>
        <v>873392</v>
      </c>
      <c r="N744" s="276">
        <f>ROUND(M75,0)</f>
        <v>5971694</v>
      </c>
      <c r="O744" s="276">
        <f>ROUND(M73,0)</f>
        <v>5749377</v>
      </c>
      <c r="P744" s="276">
        <f>IF(M76&gt;0,ROUND(M76,0),0)</f>
        <v>20520</v>
      </c>
      <c r="Q744" s="276">
        <f>IF(M77&gt;0,ROUND(M77,0),0)</f>
        <v>5542</v>
      </c>
      <c r="R744" s="276">
        <f>IF(M78&gt;0,ROUND(M78,0),0)</f>
        <v>2613</v>
      </c>
      <c r="S744" s="276">
        <f>IF(M79&gt;0,ROUND(M79,0),0)</f>
        <v>27726</v>
      </c>
      <c r="T744" s="278">
        <f>IF(M80&gt;0,ROUND(M80,2),0)</f>
        <v>17.64</v>
      </c>
      <c r="U744" s="276"/>
      <c r="V744" s="277"/>
      <c r="W744" s="276"/>
      <c r="X744" s="276"/>
      <c r="Y744" s="276">
        <f t="shared" si="21"/>
        <v>1765716</v>
      </c>
      <c r="Z744" s="277"/>
      <c r="AA744" s="277"/>
      <c r="AB744" s="277"/>
      <c r="AC744" s="277"/>
      <c r="AD744" s="277"/>
      <c r="AE744" s="277"/>
      <c r="AF744" s="277"/>
      <c r="AG744" s="277"/>
      <c r="AH744" s="277"/>
      <c r="AI744" s="277"/>
      <c r="AJ744" s="277"/>
      <c r="AK744" s="277"/>
      <c r="AL744" s="277"/>
      <c r="AM744" s="277"/>
      <c r="AN744" s="277"/>
      <c r="AO744" s="277"/>
      <c r="AP744" s="277"/>
      <c r="AQ744" s="277"/>
      <c r="AR744" s="277"/>
      <c r="AS744" s="277"/>
      <c r="AT744" s="277"/>
      <c r="AU744" s="277"/>
      <c r="AV744" s="277"/>
      <c r="AW744" s="277"/>
      <c r="AX744" s="277"/>
      <c r="AY744" s="277"/>
      <c r="AZ744" s="277"/>
      <c r="BA744" s="277"/>
      <c r="BB744" s="277"/>
      <c r="BC744" s="277"/>
      <c r="BD744" s="277"/>
      <c r="BE744" s="277"/>
      <c r="BF744" s="277"/>
      <c r="BG744" s="277"/>
      <c r="BH744" s="277"/>
      <c r="BI744" s="277"/>
      <c r="BJ744" s="277"/>
      <c r="BK744" s="277"/>
      <c r="BL744" s="277"/>
      <c r="BM744" s="277"/>
      <c r="BN744" s="277"/>
      <c r="BO744" s="277"/>
      <c r="BP744" s="277"/>
      <c r="BQ744" s="277"/>
      <c r="BR744" s="277"/>
      <c r="BS744" s="277"/>
      <c r="BT744" s="277"/>
      <c r="BU744" s="277"/>
      <c r="BV744" s="277"/>
      <c r="BW744" s="277"/>
      <c r="BX744" s="277"/>
      <c r="BY744" s="277"/>
      <c r="BZ744" s="277"/>
      <c r="CA744" s="277"/>
      <c r="CB744" s="277"/>
      <c r="CC744" s="277"/>
      <c r="CD744" s="277"/>
      <c r="CE744" s="277"/>
    </row>
    <row r="745" spans="1:83" ht="12.65" customHeight="1" x14ac:dyDescent="0.35">
      <c r="A745" s="209" t="str">
        <f>RIGHT($C$83,3)&amp;"*"&amp;RIGHT($C$82,4)&amp;"*"&amp;N$55&amp;"*"&amp;"A"</f>
        <v>164*2021*6400*A</v>
      </c>
      <c r="B745" s="276">
        <f>ROUND(N59,0)</f>
        <v>0</v>
      </c>
      <c r="C745" s="278">
        <f>ROUND(N60,2)</f>
        <v>50.92</v>
      </c>
      <c r="D745" s="276">
        <f>ROUND(N61,0)</f>
        <v>16542332</v>
      </c>
      <c r="E745" s="276">
        <f>ROUND(N62,0)</f>
        <v>2905261</v>
      </c>
      <c r="F745" s="276">
        <f>ROUND(N63,0)</f>
        <v>691955</v>
      </c>
      <c r="G745" s="276">
        <f>ROUND(N64,0)</f>
        <v>10348</v>
      </c>
      <c r="H745" s="276">
        <f>ROUND(N65,0)</f>
        <v>26778</v>
      </c>
      <c r="I745" s="276">
        <f>ROUND(N66,0)</f>
        <v>3340</v>
      </c>
      <c r="J745" s="276">
        <f>ROUND(N67,0)</f>
        <v>4413</v>
      </c>
      <c r="K745" s="276">
        <f>ROUND(N68,0)</f>
        <v>0</v>
      </c>
      <c r="L745" s="276">
        <f>ROUND(N69,0)</f>
        <v>207196</v>
      </c>
      <c r="M745" s="276">
        <f>ROUND(N70,0)</f>
        <v>35373</v>
      </c>
      <c r="N745" s="276">
        <f>ROUND(N75,0)</f>
        <v>20980302</v>
      </c>
      <c r="O745" s="276">
        <f>ROUND(N73,0)</f>
        <v>19220243</v>
      </c>
      <c r="P745" s="276">
        <f>IF(N76&gt;0,ROUND(N76,0),0)</f>
        <v>5055</v>
      </c>
      <c r="Q745" s="276">
        <f>IF(N77&gt;0,ROUND(N77,0),0)</f>
        <v>0</v>
      </c>
      <c r="R745" s="276">
        <f>IF(N78&gt;0,ROUND(N78,0),0)</f>
        <v>644</v>
      </c>
      <c r="S745" s="276">
        <f>IF(N79&gt;0,ROUND(N79,0),0)</f>
        <v>0</v>
      </c>
      <c r="T745" s="278">
        <f>IF(N80&gt;0,ROUND(N80,2),0)</f>
        <v>0</v>
      </c>
      <c r="U745" s="276"/>
      <c r="V745" s="277"/>
      <c r="W745" s="276"/>
      <c r="X745" s="276"/>
      <c r="Y745" s="276">
        <f t="shared" si="21"/>
        <v>2633701</v>
      </c>
      <c r="Z745" s="277"/>
      <c r="AA745" s="277"/>
      <c r="AB745" s="277"/>
      <c r="AC745" s="277"/>
      <c r="AD745" s="277"/>
      <c r="AE745" s="277"/>
      <c r="AF745" s="277"/>
      <c r="AG745" s="277"/>
      <c r="AH745" s="277"/>
      <c r="AI745" s="277"/>
      <c r="AJ745" s="277"/>
      <c r="AK745" s="277"/>
      <c r="AL745" s="277"/>
      <c r="AM745" s="277"/>
      <c r="AN745" s="277"/>
      <c r="AO745" s="277"/>
      <c r="AP745" s="277"/>
      <c r="AQ745" s="277"/>
      <c r="AR745" s="277"/>
      <c r="AS745" s="277"/>
      <c r="AT745" s="277"/>
      <c r="AU745" s="277"/>
      <c r="AV745" s="277"/>
      <c r="AW745" s="277"/>
      <c r="AX745" s="277"/>
      <c r="AY745" s="277"/>
      <c r="AZ745" s="277"/>
      <c r="BA745" s="277"/>
      <c r="BB745" s="277"/>
      <c r="BC745" s="277"/>
      <c r="BD745" s="277"/>
      <c r="BE745" s="277"/>
      <c r="BF745" s="277"/>
      <c r="BG745" s="277"/>
      <c r="BH745" s="277"/>
      <c r="BI745" s="277"/>
      <c r="BJ745" s="277"/>
      <c r="BK745" s="277"/>
      <c r="BL745" s="277"/>
      <c r="BM745" s="277"/>
      <c r="BN745" s="277"/>
      <c r="BO745" s="277"/>
      <c r="BP745" s="277"/>
      <c r="BQ745" s="277"/>
      <c r="BR745" s="277"/>
      <c r="BS745" s="277"/>
      <c r="BT745" s="277"/>
      <c r="BU745" s="277"/>
      <c r="BV745" s="277"/>
      <c r="BW745" s="277"/>
      <c r="BX745" s="277"/>
      <c r="BY745" s="277"/>
      <c r="BZ745" s="277"/>
      <c r="CA745" s="277"/>
      <c r="CB745" s="277"/>
      <c r="CC745" s="277"/>
      <c r="CD745" s="277"/>
      <c r="CE745" s="277"/>
    </row>
    <row r="746" spans="1:83" ht="12.65" customHeight="1" x14ac:dyDescent="0.35">
      <c r="A746" s="209" t="str">
        <f>RIGHT($C$83,3)&amp;"*"&amp;RIGHT($C$82,4)&amp;"*"&amp;O$55&amp;"*"&amp;"A"</f>
        <v>164*2021*7010*A</v>
      </c>
      <c r="B746" s="276">
        <f>ROUND(O59,0)</f>
        <v>4753</v>
      </c>
      <c r="C746" s="278">
        <f>ROUND(O60,2)</f>
        <v>176.99</v>
      </c>
      <c r="D746" s="276">
        <f>ROUND(O61,0)</f>
        <v>20499504</v>
      </c>
      <c r="E746" s="276">
        <f>ROUND(O62,0)</f>
        <v>4405636</v>
      </c>
      <c r="F746" s="276">
        <f>ROUND(O63,0)</f>
        <v>1695690</v>
      </c>
      <c r="G746" s="276">
        <f>ROUND(O64,0)</f>
        <v>1903344</v>
      </c>
      <c r="H746" s="276">
        <f>ROUND(O65,0)</f>
        <v>480</v>
      </c>
      <c r="I746" s="276">
        <f>ROUND(O66,0)</f>
        <v>327818</v>
      </c>
      <c r="J746" s="276">
        <f>ROUND(O67,0)</f>
        <v>712237</v>
      </c>
      <c r="K746" s="276">
        <f>ROUND(O68,0)</f>
        <v>0</v>
      </c>
      <c r="L746" s="276">
        <f>ROUND(O69,0)</f>
        <v>10380</v>
      </c>
      <c r="M746" s="276">
        <f>ROUND(O70,0)</f>
        <v>7706</v>
      </c>
      <c r="N746" s="276">
        <f>ROUND(O75,0)</f>
        <v>110736665</v>
      </c>
      <c r="O746" s="276">
        <f>ROUND(O73,0)</f>
        <v>105901189</v>
      </c>
      <c r="P746" s="276">
        <f>IF(O76&gt;0,ROUND(O76,0),0)</f>
        <v>54397</v>
      </c>
      <c r="Q746" s="276">
        <f>IF(O77&gt;0,ROUND(O77,0),0)</f>
        <v>27122</v>
      </c>
      <c r="R746" s="276">
        <f>IF(O78&gt;0,ROUND(O78,0),0)</f>
        <v>6927</v>
      </c>
      <c r="S746" s="276">
        <f>IF(O79&gt;0,ROUND(O79,0),0)</f>
        <v>368240</v>
      </c>
      <c r="T746" s="278">
        <f>IF(O80&gt;0,ROUND(O80,2),0)</f>
        <v>132.01</v>
      </c>
      <c r="U746" s="276"/>
      <c r="V746" s="277"/>
      <c r="W746" s="276"/>
      <c r="X746" s="276"/>
      <c r="Y746" s="276">
        <f t="shared" si="21"/>
        <v>11441842</v>
      </c>
      <c r="Z746" s="277"/>
      <c r="AA746" s="277"/>
      <c r="AB746" s="277"/>
      <c r="AC746" s="277"/>
      <c r="AD746" s="277"/>
      <c r="AE746" s="277"/>
      <c r="AF746" s="277"/>
      <c r="AG746" s="277"/>
      <c r="AH746" s="277"/>
      <c r="AI746" s="277"/>
      <c r="AJ746" s="277"/>
      <c r="AK746" s="277"/>
      <c r="AL746" s="277"/>
      <c r="AM746" s="277"/>
      <c r="AN746" s="277"/>
      <c r="AO746" s="277"/>
      <c r="AP746" s="277"/>
      <c r="AQ746" s="277"/>
      <c r="AR746" s="277"/>
      <c r="AS746" s="277"/>
      <c r="AT746" s="277"/>
      <c r="AU746" s="277"/>
      <c r="AV746" s="277"/>
      <c r="AW746" s="277"/>
      <c r="AX746" s="277"/>
      <c r="AY746" s="277"/>
      <c r="AZ746" s="277"/>
      <c r="BA746" s="277"/>
      <c r="BB746" s="277"/>
      <c r="BC746" s="277"/>
      <c r="BD746" s="277"/>
      <c r="BE746" s="277"/>
      <c r="BF746" s="277"/>
      <c r="BG746" s="277"/>
      <c r="BH746" s="277"/>
      <c r="BI746" s="277"/>
      <c r="BJ746" s="277"/>
      <c r="BK746" s="277"/>
      <c r="BL746" s="277"/>
      <c r="BM746" s="277"/>
      <c r="BN746" s="277"/>
      <c r="BO746" s="277"/>
      <c r="BP746" s="277"/>
      <c r="BQ746" s="277"/>
      <c r="BR746" s="277"/>
      <c r="BS746" s="277"/>
      <c r="BT746" s="277"/>
      <c r="BU746" s="277"/>
      <c r="BV746" s="277"/>
      <c r="BW746" s="277"/>
      <c r="BX746" s="277"/>
      <c r="BY746" s="277"/>
      <c r="BZ746" s="277"/>
      <c r="CA746" s="277"/>
      <c r="CB746" s="277"/>
      <c r="CC746" s="277"/>
      <c r="CD746" s="277"/>
      <c r="CE746" s="277"/>
    </row>
    <row r="747" spans="1:83" ht="12.65" customHeight="1" x14ac:dyDescent="0.35">
      <c r="A747" s="209" t="str">
        <f>RIGHT($C$83,3)&amp;"*"&amp;RIGHT($C$82,4)&amp;"*"&amp;P$55&amp;"*"&amp;"A"</f>
        <v>164*2021*7020*A</v>
      </c>
      <c r="B747" s="276">
        <f>ROUND(P59,0)</f>
        <v>758432</v>
      </c>
      <c r="C747" s="278">
        <f>ROUND(P60,2)</f>
        <v>112.5</v>
      </c>
      <c r="D747" s="276">
        <f>ROUND(P61,0)</f>
        <v>11151732</v>
      </c>
      <c r="E747" s="276">
        <f>ROUND(P62,0)</f>
        <v>2498221</v>
      </c>
      <c r="F747" s="276">
        <f>ROUND(P63,0)</f>
        <v>-1374</v>
      </c>
      <c r="G747" s="276">
        <f>ROUND(P64,0)</f>
        <v>37969102</v>
      </c>
      <c r="H747" s="276">
        <f>ROUND(P65,0)</f>
        <v>0</v>
      </c>
      <c r="I747" s="276">
        <f>ROUND(P66,0)</f>
        <v>1854756</v>
      </c>
      <c r="J747" s="276">
        <f>ROUND(P67,0)</f>
        <v>3318699</v>
      </c>
      <c r="K747" s="276">
        <f>ROUND(P68,0)</f>
        <v>17625</v>
      </c>
      <c r="L747" s="276">
        <f>ROUND(P69,0)</f>
        <v>16551</v>
      </c>
      <c r="M747" s="276">
        <f>ROUND(P70,0)</f>
        <v>42</v>
      </c>
      <c r="N747" s="276">
        <f>ROUND(P75,0)</f>
        <v>279710708</v>
      </c>
      <c r="O747" s="276">
        <f>ROUND(P73,0)</f>
        <v>77853637</v>
      </c>
      <c r="P747" s="276">
        <f>IF(P76&gt;0,ROUND(P76,0),0)</f>
        <v>71966</v>
      </c>
      <c r="Q747" s="276">
        <f>IF(P77&gt;0,ROUND(P77,0),0)</f>
        <v>0</v>
      </c>
      <c r="R747" s="276">
        <f>IF(P78&gt;0,ROUND(P78,0),0)</f>
        <v>9167</v>
      </c>
      <c r="S747" s="276">
        <f>IF(P79&gt;0,ROUND(P79,0),0)</f>
        <v>192441</v>
      </c>
      <c r="T747" s="278">
        <f>IF(P80&gt;0,ROUND(P80,2),0)</f>
        <v>51.88</v>
      </c>
      <c r="U747" s="276"/>
      <c r="V747" s="277"/>
      <c r="W747" s="276"/>
      <c r="X747" s="276"/>
      <c r="Y747" s="276">
        <f t="shared" si="21"/>
        <v>23438576</v>
      </c>
      <c r="Z747" s="277"/>
      <c r="AA747" s="277"/>
      <c r="AB747" s="277"/>
      <c r="AC747" s="277"/>
      <c r="AD747" s="277"/>
      <c r="AE747" s="277"/>
      <c r="AF747" s="277"/>
      <c r="AG747" s="277"/>
      <c r="AH747" s="277"/>
      <c r="AI747" s="277"/>
      <c r="AJ747" s="277"/>
      <c r="AK747" s="277"/>
      <c r="AL747" s="277"/>
      <c r="AM747" s="277"/>
      <c r="AN747" s="277"/>
      <c r="AO747" s="277"/>
      <c r="AP747" s="277"/>
      <c r="AQ747" s="277"/>
      <c r="AR747" s="277"/>
      <c r="AS747" s="277"/>
      <c r="AT747" s="277"/>
      <c r="AU747" s="277"/>
      <c r="AV747" s="277"/>
      <c r="AW747" s="277"/>
      <c r="AX747" s="277"/>
      <c r="AY747" s="277"/>
      <c r="AZ747" s="277"/>
      <c r="BA747" s="277"/>
      <c r="BB747" s="277"/>
      <c r="BC747" s="277"/>
      <c r="BD747" s="277"/>
      <c r="BE747" s="277"/>
      <c r="BF747" s="277"/>
      <c r="BG747" s="277"/>
      <c r="BH747" s="277"/>
      <c r="BI747" s="277"/>
      <c r="BJ747" s="277"/>
      <c r="BK747" s="277"/>
      <c r="BL747" s="277"/>
      <c r="BM747" s="277"/>
      <c r="BN747" s="277"/>
      <c r="BO747" s="277"/>
      <c r="BP747" s="277"/>
      <c r="BQ747" s="277"/>
      <c r="BR747" s="277"/>
      <c r="BS747" s="277"/>
      <c r="BT747" s="277"/>
      <c r="BU747" s="277"/>
      <c r="BV747" s="277"/>
      <c r="BW747" s="277"/>
      <c r="BX747" s="277"/>
      <c r="BY747" s="277"/>
      <c r="BZ747" s="277"/>
      <c r="CA747" s="277"/>
      <c r="CB747" s="277"/>
      <c r="CC747" s="277"/>
      <c r="CD747" s="277"/>
      <c r="CE747" s="277"/>
    </row>
    <row r="748" spans="1:83" ht="12.65" customHeight="1" x14ac:dyDescent="0.35">
      <c r="A748" s="209" t="str">
        <f>RIGHT($C$83,3)&amp;"*"&amp;RIGHT($C$82,4)&amp;"*"&amp;Q$55&amp;"*"&amp;"A"</f>
        <v>164*2021*7030*A</v>
      </c>
      <c r="B748" s="276">
        <f>ROUND(Q59,0)</f>
        <v>1969976</v>
      </c>
      <c r="C748" s="278">
        <f>ROUND(Q60,2)</f>
        <v>51.47</v>
      </c>
      <c r="D748" s="276">
        <f>ROUND(Q61,0)</f>
        <v>6416633</v>
      </c>
      <c r="E748" s="276">
        <f>ROUND(Q62,0)</f>
        <v>1348568</v>
      </c>
      <c r="F748" s="276">
        <f>ROUND(Q63,0)</f>
        <v>0</v>
      </c>
      <c r="G748" s="276">
        <f>ROUND(Q64,0)</f>
        <v>452404</v>
      </c>
      <c r="H748" s="276">
        <f>ROUND(Q65,0)</f>
        <v>785</v>
      </c>
      <c r="I748" s="276">
        <f>ROUND(Q66,0)</f>
        <v>70497</v>
      </c>
      <c r="J748" s="276">
        <f>ROUND(Q67,0)</f>
        <v>116903</v>
      </c>
      <c r="K748" s="276">
        <f>ROUND(Q68,0)</f>
        <v>0</v>
      </c>
      <c r="L748" s="276">
        <f>ROUND(Q69,0)</f>
        <v>4924</v>
      </c>
      <c r="M748" s="276">
        <f>ROUND(Q70,0)</f>
        <v>0</v>
      </c>
      <c r="N748" s="276">
        <f>ROUND(Q75,0)</f>
        <v>26771729</v>
      </c>
      <c r="O748" s="276">
        <f>ROUND(Q73,0)</f>
        <v>5734359</v>
      </c>
      <c r="P748" s="276">
        <f>IF(Q76&gt;0,ROUND(Q76,0),0)</f>
        <v>5119</v>
      </c>
      <c r="Q748" s="276">
        <f>IF(Q77&gt;0,ROUND(Q77,0),0)</f>
        <v>0</v>
      </c>
      <c r="R748" s="276">
        <f>IF(Q78&gt;0,ROUND(Q78,0),0)</f>
        <v>652</v>
      </c>
      <c r="S748" s="276">
        <f>IF(Q79&gt;0,ROUND(Q79,0),0)</f>
        <v>0</v>
      </c>
      <c r="T748" s="278">
        <f>IF(Q80&gt;0,ROUND(Q80,2),0)</f>
        <v>40.69</v>
      </c>
      <c r="U748" s="276"/>
      <c r="V748" s="277"/>
      <c r="W748" s="276"/>
      <c r="X748" s="276"/>
      <c r="Y748" s="276">
        <f t="shared" si="21"/>
        <v>2690595</v>
      </c>
      <c r="Z748" s="277"/>
      <c r="AA748" s="277"/>
      <c r="AB748" s="277"/>
      <c r="AC748" s="277"/>
      <c r="AD748" s="277"/>
      <c r="AE748" s="277"/>
      <c r="AF748" s="277"/>
      <c r="AG748" s="277"/>
      <c r="AH748" s="277"/>
      <c r="AI748" s="277"/>
      <c r="AJ748" s="277"/>
      <c r="AK748" s="277"/>
      <c r="AL748" s="277"/>
      <c r="AM748" s="277"/>
      <c r="AN748" s="277"/>
      <c r="AO748" s="277"/>
      <c r="AP748" s="277"/>
      <c r="AQ748" s="277"/>
      <c r="AR748" s="277"/>
      <c r="AS748" s="277"/>
      <c r="AT748" s="277"/>
      <c r="AU748" s="277"/>
      <c r="AV748" s="277"/>
      <c r="AW748" s="277"/>
      <c r="AX748" s="277"/>
      <c r="AY748" s="277"/>
      <c r="AZ748" s="277"/>
      <c r="BA748" s="277"/>
      <c r="BB748" s="277"/>
      <c r="BC748" s="277"/>
      <c r="BD748" s="277"/>
      <c r="BE748" s="277"/>
      <c r="BF748" s="277"/>
      <c r="BG748" s="277"/>
      <c r="BH748" s="277"/>
      <c r="BI748" s="277"/>
      <c r="BJ748" s="277"/>
      <c r="BK748" s="277"/>
      <c r="BL748" s="277"/>
      <c r="BM748" s="277"/>
      <c r="BN748" s="277"/>
      <c r="BO748" s="277"/>
      <c r="BP748" s="277"/>
      <c r="BQ748" s="277"/>
      <c r="BR748" s="277"/>
      <c r="BS748" s="277"/>
      <c r="BT748" s="277"/>
      <c r="BU748" s="277"/>
      <c r="BV748" s="277"/>
      <c r="BW748" s="277"/>
      <c r="BX748" s="277"/>
      <c r="BY748" s="277"/>
      <c r="BZ748" s="277"/>
      <c r="CA748" s="277"/>
      <c r="CB748" s="277"/>
      <c r="CC748" s="277"/>
      <c r="CD748" s="277"/>
      <c r="CE748" s="277"/>
    </row>
    <row r="749" spans="1:83" ht="12.65" customHeight="1" x14ac:dyDescent="0.35">
      <c r="A749" s="209" t="str">
        <f>RIGHT($C$83,3)&amp;"*"&amp;RIGHT($C$82,4)&amp;"*"&amp;R$55&amp;"*"&amp;"A"</f>
        <v>164*2021*7040*A</v>
      </c>
      <c r="B749" s="276">
        <f>ROUND(R59,0)</f>
        <v>1287747</v>
      </c>
      <c r="C749" s="278">
        <f>ROUND(R60,2)</f>
        <v>7.11</v>
      </c>
      <c r="D749" s="276">
        <f>ROUND(R61,0)</f>
        <v>563248</v>
      </c>
      <c r="E749" s="276">
        <f>ROUND(R62,0)</f>
        <v>100086</v>
      </c>
      <c r="F749" s="276">
        <f>ROUND(R63,0)</f>
        <v>0</v>
      </c>
      <c r="G749" s="276">
        <f>ROUND(R64,0)</f>
        <v>508688</v>
      </c>
      <c r="H749" s="276">
        <f>ROUND(R65,0)</f>
        <v>0</v>
      </c>
      <c r="I749" s="276">
        <f>ROUND(R66,0)</f>
        <v>66295</v>
      </c>
      <c r="J749" s="276">
        <f>ROUND(R67,0)</f>
        <v>113754</v>
      </c>
      <c r="K749" s="276">
        <f>ROUND(R68,0)</f>
        <v>0</v>
      </c>
      <c r="L749" s="276">
        <f>ROUND(R69,0)</f>
        <v>550</v>
      </c>
      <c r="M749" s="276">
        <f>ROUND(R70,0)</f>
        <v>0</v>
      </c>
      <c r="N749" s="276">
        <f>ROUND(R75,0)</f>
        <v>43296152</v>
      </c>
      <c r="O749" s="276">
        <f>ROUND(R73,0)</f>
        <v>11149640</v>
      </c>
      <c r="P749" s="276">
        <f>IF(R76&gt;0,ROUND(R76,0),0)</f>
        <v>651</v>
      </c>
      <c r="Q749" s="276">
        <f>IF(R77&gt;0,ROUND(R77,0),0)</f>
        <v>0</v>
      </c>
      <c r="R749" s="276">
        <f>IF(R78&gt;0,ROUND(R78,0),0)</f>
        <v>83</v>
      </c>
      <c r="S749" s="276">
        <f>IF(R79&gt;0,ROUND(R79,0),0)</f>
        <v>0</v>
      </c>
      <c r="T749" s="278">
        <f>IF(R80&gt;0,ROUND(R80,2),0)</f>
        <v>0</v>
      </c>
      <c r="U749" s="276"/>
      <c r="V749" s="277"/>
      <c r="W749" s="276"/>
      <c r="X749" s="276"/>
      <c r="Y749" s="276">
        <f t="shared" si="21"/>
        <v>2192387</v>
      </c>
      <c r="Z749" s="277"/>
      <c r="AA749" s="277"/>
      <c r="AB749" s="277"/>
      <c r="AC749" s="277"/>
      <c r="AD749" s="277"/>
      <c r="AE749" s="277"/>
      <c r="AF749" s="277"/>
      <c r="AG749" s="277"/>
      <c r="AH749" s="277"/>
      <c r="AI749" s="277"/>
      <c r="AJ749" s="277"/>
      <c r="AK749" s="277"/>
      <c r="AL749" s="277"/>
      <c r="AM749" s="277"/>
      <c r="AN749" s="277"/>
      <c r="AO749" s="277"/>
      <c r="AP749" s="277"/>
      <c r="AQ749" s="277"/>
      <c r="AR749" s="277"/>
      <c r="AS749" s="277"/>
      <c r="AT749" s="277"/>
      <c r="AU749" s="277"/>
      <c r="AV749" s="277"/>
      <c r="AW749" s="277"/>
      <c r="AX749" s="277"/>
      <c r="AY749" s="277"/>
      <c r="AZ749" s="277"/>
      <c r="BA749" s="277"/>
      <c r="BB749" s="277"/>
      <c r="BC749" s="277"/>
      <c r="BD749" s="277"/>
      <c r="BE749" s="277"/>
      <c r="BF749" s="277"/>
      <c r="BG749" s="277"/>
      <c r="BH749" s="277"/>
      <c r="BI749" s="277"/>
      <c r="BJ749" s="277"/>
      <c r="BK749" s="277"/>
      <c r="BL749" s="277"/>
      <c r="BM749" s="277"/>
      <c r="BN749" s="277"/>
      <c r="BO749" s="277"/>
      <c r="BP749" s="277"/>
      <c r="BQ749" s="277"/>
      <c r="BR749" s="277"/>
      <c r="BS749" s="277"/>
      <c r="BT749" s="277"/>
      <c r="BU749" s="277"/>
      <c r="BV749" s="277"/>
      <c r="BW749" s="277"/>
      <c r="BX749" s="277"/>
      <c r="BY749" s="277"/>
      <c r="BZ749" s="277"/>
      <c r="CA749" s="277"/>
      <c r="CB749" s="277"/>
      <c r="CC749" s="277"/>
      <c r="CD749" s="277"/>
      <c r="CE749" s="277"/>
    </row>
    <row r="750" spans="1:83" ht="12.65" customHeight="1" x14ac:dyDescent="0.35">
      <c r="A750" s="209" t="str">
        <f>RIGHT($C$83,3)&amp;"*"&amp;RIGHT($C$82,4)&amp;"*"&amp;S$55&amp;"*"&amp;"A"</f>
        <v>164*2021*7050*A</v>
      </c>
      <c r="B750" s="276"/>
      <c r="C750" s="278">
        <f>ROUND(S60,2)</f>
        <v>19.97</v>
      </c>
      <c r="D750" s="276">
        <f>ROUND(S61,0)</f>
        <v>1492052</v>
      </c>
      <c r="E750" s="276">
        <f>ROUND(S62,0)</f>
        <v>323838</v>
      </c>
      <c r="F750" s="276">
        <f>ROUND(S63,0)</f>
        <v>0</v>
      </c>
      <c r="G750" s="276">
        <f>ROUND(S64,0)</f>
        <v>609267</v>
      </c>
      <c r="H750" s="276">
        <f>ROUND(S65,0)</f>
        <v>0</v>
      </c>
      <c r="I750" s="276">
        <f>ROUND(S66,0)</f>
        <v>140073</v>
      </c>
      <c r="J750" s="276">
        <f>ROUND(S67,0)</f>
        <v>324584</v>
      </c>
      <c r="K750" s="276">
        <f>ROUND(S68,0)</f>
        <v>0</v>
      </c>
      <c r="L750" s="276">
        <f>ROUND(S69,0)</f>
        <v>5244</v>
      </c>
      <c r="M750" s="276">
        <f>ROUND(S70,0)</f>
        <v>0</v>
      </c>
      <c r="N750" s="276">
        <f>ROUND(S75,0)</f>
        <v>0</v>
      </c>
      <c r="O750" s="276">
        <f>ROUND(S73,0)</f>
        <v>0</v>
      </c>
      <c r="P750" s="276">
        <f>IF(S76&gt;0,ROUND(S76,0),0)</f>
        <v>10270</v>
      </c>
      <c r="Q750" s="276">
        <f>IF(S77&gt;0,ROUND(S77,0),0)</f>
        <v>0</v>
      </c>
      <c r="R750" s="276">
        <f>IF(S78&gt;0,ROUND(S78,0),0)</f>
        <v>1308</v>
      </c>
      <c r="S750" s="276">
        <f>IF(S79&gt;0,ROUND(S79,0),0)</f>
        <v>17749</v>
      </c>
      <c r="T750" s="278">
        <f>IF(S80&gt;0,ROUND(S80,2),0)</f>
        <v>0.01</v>
      </c>
      <c r="U750" s="276"/>
      <c r="V750" s="277"/>
      <c r="W750" s="276"/>
      <c r="X750" s="276"/>
      <c r="Y750" s="276">
        <f t="shared" si="21"/>
        <v>667499</v>
      </c>
      <c r="Z750" s="277"/>
      <c r="AA750" s="277"/>
      <c r="AB750" s="277"/>
      <c r="AC750" s="277"/>
      <c r="AD750" s="277"/>
      <c r="AE750" s="277"/>
      <c r="AF750" s="277"/>
      <c r="AG750" s="277"/>
      <c r="AH750" s="277"/>
      <c r="AI750" s="277"/>
      <c r="AJ750" s="277"/>
      <c r="AK750" s="277"/>
      <c r="AL750" s="277"/>
      <c r="AM750" s="277"/>
      <c r="AN750" s="277"/>
      <c r="AO750" s="277"/>
      <c r="AP750" s="277"/>
      <c r="AQ750" s="277"/>
      <c r="AR750" s="277"/>
      <c r="AS750" s="277"/>
      <c r="AT750" s="277"/>
      <c r="AU750" s="277"/>
      <c r="AV750" s="277"/>
      <c r="AW750" s="277"/>
      <c r="AX750" s="277"/>
      <c r="AY750" s="277"/>
      <c r="AZ750" s="277"/>
      <c r="BA750" s="277"/>
      <c r="BB750" s="277"/>
      <c r="BC750" s="277"/>
      <c r="BD750" s="277"/>
      <c r="BE750" s="277"/>
      <c r="BF750" s="277"/>
      <c r="BG750" s="277"/>
      <c r="BH750" s="277"/>
      <c r="BI750" s="277"/>
      <c r="BJ750" s="277"/>
      <c r="BK750" s="277"/>
      <c r="BL750" s="277"/>
      <c r="BM750" s="277"/>
      <c r="BN750" s="277"/>
      <c r="BO750" s="277"/>
      <c r="BP750" s="277"/>
      <c r="BQ750" s="277"/>
      <c r="BR750" s="277"/>
      <c r="BS750" s="277"/>
      <c r="BT750" s="277"/>
      <c r="BU750" s="277"/>
      <c r="BV750" s="277"/>
      <c r="BW750" s="277"/>
      <c r="BX750" s="277"/>
      <c r="BY750" s="277"/>
      <c r="BZ750" s="277"/>
      <c r="CA750" s="277"/>
      <c r="CB750" s="277"/>
      <c r="CC750" s="277"/>
      <c r="CD750" s="277"/>
      <c r="CE750" s="277"/>
    </row>
    <row r="751" spans="1:83" ht="12.65" customHeight="1" x14ac:dyDescent="0.35">
      <c r="A751" s="209" t="str">
        <f>RIGHT($C$83,3)&amp;"*"&amp;RIGHT($C$82,4)&amp;"*"&amp;T$55&amp;"*"&amp;"A"</f>
        <v>164*2021*7060*A</v>
      </c>
      <c r="B751" s="276"/>
      <c r="C751" s="278">
        <f>ROUND(T60,2)</f>
        <v>0</v>
      </c>
      <c r="D751" s="276">
        <f>ROUND(T61,0)</f>
        <v>0</v>
      </c>
      <c r="E751" s="276">
        <f>ROUND(T62,0)</f>
        <v>0</v>
      </c>
      <c r="F751" s="276">
        <f>ROUND(T63,0)</f>
        <v>0</v>
      </c>
      <c r="G751" s="276">
        <f>ROUND(T64,0)</f>
        <v>0</v>
      </c>
      <c r="H751" s="276">
        <f>ROUND(T65,0)</f>
        <v>0</v>
      </c>
      <c r="I751" s="276">
        <f>ROUND(T66,0)</f>
        <v>0</v>
      </c>
      <c r="J751" s="276">
        <f>ROUND(T67,0)</f>
        <v>0</v>
      </c>
      <c r="K751" s="276">
        <f>ROUND(T68,0)</f>
        <v>0</v>
      </c>
      <c r="L751" s="276">
        <f>ROUND(T69,0)</f>
        <v>0</v>
      </c>
      <c r="M751" s="276">
        <f>ROUND(T70,0)</f>
        <v>0</v>
      </c>
      <c r="N751" s="276">
        <f>ROUND(T75,0)</f>
        <v>0</v>
      </c>
      <c r="O751" s="276">
        <f>ROUND(T73,0)</f>
        <v>0</v>
      </c>
      <c r="P751" s="276">
        <f>IF(T76&gt;0,ROUND(T76,0),0)</f>
        <v>0</v>
      </c>
      <c r="Q751" s="276">
        <f>IF(T77&gt;0,ROUND(T77,0),0)</f>
        <v>0</v>
      </c>
      <c r="R751" s="276">
        <f>IF(T78&gt;0,ROUND(T78,0),0)</f>
        <v>0</v>
      </c>
      <c r="S751" s="276">
        <f>IF(T79&gt;0,ROUND(T79,0),0)</f>
        <v>0</v>
      </c>
      <c r="T751" s="278">
        <f>IF(T80&gt;0,ROUND(T80,2),0)</f>
        <v>0</v>
      </c>
      <c r="U751" s="276"/>
      <c r="V751" s="277"/>
      <c r="W751" s="276"/>
      <c r="X751" s="276"/>
      <c r="Y751" s="276">
        <f t="shared" si="21"/>
        <v>0</v>
      </c>
      <c r="Z751" s="277"/>
      <c r="AA751" s="277"/>
      <c r="AB751" s="277"/>
      <c r="AC751" s="277"/>
      <c r="AD751" s="277"/>
      <c r="AE751" s="277"/>
      <c r="AF751" s="277"/>
      <c r="AG751" s="277"/>
      <c r="AH751" s="277"/>
      <c r="AI751" s="277"/>
      <c r="AJ751" s="277"/>
      <c r="AK751" s="277"/>
      <c r="AL751" s="277"/>
      <c r="AM751" s="277"/>
      <c r="AN751" s="277"/>
      <c r="AO751" s="277"/>
      <c r="AP751" s="277"/>
      <c r="AQ751" s="277"/>
      <c r="AR751" s="277"/>
      <c r="AS751" s="277"/>
      <c r="AT751" s="277"/>
      <c r="AU751" s="277"/>
      <c r="AV751" s="277"/>
      <c r="AW751" s="277"/>
      <c r="AX751" s="277"/>
      <c r="AY751" s="277"/>
      <c r="AZ751" s="277"/>
      <c r="BA751" s="277"/>
      <c r="BB751" s="277"/>
      <c r="BC751" s="277"/>
      <c r="BD751" s="277"/>
      <c r="BE751" s="277"/>
      <c r="BF751" s="277"/>
      <c r="BG751" s="277"/>
      <c r="BH751" s="277"/>
      <c r="BI751" s="277"/>
      <c r="BJ751" s="277"/>
      <c r="BK751" s="277"/>
      <c r="BL751" s="277"/>
      <c r="BM751" s="277"/>
      <c r="BN751" s="277"/>
      <c r="BO751" s="277"/>
      <c r="BP751" s="277"/>
      <c r="BQ751" s="277"/>
      <c r="BR751" s="277"/>
      <c r="BS751" s="277"/>
      <c r="BT751" s="277"/>
      <c r="BU751" s="277"/>
      <c r="BV751" s="277"/>
      <c r="BW751" s="277"/>
      <c r="BX751" s="277"/>
      <c r="BY751" s="277"/>
      <c r="BZ751" s="277"/>
      <c r="CA751" s="277"/>
      <c r="CB751" s="277"/>
      <c r="CC751" s="277"/>
      <c r="CD751" s="277"/>
      <c r="CE751" s="277"/>
    </row>
    <row r="752" spans="1:83" ht="12.65" customHeight="1" x14ac:dyDescent="0.35">
      <c r="A752" s="209" t="str">
        <f>RIGHT($C$83,3)&amp;"*"&amp;RIGHT($C$82,4)&amp;"*"&amp;U$55&amp;"*"&amp;"A"</f>
        <v>164*2021*7070*A</v>
      </c>
      <c r="B752" s="276">
        <f>ROUND(U59,0)</f>
        <v>1137833</v>
      </c>
      <c r="C752" s="278">
        <f>ROUND(U60,2)</f>
        <v>75.98</v>
      </c>
      <c r="D752" s="276">
        <f>ROUND(U61,0)</f>
        <v>6187750</v>
      </c>
      <c r="E752" s="276">
        <f>ROUND(U62,0)</f>
        <v>1574854</v>
      </c>
      <c r="F752" s="276">
        <f>ROUND(U63,0)</f>
        <v>76454</v>
      </c>
      <c r="G752" s="276">
        <f>ROUND(U64,0)</f>
        <v>6911850</v>
      </c>
      <c r="H752" s="276">
        <f>ROUND(U65,0)</f>
        <v>0</v>
      </c>
      <c r="I752" s="276">
        <f>ROUND(U66,0)</f>
        <v>6704659</v>
      </c>
      <c r="J752" s="276">
        <f>ROUND(U67,0)</f>
        <v>410631</v>
      </c>
      <c r="K752" s="276">
        <f>ROUND(U68,0)</f>
        <v>23507</v>
      </c>
      <c r="L752" s="276">
        <f>ROUND(U69,0)</f>
        <v>53386</v>
      </c>
      <c r="M752" s="276">
        <f>ROUND(U70,0)</f>
        <v>859617</v>
      </c>
      <c r="N752" s="276">
        <f>ROUND(U75,0)</f>
        <v>143205554</v>
      </c>
      <c r="O752" s="276">
        <f>ROUND(U73,0)</f>
        <v>72389141</v>
      </c>
      <c r="P752" s="276">
        <f>IF(U76&gt;0,ROUND(U76,0),0)</f>
        <v>15470</v>
      </c>
      <c r="Q752" s="276">
        <f>IF(U77&gt;0,ROUND(U77,0),0)</f>
        <v>0</v>
      </c>
      <c r="R752" s="276">
        <f>IF(U78&gt;0,ROUND(U78,0),0)</f>
        <v>1970</v>
      </c>
      <c r="S752" s="276">
        <f>IF(U79&gt;0,ROUND(U79,0),0)</f>
        <v>1925</v>
      </c>
      <c r="T752" s="278">
        <f>IF(U80&gt;0,ROUND(U80,2),0)</f>
        <v>0.69</v>
      </c>
      <c r="U752" s="276"/>
      <c r="V752" s="277"/>
      <c r="W752" s="276"/>
      <c r="X752" s="276"/>
      <c r="Y752" s="276">
        <f t="shared" si="21"/>
        <v>9447487</v>
      </c>
      <c r="Z752" s="277"/>
      <c r="AA752" s="277"/>
      <c r="AB752" s="277"/>
      <c r="AC752" s="277"/>
      <c r="AD752" s="277"/>
      <c r="AE752" s="277"/>
      <c r="AF752" s="277"/>
      <c r="AG752" s="277"/>
      <c r="AH752" s="277"/>
      <c r="AI752" s="277"/>
      <c r="AJ752" s="277"/>
      <c r="AK752" s="277"/>
      <c r="AL752" s="277"/>
      <c r="AM752" s="277"/>
      <c r="AN752" s="277"/>
      <c r="AO752" s="277"/>
      <c r="AP752" s="277"/>
      <c r="AQ752" s="277"/>
      <c r="AR752" s="277"/>
      <c r="AS752" s="277"/>
      <c r="AT752" s="277"/>
      <c r="AU752" s="277"/>
      <c r="AV752" s="277"/>
      <c r="AW752" s="277"/>
      <c r="AX752" s="277"/>
      <c r="AY752" s="277"/>
      <c r="AZ752" s="277"/>
      <c r="BA752" s="277"/>
      <c r="BB752" s="277"/>
      <c r="BC752" s="277"/>
      <c r="BD752" s="277"/>
      <c r="BE752" s="277"/>
      <c r="BF752" s="277"/>
      <c r="BG752" s="277"/>
      <c r="BH752" s="277"/>
      <c r="BI752" s="277"/>
      <c r="BJ752" s="277"/>
      <c r="BK752" s="277"/>
      <c r="BL752" s="277"/>
      <c r="BM752" s="277"/>
      <c r="BN752" s="277"/>
      <c r="BO752" s="277"/>
      <c r="BP752" s="277"/>
      <c r="BQ752" s="277"/>
      <c r="BR752" s="277"/>
      <c r="BS752" s="277"/>
      <c r="BT752" s="277"/>
      <c r="BU752" s="277"/>
      <c r="BV752" s="277"/>
      <c r="BW752" s="277"/>
      <c r="BX752" s="277"/>
      <c r="BY752" s="277"/>
      <c r="BZ752" s="277"/>
      <c r="CA752" s="277"/>
      <c r="CB752" s="277"/>
      <c r="CC752" s="277"/>
      <c r="CD752" s="277"/>
      <c r="CE752" s="277"/>
    </row>
    <row r="753" spans="1:83" ht="12.65" customHeight="1" x14ac:dyDescent="0.35">
      <c r="A753" s="209" t="str">
        <f>RIGHT($C$83,3)&amp;"*"&amp;RIGHT($C$82,4)&amp;"*"&amp;V$55&amp;"*"&amp;"A"</f>
        <v>164*2021*7110*A</v>
      </c>
      <c r="B753" s="276">
        <f>ROUND(V59,0)</f>
        <v>0</v>
      </c>
      <c r="C753" s="278">
        <f>ROUND(V60,2)</f>
        <v>2.36</v>
      </c>
      <c r="D753" s="276">
        <f>ROUND(V61,0)</f>
        <v>156176</v>
      </c>
      <c r="E753" s="276">
        <f>ROUND(V62,0)</f>
        <v>39935</v>
      </c>
      <c r="F753" s="276">
        <f>ROUND(V63,0)</f>
        <v>2625</v>
      </c>
      <c r="G753" s="276">
        <f>ROUND(V64,0)</f>
        <v>38795</v>
      </c>
      <c r="H753" s="276">
        <f>ROUND(V65,0)</f>
        <v>0</v>
      </c>
      <c r="I753" s="276">
        <f>ROUND(V66,0)</f>
        <v>306</v>
      </c>
      <c r="J753" s="276">
        <f>ROUND(V67,0)</f>
        <v>8246</v>
      </c>
      <c r="K753" s="276">
        <f>ROUND(V68,0)</f>
        <v>0</v>
      </c>
      <c r="L753" s="276">
        <f>ROUND(V69,0)</f>
        <v>0</v>
      </c>
      <c r="M753" s="276">
        <f>ROUND(V70,0)</f>
        <v>2855</v>
      </c>
      <c r="N753" s="276">
        <f>ROUND(V75,0)</f>
        <v>2875396</v>
      </c>
      <c r="O753" s="276">
        <f>ROUND(V73,0)</f>
        <v>2127999</v>
      </c>
      <c r="P753" s="276">
        <f>IF(V76&gt;0,ROUND(V76,0),0)</f>
        <v>298</v>
      </c>
      <c r="Q753" s="276">
        <f>IF(V77&gt;0,ROUND(V77,0),0)</f>
        <v>0</v>
      </c>
      <c r="R753" s="276">
        <f>IF(V78&gt;0,ROUND(V78,0),0)</f>
        <v>38</v>
      </c>
      <c r="S753" s="276">
        <f>IF(V79&gt;0,ROUND(V79,0),0)</f>
        <v>0</v>
      </c>
      <c r="T753" s="278">
        <f>IF(V80&gt;0,ROUND(V80,2),0)</f>
        <v>0</v>
      </c>
      <c r="U753" s="276"/>
      <c r="V753" s="277"/>
      <c r="W753" s="276"/>
      <c r="X753" s="276"/>
      <c r="Y753" s="276">
        <f t="shared" si="21"/>
        <v>173649</v>
      </c>
      <c r="Z753" s="277"/>
      <c r="AA753" s="277"/>
      <c r="AB753" s="277"/>
      <c r="AC753" s="277"/>
      <c r="AD753" s="277"/>
      <c r="AE753" s="277"/>
      <c r="AF753" s="277"/>
      <c r="AG753" s="277"/>
      <c r="AH753" s="277"/>
      <c r="AI753" s="277"/>
      <c r="AJ753" s="277"/>
      <c r="AK753" s="277"/>
      <c r="AL753" s="277"/>
      <c r="AM753" s="277"/>
      <c r="AN753" s="277"/>
      <c r="AO753" s="277"/>
      <c r="AP753" s="277"/>
      <c r="AQ753" s="277"/>
      <c r="AR753" s="277"/>
      <c r="AS753" s="277"/>
      <c r="AT753" s="277"/>
      <c r="AU753" s="277"/>
      <c r="AV753" s="277"/>
      <c r="AW753" s="277"/>
      <c r="AX753" s="277"/>
      <c r="AY753" s="277"/>
      <c r="AZ753" s="277"/>
      <c r="BA753" s="277"/>
      <c r="BB753" s="277"/>
      <c r="BC753" s="277"/>
      <c r="BD753" s="277"/>
      <c r="BE753" s="277"/>
      <c r="BF753" s="277"/>
      <c r="BG753" s="277"/>
      <c r="BH753" s="277"/>
      <c r="BI753" s="277"/>
      <c r="BJ753" s="277"/>
      <c r="BK753" s="277"/>
      <c r="BL753" s="277"/>
      <c r="BM753" s="277"/>
      <c r="BN753" s="277"/>
      <c r="BO753" s="277"/>
      <c r="BP753" s="277"/>
      <c r="BQ753" s="277"/>
      <c r="BR753" s="277"/>
      <c r="BS753" s="277"/>
      <c r="BT753" s="277"/>
      <c r="BU753" s="277"/>
      <c r="BV753" s="277"/>
      <c r="BW753" s="277"/>
      <c r="BX753" s="277"/>
      <c r="BY753" s="277"/>
      <c r="BZ753" s="277"/>
      <c r="CA753" s="277"/>
      <c r="CB753" s="277"/>
      <c r="CC753" s="277"/>
      <c r="CD753" s="277"/>
      <c r="CE753" s="277"/>
    </row>
    <row r="754" spans="1:83" ht="12.65" customHeight="1" x14ac:dyDescent="0.35">
      <c r="A754" s="209" t="str">
        <f>RIGHT($C$83,3)&amp;"*"&amp;RIGHT($C$82,4)&amp;"*"&amp;W$55&amp;"*"&amp;"A"</f>
        <v>164*2021*7120*A</v>
      </c>
      <c r="B754" s="276">
        <f>ROUND(W59,0)</f>
        <v>33241</v>
      </c>
      <c r="C754" s="278">
        <f>ROUND(W60,2)</f>
        <v>5.75</v>
      </c>
      <c r="D754" s="276">
        <f>ROUND(W61,0)</f>
        <v>768210</v>
      </c>
      <c r="E754" s="276">
        <f>ROUND(W62,0)</f>
        <v>119312</v>
      </c>
      <c r="F754" s="276">
        <f>ROUND(W63,0)</f>
        <v>0</v>
      </c>
      <c r="G754" s="276">
        <f>ROUND(W64,0)</f>
        <v>185774</v>
      </c>
      <c r="H754" s="276">
        <f>ROUND(W65,0)</f>
        <v>0</v>
      </c>
      <c r="I754" s="276">
        <f>ROUND(W66,0)</f>
        <v>165738</v>
      </c>
      <c r="J754" s="276">
        <f>ROUND(W67,0)</f>
        <v>216287</v>
      </c>
      <c r="K754" s="276">
        <f>ROUND(W68,0)</f>
        <v>0</v>
      </c>
      <c r="L754" s="276">
        <f>ROUND(W69,0)</f>
        <v>2875</v>
      </c>
      <c r="M754" s="276">
        <f>ROUND(W70,0)</f>
        <v>0</v>
      </c>
      <c r="N754" s="276">
        <f>ROUND(W75,0)</f>
        <v>16129392</v>
      </c>
      <c r="O754" s="276">
        <f>ROUND(W73,0)</f>
        <v>5811312</v>
      </c>
      <c r="P754" s="276">
        <f>IF(W76&gt;0,ROUND(W76,0),0)</f>
        <v>3104</v>
      </c>
      <c r="Q754" s="276">
        <f>IF(W77&gt;0,ROUND(W77,0),0)</f>
        <v>0</v>
      </c>
      <c r="R754" s="276">
        <f>IF(W78&gt;0,ROUND(W78,0),0)</f>
        <v>395</v>
      </c>
      <c r="S754" s="276">
        <f>IF(W79&gt;0,ROUND(W79,0),0)</f>
        <v>21145</v>
      </c>
      <c r="T754" s="278">
        <f>IF(W80&gt;0,ROUND(W80,2),0)</f>
        <v>0</v>
      </c>
      <c r="U754" s="276"/>
      <c r="V754" s="277"/>
      <c r="W754" s="276"/>
      <c r="X754" s="276"/>
      <c r="Y754" s="276">
        <f t="shared" si="21"/>
        <v>991181</v>
      </c>
      <c r="Z754" s="277"/>
      <c r="AA754" s="277"/>
      <c r="AB754" s="277"/>
      <c r="AC754" s="277"/>
      <c r="AD754" s="277"/>
      <c r="AE754" s="277"/>
      <c r="AF754" s="277"/>
      <c r="AG754" s="277"/>
      <c r="AH754" s="277"/>
      <c r="AI754" s="277"/>
      <c r="AJ754" s="277"/>
      <c r="AK754" s="277"/>
      <c r="AL754" s="277"/>
      <c r="AM754" s="277"/>
      <c r="AN754" s="277"/>
      <c r="AO754" s="277"/>
      <c r="AP754" s="277"/>
      <c r="AQ754" s="277"/>
      <c r="AR754" s="277"/>
      <c r="AS754" s="277"/>
      <c r="AT754" s="277"/>
      <c r="AU754" s="277"/>
      <c r="AV754" s="277"/>
      <c r="AW754" s="277"/>
      <c r="AX754" s="277"/>
      <c r="AY754" s="277"/>
      <c r="AZ754" s="277"/>
      <c r="BA754" s="277"/>
      <c r="BB754" s="277"/>
      <c r="BC754" s="277"/>
      <c r="BD754" s="277"/>
      <c r="BE754" s="277"/>
      <c r="BF754" s="277"/>
      <c r="BG754" s="277"/>
      <c r="BH754" s="277"/>
      <c r="BI754" s="277"/>
      <c r="BJ754" s="277"/>
      <c r="BK754" s="277"/>
      <c r="BL754" s="277"/>
      <c r="BM754" s="277"/>
      <c r="BN754" s="277"/>
      <c r="BO754" s="277"/>
      <c r="BP754" s="277"/>
      <c r="BQ754" s="277"/>
      <c r="BR754" s="277"/>
      <c r="BS754" s="277"/>
      <c r="BT754" s="277"/>
      <c r="BU754" s="277"/>
      <c r="BV754" s="277"/>
      <c r="BW754" s="277"/>
      <c r="BX754" s="277"/>
      <c r="BY754" s="277"/>
      <c r="BZ754" s="277"/>
      <c r="CA754" s="277"/>
      <c r="CB754" s="277"/>
      <c r="CC754" s="277"/>
      <c r="CD754" s="277"/>
      <c r="CE754" s="277"/>
    </row>
    <row r="755" spans="1:83" ht="12.65" customHeight="1" x14ac:dyDescent="0.35">
      <c r="A755" s="209" t="str">
        <f>RIGHT($C$83,3)&amp;"*"&amp;RIGHT($C$82,4)&amp;"*"&amp;X$55&amp;"*"&amp;"A"</f>
        <v>164*2021*7130*A</v>
      </c>
      <c r="B755" s="276">
        <f>ROUND(X59,0)</f>
        <v>166850</v>
      </c>
      <c r="C755" s="278">
        <f>ROUND(X60,2)</f>
        <v>13.03</v>
      </c>
      <c r="D755" s="276">
        <f>ROUND(X61,0)</f>
        <v>1498495</v>
      </c>
      <c r="E755" s="276">
        <f>ROUND(X62,0)</f>
        <v>264587</v>
      </c>
      <c r="F755" s="276">
        <f>ROUND(X63,0)</f>
        <v>0</v>
      </c>
      <c r="G755" s="276">
        <f>ROUND(X64,0)</f>
        <v>440212</v>
      </c>
      <c r="H755" s="276">
        <f>ROUND(X65,0)</f>
        <v>0</v>
      </c>
      <c r="I755" s="276">
        <f>ROUND(X66,0)</f>
        <v>412820</v>
      </c>
      <c r="J755" s="276">
        <f>ROUND(X67,0)</f>
        <v>179096</v>
      </c>
      <c r="K755" s="276">
        <f>ROUND(X68,0)</f>
        <v>0</v>
      </c>
      <c r="L755" s="276">
        <f>ROUND(X69,0)</f>
        <v>5045</v>
      </c>
      <c r="M755" s="276">
        <f>ROUND(X70,0)</f>
        <v>0</v>
      </c>
      <c r="N755" s="276">
        <f>ROUND(X75,0)</f>
        <v>73545544</v>
      </c>
      <c r="O755" s="276">
        <f>ROUND(X73,0)</f>
        <v>23971883</v>
      </c>
      <c r="P755" s="276">
        <f>IF(X76&gt;0,ROUND(X76,0),0)</f>
        <v>3166</v>
      </c>
      <c r="Q755" s="276">
        <f>IF(X77&gt;0,ROUND(X77,0),0)</f>
        <v>0</v>
      </c>
      <c r="R755" s="276">
        <f>IF(X78&gt;0,ROUND(X78,0),0)</f>
        <v>403</v>
      </c>
      <c r="S755" s="276">
        <f>IF(X79&gt;0,ROUND(X79,0),0)</f>
        <v>0</v>
      </c>
      <c r="T755" s="278">
        <f>IF(X80&gt;0,ROUND(X80,2),0)</f>
        <v>0</v>
      </c>
      <c r="U755" s="276"/>
      <c r="V755" s="277"/>
      <c r="W755" s="276"/>
      <c r="X755" s="276"/>
      <c r="Y755" s="276">
        <f t="shared" si="21"/>
        <v>3783005</v>
      </c>
      <c r="Z755" s="277"/>
      <c r="AA755" s="277"/>
      <c r="AB755" s="277"/>
      <c r="AC755" s="277"/>
      <c r="AD755" s="277"/>
      <c r="AE755" s="277"/>
      <c r="AF755" s="277"/>
      <c r="AG755" s="277"/>
      <c r="AH755" s="277"/>
      <c r="AI755" s="277"/>
      <c r="AJ755" s="277"/>
      <c r="AK755" s="277"/>
      <c r="AL755" s="277"/>
      <c r="AM755" s="277"/>
      <c r="AN755" s="277"/>
      <c r="AO755" s="277"/>
      <c r="AP755" s="277"/>
      <c r="AQ755" s="277"/>
      <c r="AR755" s="277"/>
      <c r="AS755" s="277"/>
      <c r="AT755" s="277"/>
      <c r="AU755" s="277"/>
      <c r="AV755" s="277"/>
      <c r="AW755" s="277"/>
      <c r="AX755" s="277"/>
      <c r="AY755" s="277"/>
      <c r="AZ755" s="277"/>
      <c r="BA755" s="277"/>
      <c r="BB755" s="277"/>
      <c r="BC755" s="277"/>
      <c r="BD755" s="277"/>
      <c r="BE755" s="277"/>
      <c r="BF755" s="277"/>
      <c r="BG755" s="277"/>
      <c r="BH755" s="277"/>
      <c r="BI755" s="277"/>
      <c r="BJ755" s="277"/>
      <c r="BK755" s="277"/>
      <c r="BL755" s="277"/>
      <c r="BM755" s="277"/>
      <c r="BN755" s="277"/>
      <c r="BO755" s="277"/>
      <c r="BP755" s="277"/>
      <c r="BQ755" s="277"/>
      <c r="BR755" s="277"/>
      <c r="BS755" s="277"/>
      <c r="BT755" s="277"/>
      <c r="BU755" s="277"/>
      <c r="BV755" s="277"/>
      <c r="BW755" s="277"/>
      <c r="BX755" s="277"/>
      <c r="BY755" s="277"/>
      <c r="BZ755" s="277"/>
      <c r="CA755" s="277"/>
      <c r="CB755" s="277"/>
      <c r="CC755" s="277"/>
      <c r="CD755" s="277"/>
      <c r="CE755" s="277"/>
    </row>
    <row r="756" spans="1:83" ht="12.65" customHeight="1" x14ac:dyDescent="0.35">
      <c r="A756" s="209" t="str">
        <f>RIGHT($C$83,3)&amp;"*"&amp;RIGHT($C$82,4)&amp;"*"&amp;Y$55&amp;"*"&amp;"A"</f>
        <v>164*2021*7140*A</v>
      </c>
      <c r="B756" s="276">
        <f>ROUND(Y59,0)</f>
        <v>389468</v>
      </c>
      <c r="C756" s="278">
        <f>ROUND(Y60,2)</f>
        <v>150.63999999999999</v>
      </c>
      <c r="D756" s="276">
        <f>ROUND(Y61,0)</f>
        <v>16432037</v>
      </c>
      <c r="E756" s="276">
        <f>ROUND(Y62,0)</f>
        <v>3559652</v>
      </c>
      <c r="F756" s="276">
        <f>ROUND(Y63,0)</f>
        <v>154828</v>
      </c>
      <c r="G756" s="276">
        <f>ROUND(Y64,0)</f>
        <v>6990950</v>
      </c>
      <c r="H756" s="276">
        <f>ROUND(Y65,0)</f>
        <v>16988</v>
      </c>
      <c r="I756" s="276">
        <f>ROUND(Y66,0)</f>
        <v>4633739</v>
      </c>
      <c r="J756" s="276">
        <f>ROUND(Y67,0)</f>
        <v>2924032</v>
      </c>
      <c r="K756" s="276">
        <f>ROUND(Y68,0)</f>
        <v>476171</v>
      </c>
      <c r="L756" s="276">
        <f>ROUND(Y69,0)</f>
        <v>87133</v>
      </c>
      <c r="M756" s="276">
        <f>ROUND(Y70,0)</f>
        <v>62255</v>
      </c>
      <c r="N756" s="276">
        <f>ROUND(Y75,0)</f>
        <v>187328581</v>
      </c>
      <c r="O756" s="276">
        <f>ROUND(Y73,0)</f>
        <v>44220207</v>
      </c>
      <c r="P756" s="276">
        <f>IF(Y76&gt;0,ROUND(Y76,0),0)</f>
        <v>50628</v>
      </c>
      <c r="Q756" s="276">
        <f>IF(Y77&gt;0,ROUND(Y77,0),0)</f>
        <v>50</v>
      </c>
      <c r="R756" s="276">
        <f>IF(Y78&gt;0,ROUND(Y78,0),0)</f>
        <v>6447</v>
      </c>
      <c r="S756" s="276">
        <f>IF(Y79&gt;0,ROUND(Y79,0),0)</f>
        <v>280119</v>
      </c>
      <c r="T756" s="278">
        <f>IF(Y80&gt;0,ROUND(Y80,2),0)</f>
        <v>30.54</v>
      </c>
      <c r="U756" s="276"/>
      <c r="V756" s="277"/>
      <c r="W756" s="276"/>
      <c r="X756" s="276"/>
      <c r="Y756" s="276">
        <f t="shared" si="21"/>
        <v>14341389</v>
      </c>
      <c r="Z756" s="277"/>
      <c r="AA756" s="277"/>
      <c r="AB756" s="277"/>
      <c r="AC756" s="277"/>
      <c r="AD756" s="277"/>
      <c r="AE756" s="277"/>
      <c r="AF756" s="277"/>
      <c r="AG756" s="277"/>
      <c r="AH756" s="277"/>
      <c r="AI756" s="277"/>
      <c r="AJ756" s="277"/>
      <c r="AK756" s="277"/>
      <c r="AL756" s="277"/>
      <c r="AM756" s="277"/>
      <c r="AN756" s="277"/>
      <c r="AO756" s="277"/>
      <c r="AP756" s="277"/>
      <c r="AQ756" s="277"/>
      <c r="AR756" s="277"/>
      <c r="AS756" s="277"/>
      <c r="AT756" s="277"/>
      <c r="AU756" s="277"/>
      <c r="AV756" s="277"/>
      <c r="AW756" s="277"/>
      <c r="AX756" s="277"/>
      <c r="AY756" s="277"/>
      <c r="AZ756" s="277"/>
      <c r="BA756" s="277"/>
      <c r="BB756" s="277"/>
      <c r="BC756" s="277"/>
      <c r="BD756" s="277"/>
      <c r="BE756" s="277"/>
      <c r="BF756" s="277"/>
      <c r="BG756" s="277"/>
      <c r="BH756" s="277"/>
      <c r="BI756" s="277"/>
      <c r="BJ756" s="277"/>
      <c r="BK756" s="277"/>
      <c r="BL756" s="277"/>
      <c r="BM756" s="277"/>
      <c r="BN756" s="277"/>
      <c r="BO756" s="277"/>
      <c r="BP756" s="277"/>
      <c r="BQ756" s="277"/>
      <c r="BR756" s="277"/>
      <c r="BS756" s="277"/>
      <c r="BT756" s="277"/>
      <c r="BU756" s="277"/>
      <c r="BV756" s="277"/>
      <c r="BW756" s="277"/>
      <c r="BX756" s="277"/>
      <c r="BY756" s="277"/>
      <c r="BZ756" s="277"/>
      <c r="CA756" s="277"/>
      <c r="CB756" s="277"/>
      <c r="CC756" s="277"/>
      <c r="CD756" s="277"/>
      <c r="CE756" s="277"/>
    </row>
    <row r="757" spans="1:83" ht="12.65" customHeight="1" x14ac:dyDescent="0.35">
      <c r="A757" s="209" t="str">
        <f>RIGHT($C$83,3)&amp;"*"&amp;RIGHT($C$82,4)&amp;"*"&amp;Z$55&amp;"*"&amp;"A"</f>
        <v>164*2021*7150*A</v>
      </c>
      <c r="B757" s="276">
        <f>ROUND(Z59,0)</f>
        <v>50517</v>
      </c>
      <c r="C757" s="278">
        <f>ROUND(Z60,2)</f>
        <v>21.44</v>
      </c>
      <c r="D757" s="276">
        <f>ROUND(Z61,0)</f>
        <v>4316882</v>
      </c>
      <c r="E757" s="276">
        <f>ROUND(Z62,0)</f>
        <v>715834</v>
      </c>
      <c r="F757" s="276">
        <f>ROUND(Z63,0)</f>
        <v>6840</v>
      </c>
      <c r="G757" s="276">
        <f>ROUND(Z64,0)</f>
        <v>485880</v>
      </c>
      <c r="H757" s="276">
        <f>ROUND(Z65,0)</f>
        <v>2573</v>
      </c>
      <c r="I757" s="276">
        <f>ROUND(Z66,0)</f>
        <v>1263653</v>
      </c>
      <c r="J757" s="276">
        <f>ROUND(Z67,0)</f>
        <v>1176998</v>
      </c>
      <c r="K757" s="276">
        <f>ROUND(Z68,0)</f>
        <v>0</v>
      </c>
      <c r="L757" s="276">
        <f>ROUND(Z69,0)</f>
        <v>32427</v>
      </c>
      <c r="M757" s="276">
        <f>ROUND(Z70,0)</f>
        <v>14086</v>
      </c>
      <c r="N757" s="276">
        <f>ROUND(Z75,0)</f>
        <v>39526221</v>
      </c>
      <c r="O757" s="276">
        <f>ROUND(Z73,0)</f>
        <v>780043</v>
      </c>
      <c r="P757" s="276">
        <f>IF(Z76&gt;0,ROUND(Z76,0),0)</f>
        <v>16493</v>
      </c>
      <c r="Q757" s="276">
        <f>IF(Z77&gt;0,ROUND(Z77,0),0)</f>
        <v>0</v>
      </c>
      <c r="R757" s="276">
        <f>IF(Z78&gt;0,ROUND(Z78,0),0)</f>
        <v>2100</v>
      </c>
      <c r="S757" s="276">
        <f>IF(Z79&gt;0,ROUND(Z79,0),0)</f>
        <v>45185</v>
      </c>
      <c r="T757" s="278">
        <f>IF(Z80&gt;0,ROUND(Z80,2),0)</f>
        <v>4.2699999999999996</v>
      </c>
      <c r="U757" s="276"/>
      <c r="V757" s="277"/>
      <c r="W757" s="276"/>
      <c r="X757" s="276"/>
      <c r="Y757" s="276">
        <f t="shared" si="21"/>
        <v>3053971</v>
      </c>
      <c r="Z757" s="277"/>
      <c r="AA757" s="277"/>
      <c r="AB757" s="277"/>
      <c r="AC757" s="277"/>
      <c r="AD757" s="277"/>
      <c r="AE757" s="277"/>
      <c r="AF757" s="277"/>
      <c r="AG757" s="277"/>
      <c r="AH757" s="277"/>
      <c r="AI757" s="277"/>
      <c r="AJ757" s="277"/>
      <c r="AK757" s="277"/>
      <c r="AL757" s="277"/>
      <c r="AM757" s="277"/>
      <c r="AN757" s="277"/>
      <c r="AO757" s="277"/>
      <c r="AP757" s="277"/>
      <c r="AQ757" s="277"/>
      <c r="AR757" s="277"/>
      <c r="AS757" s="277"/>
      <c r="AT757" s="277"/>
      <c r="AU757" s="277"/>
      <c r="AV757" s="277"/>
      <c r="AW757" s="277"/>
      <c r="AX757" s="277"/>
      <c r="AY757" s="277"/>
      <c r="AZ757" s="277"/>
      <c r="BA757" s="277"/>
      <c r="BB757" s="277"/>
      <c r="BC757" s="277"/>
      <c r="BD757" s="277"/>
      <c r="BE757" s="277"/>
      <c r="BF757" s="277"/>
      <c r="BG757" s="277"/>
      <c r="BH757" s="277"/>
      <c r="BI757" s="277"/>
      <c r="BJ757" s="277"/>
      <c r="BK757" s="277"/>
      <c r="BL757" s="277"/>
      <c r="BM757" s="277"/>
      <c r="BN757" s="277"/>
      <c r="BO757" s="277"/>
      <c r="BP757" s="277"/>
      <c r="BQ757" s="277"/>
      <c r="BR757" s="277"/>
      <c r="BS757" s="277"/>
      <c r="BT757" s="277"/>
      <c r="BU757" s="277"/>
      <c r="BV757" s="277"/>
      <c r="BW757" s="277"/>
      <c r="BX757" s="277"/>
      <c r="BY757" s="277"/>
      <c r="BZ757" s="277"/>
      <c r="CA757" s="277"/>
      <c r="CB757" s="277"/>
      <c r="CC757" s="277"/>
      <c r="CD757" s="277"/>
      <c r="CE757" s="277"/>
    </row>
    <row r="758" spans="1:83" ht="12.65" customHeight="1" x14ac:dyDescent="0.35">
      <c r="A758" s="209" t="str">
        <f>RIGHT($C$83,3)&amp;"*"&amp;RIGHT($C$82,4)&amp;"*"&amp;AA$55&amp;"*"&amp;"A"</f>
        <v>164*2021*7160*A</v>
      </c>
      <c r="B758" s="276">
        <f>ROUND(AA59,0)</f>
        <v>13874</v>
      </c>
      <c r="C758" s="278">
        <f>ROUND(AA60,2)</f>
        <v>3.01</v>
      </c>
      <c r="D758" s="276">
        <f>ROUND(AA61,0)</f>
        <v>427951</v>
      </c>
      <c r="E758" s="276">
        <f>ROUND(AA62,0)</f>
        <v>86051</v>
      </c>
      <c r="F758" s="276">
        <f>ROUND(AA63,0)</f>
        <v>0</v>
      </c>
      <c r="G758" s="276">
        <f>ROUND(AA64,0)</f>
        <v>302970</v>
      </c>
      <c r="H758" s="276">
        <f>ROUND(AA65,0)</f>
        <v>0</v>
      </c>
      <c r="I758" s="276">
        <f>ROUND(AA66,0)</f>
        <v>99444</v>
      </c>
      <c r="J758" s="276">
        <f>ROUND(AA67,0)</f>
        <v>101329</v>
      </c>
      <c r="K758" s="276">
        <f>ROUND(AA68,0)</f>
        <v>0</v>
      </c>
      <c r="L758" s="276">
        <f>ROUND(AA69,0)</f>
        <v>9263</v>
      </c>
      <c r="M758" s="276">
        <f>ROUND(AA70,0)</f>
        <v>0</v>
      </c>
      <c r="N758" s="276">
        <f>ROUND(AA75,0)</f>
        <v>4973937</v>
      </c>
      <c r="O758" s="276">
        <f>ROUND(AA73,0)</f>
        <v>1067322</v>
      </c>
      <c r="P758" s="276">
        <f>IF(AA76&gt;0,ROUND(AA76,0),0)</f>
        <v>1139</v>
      </c>
      <c r="Q758" s="276">
        <f>IF(AA77&gt;0,ROUND(AA77,0),0)</f>
        <v>0</v>
      </c>
      <c r="R758" s="276">
        <f>IF(AA78&gt;0,ROUND(AA78,0),0)</f>
        <v>145</v>
      </c>
      <c r="S758" s="276">
        <f>IF(AA79&gt;0,ROUND(AA79,0),0)</f>
        <v>0</v>
      </c>
      <c r="T758" s="278">
        <f>IF(AA80&gt;0,ROUND(AA80,2),0)</f>
        <v>0</v>
      </c>
      <c r="U758" s="276"/>
      <c r="V758" s="277"/>
      <c r="W758" s="276"/>
      <c r="X758" s="276"/>
      <c r="Y758" s="276">
        <f t="shared" si="21"/>
        <v>371879</v>
      </c>
      <c r="Z758" s="277"/>
      <c r="AA758" s="277"/>
      <c r="AB758" s="277"/>
      <c r="AC758" s="277"/>
      <c r="AD758" s="277"/>
      <c r="AE758" s="277"/>
      <c r="AF758" s="277"/>
      <c r="AG758" s="277"/>
      <c r="AH758" s="277"/>
      <c r="AI758" s="277"/>
      <c r="AJ758" s="277"/>
      <c r="AK758" s="277"/>
      <c r="AL758" s="277"/>
      <c r="AM758" s="277"/>
      <c r="AN758" s="277"/>
      <c r="AO758" s="277"/>
      <c r="AP758" s="277"/>
      <c r="AQ758" s="277"/>
      <c r="AR758" s="277"/>
      <c r="AS758" s="277"/>
      <c r="AT758" s="277"/>
      <c r="AU758" s="277"/>
      <c r="AV758" s="277"/>
      <c r="AW758" s="277"/>
      <c r="AX758" s="277"/>
      <c r="AY758" s="277"/>
      <c r="AZ758" s="277"/>
      <c r="BA758" s="277"/>
      <c r="BB758" s="277"/>
      <c r="BC758" s="277"/>
      <c r="BD758" s="277"/>
      <c r="BE758" s="277"/>
      <c r="BF758" s="277"/>
      <c r="BG758" s="277"/>
      <c r="BH758" s="277"/>
      <c r="BI758" s="277"/>
      <c r="BJ758" s="277"/>
      <c r="BK758" s="277"/>
      <c r="BL758" s="277"/>
      <c r="BM758" s="277"/>
      <c r="BN758" s="277"/>
      <c r="BO758" s="277"/>
      <c r="BP758" s="277"/>
      <c r="BQ758" s="277"/>
      <c r="BR758" s="277"/>
      <c r="BS758" s="277"/>
      <c r="BT758" s="277"/>
      <c r="BU758" s="277"/>
      <c r="BV758" s="277"/>
      <c r="BW758" s="277"/>
      <c r="BX758" s="277"/>
      <c r="BY758" s="277"/>
      <c r="BZ758" s="277"/>
      <c r="CA758" s="277"/>
      <c r="CB758" s="277"/>
      <c r="CC758" s="277"/>
      <c r="CD758" s="277"/>
      <c r="CE758" s="277"/>
    </row>
    <row r="759" spans="1:83" ht="12.65" customHeight="1" x14ac:dyDescent="0.35">
      <c r="A759" s="209" t="str">
        <f>RIGHT($C$83,3)&amp;"*"&amp;RIGHT($C$82,4)&amp;"*"&amp;AB$55&amp;"*"&amp;"A"</f>
        <v>164*2021*7170*A</v>
      </c>
      <c r="B759" s="276"/>
      <c r="C759" s="278">
        <f>ROUND(AB60,2)</f>
        <v>54.01</v>
      </c>
      <c r="D759" s="276">
        <f>ROUND(AB61,0)</f>
        <v>5968170</v>
      </c>
      <c r="E759" s="276">
        <f>ROUND(AB62,0)</f>
        <v>1348406</v>
      </c>
      <c r="F759" s="276">
        <f>ROUND(AB63,0)</f>
        <v>0</v>
      </c>
      <c r="G759" s="276">
        <f>ROUND(AB64,0)</f>
        <v>17648488</v>
      </c>
      <c r="H759" s="276">
        <f>ROUND(AB65,0)</f>
        <v>0</v>
      </c>
      <c r="I759" s="276">
        <f>ROUND(AB66,0)</f>
        <v>270698</v>
      </c>
      <c r="J759" s="276">
        <f>ROUND(AB67,0)</f>
        <v>246142</v>
      </c>
      <c r="K759" s="276">
        <f>ROUND(AB68,0)</f>
        <v>0</v>
      </c>
      <c r="L759" s="276">
        <f>ROUND(AB69,0)</f>
        <v>29029</v>
      </c>
      <c r="M759" s="276">
        <f>ROUND(AB70,0)</f>
        <v>2243</v>
      </c>
      <c r="N759" s="276">
        <f>ROUND(AB75,0)</f>
        <v>145342611</v>
      </c>
      <c r="O759" s="276">
        <f>ROUND(AB73,0)</f>
        <v>79485575</v>
      </c>
      <c r="P759" s="276">
        <f>IF(AB76&gt;0,ROUND(AB76,0),0)</f>
        <v>7695</v>
      </c>
      <c r="Q759" s="276">
        <f>IF(AB77&gt;0,ROUND(AB77,0),0)</f>
        <v>0</v>
      </c>
      <c r="R759" s="276">
        <f>IF(AB78&gt;0,ROUND(AB78,0),0)</f>
        <v>980</v>
      </c>
      <c r="S759" s="276">
        <f>IF(AB79&gt;0,ROUND(AB79,0),0)</f>
        <v>0</v>
      </c>
      <c r="T759" s="278">
        <f>IF(AB80&gt;0,ROUND(AB80,2),0)</f>
        <v>0</v>
      </c>
      <c r="U759" s="276"/>
      <c r="V759" s="277"/>
      <c r="W759" s="276"/>
      <c r="X759" s="276"/>
      <c r="Y759" s="276">
        <f t="shared" si="21"/>
        <v>10445882</v>
      </c>
      <c r="Z759" s="277"/>
      <c r="AA759" s="277"/>
      <c r="AB759" s="277"/>
      <c r="AC759" s="277"/>
      <c r="AD759" s="277"/>
      <c r="AE759" s="277"/>
      <c r="AF759" s="277"/>
      <c r="AG759" s="277"/>
      <c r="AH759" s="277"/>
      <c r="AI759" s="277"/>
      <c r="AJ759" s="277"/>
      <c r="AK759" s="277"/>
      <c r="AL759" s="277"/>
      <c r="AM759" s="277"/>
      <c r="AN759" s="277"/>
      <c r="AO759" s="277"/>
      <c r="AP759" s="277"/>
      <c r="AQ759" s="277"/>
      <c r="AR759" s="277"/>
      <c r="AS759" s="277"/>
      <c r="AT759" s="277"/>
      <c r="AU759" s="277"/>
      <c r="AV759" s="277"/>
      <c r="AW759" s="277"/>
      <c r="AX759" s="277"/>
      <c r="AY759" s="277"/>
      <c r="AZ759" s="277"/>
      <c r="BA759" s="277"/>
      <c r="BB759" s="277"/>
      <c r="BC759" s="277"/>
      <c r="BD759" s="277"/>
      <c r="BE759" s="277"/>
      <c r="BF759" s="277"/>
      <c r="BG759" s="277"/>
      <c r="BH759" s="277"/>
      <c r="BI759" s="277"/>
      <c r="BJ759" s="277"/>
      <c r="BK759" s="277"/>
      <c r="BL759" s="277"/>
      <c r="BM759" s="277"/>
      <c r="BN759" s="277"/>
      <c r="BO759" s="277"/>
      <c r="BP759" s="277"/>
      <c r="BQ759" s="277"/>
      <c r="BR759" s="277"/>
      <c r="BS759" s="277"/>
      <c r="BT759" s="277"/>
      <c r="BU759" s="277"/>
      <c r="BV759" s="277"/>
      <c r="BW759" s="277"/>
      <c r="BX759" s="277"/>
      <c r="BY759" s="277"/>
      <c r="BZ759" s="277"/>
      <c r="CA759" s="277"/>
      <c r="CB759" s="277"/>
      <c r="CC759" s="277"/>
      <c r="CD759" s="277"/>
      <c r="CE759" s="277"/>
    </row>
    <row r="760" spans="1:83" ht="12.65" customHeight="1" x14ac:dyDescent="0.35">
      <c r="A760" s="209" t="str">
        <f>RIGHT($C$83,3)&amp;"*"&amp;RIGHT($C$82,4)&amp;"*"&amp;AC$55&amp;"*"&amp;"A"</f>
        <v>164*2021*7180*A</v>
      </c>
      <c r="B760" s="276">
        <f>ROUND(AC59,0)</f>
        <v>24516</v>
      </c>
      <c r="C760" s="278">
        <f>ROUND(AC60,2)</f>
        <v>24.19</v>
      </c>
      <c r="D760" s="276">
        <f>ROUND(AC61,0)</f>
        <v>2560068</v>
      </c>
      <c r="E760" s="276">
        <f>ROUND(AC62,0)</f>
        <v>625232</v>
      </c>
      <c r="F760" s="276">
        <f>ROUND(AC63,0)</f>
        <v>0</v>
      </c>
      <c r="G760" s="276">
        <f>ROUND(AC64,0)</f>
        <v>378327</v>
      </c>
      <c r="H760" s="276">
        <f>ROUND(AC65,0)</f>
        <v>0</v>
      </c>
      <c r="I760" s="276">
        <f>ROUND(AC66,0)</f>
        <v>1373</v>
      </c>
      <c r="J760" s="276">
        <f>ROUND(AC67,0)</f>
        <v>61808</v>
      </c>
      <c r="K760" s="276">
        <f>ROUND(AC68,0)</f>
        <v>5282</v>
      </c>
      <c r="L760" s="276">
        <f>ROUND(AC69,0)</f>
        <v>328</v>
      </c>
      <c r="M760" s="276">
        <f>ROUND(AC70,0)</f>
        <v>0</v>
      </c>
      <c r="N760" s="276">
        <f>ROUND(AC75,0)</f>
        <v>22399060</v>
      </c>
      <c r="O760" s="276">
        <f>ROUND(AC73,0)</f>
        <v>21682835</v>
      </c>
      <c r="P760" s="276">
        <f>IF(AC76&gt;0,ROUND(AC76,0),0)</f>
        <v>2635</v>
      </c>
      <c r="Q760" s="276">
        <f>IF(AC77&gt;0,ROUND(AC77,0),0)</f>
        <v>0</v>
      </c>
      <c r="R760" s="276">
        <f>IF(AC78&gt;0,ROUND(AC78,0),0)</f>
        <v>336</v>
      </c>
      <c r="S760" s="276">
        <f>IF(AC79&gt;0,ROUND(AC79,0),0)</f>
        <v>0</v>
      </c>
      <c r="T760" s="278">
        <f>IF(AC80&gt;0,ROUND(AC80,2),0)</f>
        <v>0</v>
      </c>
      <c r="U760" s="276"/>
      <c r="V760" s="277"/>
      <c r="W760" s="276"/>
      <c r="X760" s="276"/>
      <c r="Y760" s="276">
        <f t="shared" si="21"/>
        <v>1506271</v>
      </c>
      <c r="Z760" s="277"/>
      <c r="AA760" s="277"/>
      <c r="AB760" s="277"/>
      <c r="AC760" s="277"/>
      <c r="AD760" s="277"/>
      <c r="AE760" s="277"/>
      <c r="AF760" s="277"/>
      <c r="AG760" s="277"/>
      <c r="AH760" s="277"/>
      <c r="AI760" s="277"/>
      <c r="AJ760" s="277"/>
      <c r="AK760" s="277"/>
      <c r="AL760" s="277"/>
      <c r="AM760" s="277"/>
      <c r="AN760" s="277"/>
      <c r="AO760" s="277"/>
      <c r="AP760" s="277"/>
      <c r="AQ760" s="277"/>
      <c r="AR760" s="277"/>
      <c r="AS760" s="277"/>
      <c r="AT760" s="277"/>
      <c r="AU760" s="277"/>
      <c r="AV760" s="277"/>
      <c r="AW760" s="277"/>
      <c r="AX760" s="277"/>
      <c r="AY760" s="277"/>
      <c r="AZ760" s="277"/>
      <c r="BA760" s="277"/>
      <c r="BB760" s="277"/>
      <c r="BC760" s="277"/>
      <c r="BD760" s="277"/>
      <c r="BE760" s="277"/>
      <c r="BF760" s="277"/>
      <c r="BG760" s="277"/>
      <c r="BH760" s="277"/>
      <c r="BI760" s="277"/>
      <c r="BJ760" s="277"/>
      <c r="BK760" s="277"/>
      <c r="BL760" s="277"/>
      <c r="BM760" s="277"/>
      <c r="BN760" s="277"/>
      <c r="BO760" s="277"/>
      <c r="BP760" s="277"/>
      <c r="BQ760" s="277"/>
      <c r="BR760" s="277"/>
      <c r="BS760" s="277"/>
      <c r="BT760" s="277"/>
      <c r="BU760" s="277"/>
      <c r="BV760" s="277"/>
      <c r="BW760" s="277"/>
      <c r="BX760" s="277"/>
      <c r="BY760" s="277"/>
      <c r="BZ760" s="277"/>
      <c r="CA760" s="277"/>
      <c r="CB760" s="277"/>
      <c r="CC760" s="277"/>
      <c r="CD760" s="277"/>
      <c r="CE760" s="277"/>
    </row>
    <row r="761" spans="1:83" ht="12.65" customHeight="1" x14ac:dyDescent="0.35">
      <c r="A761" s="209" t="str">
        <f>RIGHT($C$83,3)&amp;"*"&amp;RIGHT($C$82,4)&amp;"*"&amp;AD$55&amp;"*"&amp;"A"</f>
        <v>164*2021*7190*A</v>
      </c>
      <c r="B761" s="276">
        <f>ROUND(AD59,0)</f>
        <v>0</v>
      </c>
      <c r="C761" s="278">
        <f>ROUND(AD60,2)</f>
        <v>0</v>
      </c>
      <c r="D761" s="276">
        <f>ROUND(AD61,0)</f>
        <v>0</v>
      </c>
      <c r="E761" s="276">
        <f>ROUND(AD62,0)</f>
        <v>0</v>
      </c>
      <c r="F761" s="276">
        <f>ROUND(AD63,0)</f>
        <v>0</v>
      </c>
      <c r="G761" s="276">
        <f>ROUND(AD64,0)</f>
        <v>0</v>
      </c>
      <c r="H761" s="276">
        <f>ROUND(AD65,0)</f>
        <v>0</v>
      </c>
      <c r="I761" s="276">
        <f>ROUND(AD66,0)</f>
        <v>0</v>
      </c>
      <c r="J761" s="276">
        <f>ROUND(AD67,0)</f>
        <v>0</v>
      </c>
      <c r="K761" s="276">
        <f>ROUND(AD68,0)</f>
        <v>0</v>
      </c>
      <c r="L761" s="276">
        <f>ROUND(AD69,0)</f>
        <v>0</v>
      </c>
      <c r="M761" s="276">
        <f>ROUND(AD70,0)</f>
        <v>0</v>
      </c>
      <c r="N761" s="276">
        <f>ROUND(AD75,0)</f>
        <v>0</v>
      </c>
      <c r="O761" s="276">
        <f>ROUND(AD73,0)</f>
        <v>0</v>
      </c>
      <c r="P761" s="276">
        <f>IF(AD76&gt;0,ROUND(AD76,0),0)</f>
        <v>0</v>
      </c>
      <c r="Q761" s="276">
        <f>IF(AD77&gt;0,ROUND(AD77,0),0)</f>
        <v>0</v>
      </c>
      <c r="R761" s="276">
        <f>IF(AD78&gt;0,ROUND(AD78,0),0)</f>
        <v>0</v>
      </c>
      <c r="S761" s="276">
        <f>IF(AD79&gt;0,ROUND(AD79,0),0)</f>
        <v>0</v>
      </c>
      <c r="T761" s="278">
        <f>IF(AD80&gt;0,ROUND(AD80,2),0)</f>
        <v>0</v>
      </c>
      <c r="U761" s="276"/>
      <c r="V761" s="277"/>
      <c r="W761" s="276"/>
      <c r="X761" s="276"/>
      <c r="Y761" s="276">
        <f t="shared" si="21"/>
        <v>0</v>
      </c>
      <c r="Z761" s="277"/>
      <c r="AA761" s="277"/>
      <c r="AB761" s="277"/>
      <c r="AC761" s="277"/>
      <c r="AD761" s="277"/>
      <c r="AE761" s="277"/>
      <c r="AF761" s="277"/>
      <c r="AG761" s="277"/>
      <c r="AH761" s="277"/>
      <c r="AI761" s="277"/>
      <c r="AJ761" s="277"/>
      <c r="AK761" s="277"/>
      <c r="AL761" s="277"/>
      <c r="AM761" s="277"/>
      <c r="AN761" s="277"/>
      <c r="AO761" s="277"/>
      <c r="AP761" s="277"/>
      <c r="AQ761" s="277"/>
      <c r="AR761" s="277"/>
      <c r="AS761" s="277"/>
      <c r="AT761" s="277"/>
      <c r="AU761" s="277"/>
      <c r="AV761" s="277"/>
      <c r="AW761" s="277"/>
      <c r="AX761" s="277"/>
      <c r="AY761" s="277"/>
      <c r="AZ761" s="277"/>
      <c r="BA761" s="277"/>
      <c r="BB761" s="277"/>
      <c r="BC761" s="277"/>
      <c r="BD761" s="277"/>
      <c r="BE761" s="277"/>
      <c r="BF761" s="277"/>
      <c r="BG761" s="277"/>
      <c r="BH761" s="277"/>
      <c r="BI761" s="277"/>
      <c r="BJ761" s="277"/>
      <c r="BK761" s="277"/>
      <c r="BL761" s="277"/>
      <c r="BM761" s="277"/>
      <c r="BN761" s="277"/>
      <c r="BO761" s="277"/>
      <c r="BP761" s="277"/>
      <c r="BQ761" s="277"/>
      <c r="BR761" s="277"/>
      <c r="BS761" s="277"/>
      <c r="BT761" s="277"/>
      <c r="BU761" s="277"/>
      <c r="BV761" s="277"/>
      <c r="BW761" s="277"/>
      <c r="BX761" s="277"/>
      <c r="BY761" s="277"/>
      <c r="BZ761" s="277"/>
      <c r="CA761" s="277"/>
      <c r="CB761" s="277"/>
      <c r="CC761" s="277"/>
      <c r="CD761" s="277"/>
      <c r="CE761" s="277"/>
    </row>
    <row r="762" spans="1:83" ht="12.65" customHeight="1" x14ac:dyDescent="0.35">
      <c r="A762" s="209" t="str">
        <f>RIGHT($C$83,3)&amp;"*"&amp;RIGHT($C$82,4)&amp;"*"&amp;AE$55&amp;"*"&amp;"A"</f>
        <v>164*2021*7200*A</v>
      </c>
      <c r="B762" s="276">
        <f>ROUND(AE59,0)</f>
        <v>50293</v>
      </c>
      <c r="C762" s="278">
        <f>ROUND(AE60,2)</f>
        <v>62.12</v>
      </c>
      <c r="D762" s="276">
        <f>ROUND(AE61,0)</f>
        <v>5476218</v>
      </c>
      <c r="E762" s="276">
        <f>ROUND(AE62,0)</f>
        <v>1288817</v>
      </c>
      <c r="F762" s="276">
        <f>ROUND(AE63,0)</f>
        <v>0</v>
      </c>
      <c r="G762" s="276">
        <f>ROUND(AE64,0)</f>
        <v>125625</v>
      </c>
      <c r="H762" s="276">
        <f>ROUND(AE65,0)</f>
        <v>8437</v>
      </c>
      <c r="I762" s="276">
        <f>ROUND(AE66,0)</f>
        <v>133092</v>
      </c>
      <c r="J762" s="276">
        <f>ROUND(AE67,0)</f>
        <v>180449</v>
      </c>
      <c r="K762" s="276">
        <f>ROUND(AE68,0)</f>
        <v>157318</v>
      </c>
      <c r="L762" s="276">
        <f>ROUND(AE69,0)</f>
        <v>26049</v>
      </c>
      <c r="M762" s="276">
        <f>ROUND(AE70,0)</f>
        <v>2685</v>
      </c>
      <c r="N762" s="276">
        <f>ROUND(AE75,0)</f>
        <v>34182853</v>
      </c>
      <c r="O762" s="276">
        <f>ROUND(AE73,0)</f>
        <v>13659570</v>
      </c>
      <c r="P762" s="276">
        <f>IF(AE76&gt;0,ROUND(AE76,0),0)</f>
        <v>17259</v>
      </c>
      <c r="Q762" s="276">
        <f>IF(AE77&gt;0,ROUND(AE77,0),0)</f>
        <v>0</v>
      </c>
      <c r="R762" s="276">
        <f>IF(AE78&gt;0,ROUND(AE78,0),0)</f>
        <v>2232</v>
      </c>
      <c r="S762" s="276">
        <f>IF(AE79&gt;0,ROUND(AE79,0),0)</f>
        <v>0</v>
      </c>
      <c r="T762" s="278">
        <f>IF(AE80&gt;0,ROUND(AE80,2),0)</f>
        <v>0</v>
      </c>
      <c r="U762" s="276"/>
      <c r="V762" s="277"/>
      <c r="W762" s="276"/>
      <c r="X762" s="276"/>
      <c r="Y762" s="276">
        <f t="shared" si="21"/>
        <v>2916019</v>
      </c>
      <c r="Z762" s="277"/>
      <c r="AA762" s="277"/>
      <c r="AB762" s="277"/>
      <c r="AC762" s="277"/>
      <c r="AD762" s="277"/>
      <c r="AE762" s="277"/>
      <c r="AF762" s="277"/>
      <c r="AG762" s="277"/>
      <c r="AH762" s="277"/>
      <c r="AI762" s="277"/>
      <c r="AJ762" s="277"/>
      <c r="AK762" s="277"/>
      <c r="AL762" s="277"/>
      <c r="AM762" s="277"/>
      <c r="AN762" s="277"/>
      <c r="AO762" s="277"/>
      <c r="AP762" s="277"/>
      <c r="AQ762" s="277"/>
      <c r="AR762" s="277"/>
      <c r="AS762" s="277"/>
      <c r="AT762" s="277"/>
      <c r="AU762" s="277"/>
      <c r="AV762" s="277"/>
      <c r="AW762" s="277"/>
      <c r="AX762" s="277"/>
      <c r="AY762" s="277"/>
      <c r="AZ762" s="277"/>
      <c r="BA762" s="277"/>
      <c r="BB762" s="277"/>
      <c r="BC762" s="277"/>
      <c r="BD762" s="277"/>
      <c r="BE762" s="277"/>
      <c r="BF762" s="277"/>
      <c r="BG762" s="277"/>
      <c r="BH762" s="277"/>
      <c r="BI762" s="277"/>
      <c r="BJ762" s="277"/>
      <c r="BK762" s="277"/>
      <c r="BL762" s="277"/>
      <c r="BM762" s="277"/>
      <c r="BN762" s="277"/>
      <c r="BO762" s="277"/>
      <c r="BP762" s="277"/>
      <c r="BQ762" s="277"/>
      <c r="BR762" s="277"/>
      <c r="BS762" s="277"/>
      <c r="BT762" s="277"/>
      <c r="BU762" s="277"/>
      <c r="BV762" s="277"/>
      <c r="BW762" s="277"/>
      <c r="BX762" s="277"/>
      <c r="BY762" s="277"/>
      <c r="BZ762" s="277"/>
      <c r="CA762" s="277"/>
      <c r="CB762" s="277"/>
      <c r="CC762" s="277"/>
      <c r="CD762" s="277"/>
      <c r="CE762" s="277"/>
    </row>
    <row r="763" spans="1:83" ht="12.65" customHeight="1" x14ac:dyDescent="0.35">
      <c r="A763" s="209" t="str">
        <f>RIGHT($C$83,3)&amp;"*"&amp;RIGHT($C$82,4)&amp;"*"&amp;AF$55&amp;"*"&amp;"A"</f>
        <v>164*2021*7220*A</v>
      </c>
      <c r="B763" s="276">
        <f>ROUND(AF59,0)</f>
        <v>0</v>
      </c>
      <c r="C763" s="278">
        <f>ROUND(AF60,2)</f>
        <v>0</v>
      </c>
      <c r="D763" s="276">
        <f>ROUND(AF61,0)</f>
        <v>0</v>
      </c>
      <c r="E763" s="276">
        <f>ROUND(AF62,0)</f>
        <v>0</v>
      </c>
      <c r="F763" s="276">
        <f>ROUND(AF63,0)</f>
        <v>0</v>
      </c>
      <c r="G763" s="276">
        <f>ROUND(AF64,0)</f>
        <v>0</v>
      </c>
      <c r="H763" s="276">
        <f>ROUND(AF65,0)</f>
        <v>0</v>
      </c>
      <c r="I763" s="276">
        <f>ROUND(AF66,0)</f>
        <v>0</v>
      </c>
      <c r="J763" s="276">
        <f>ROUND(AF67,0)</f>
        <v>0</v>
      </c>
      <c r="K763" s="276">
        <f>ROUND(AF68,0)</f>
        <v>0</v>
      </c>
      <c r="L763" s="276">
        <f>ROUND(AF69,0)</f>
        <v>0</v>
      </c>
      <c r="M763" s="276">
        <f>ROUND(AF70,0)</f>
        <v>0</v>
      </c>
      <c r="N763" s="276">
        <f>ROUND(AF75,0)</f>
        <v>0</v>
      </c>
      <c r="O763" s="276">
        <f>ROUND(AF73,0)</f>
        <v>0</v>
      </c>
      <c r="P763" s="276">
        <f>IF(AF76&gt;0,ROUND(AF76,0),0)</f>
        <v>0</v>
      </c>
      <c r="Q763" s="276">
        <f>IF(AF77&gt;0,ROUND(AF77,0),0)</f>
        <v>0</v>
      </c>
      <c r="R763" s="276">
        <f>IF(AF78&gt;0,ROUND(AF78,0),0)</f>
        <v>0</v>
      </c>
      <c r="S763" s="276">
        <f>IF(AF79&gt;0,ROUND(AF79,0),0)</f>
        <v>0</v>
      </c>
      <c r="T763" s="278">
        <f>IF(AF80&gt;0,ROUND(AF80,2),0)</f>
        <v>0</v>
      </c>
      <c r="U763" s="276"/>
      <c r="V763" s="277"/>
      <c r="W763" s="276"/>
      <c r="X763" s="276"/>
      <c r="Y763" s="276">
        <f t="shared" si="21"/>
        <v>0</v>
      </c>
      <c r="Z763" s="277"/>
      <c r="AA763" s="277"/>
      <c r="AB763" s="277"/>
      <c r="AC763" s="277"/>
      <c r="AD763" s="277"/>
      <c r="AE763" s="277"/>
      <c r="AF763" s="277"/>
      <c r="AG763" s="277"/>
      <c r="AH763" s="277"/>
      <c r="AI763" s="277"/>
      <c r="AJ763" s="277"/>
      <c r="AK763" s="277"/>
      <c r="AL763" s="277"/>
      <c r="AM763" s="277"/>
      <c r="AN763" s="277"/>
      <c r="AO763" s="277"/>
      <c r="AP763" s="277"/>
      <c r="AQ763" s="277"/>
      <c r="AR763" s="277"/>
      <c r="AS763" s="277"/>
      <c r="AT763" s="277"/>
      <c r="AU763" s="277"/>
      <c r="AV763" s="277"/>
      <c r="AW763" s="277"/>
      <c r="AX763" s="277"/>
      <c r="AY763" s="277"/>
      <c r="AZ763" s="277"/>
      <c r="BA763" s="277"/>
      <c r="BB763" s="277"/>
      <c r="BC763" s="277"/>
      <c r="BD763" s="277"/>
      <c r="BE763" s="277"/>
      <c r="BF763" s="277"/>
      <c r="BG763" s="277"/>
      <c r="BH763" s="277"/>
      <c r="BI763" s="277"/>
      <c r="BJ763" s="277"/>
      <c r="BK763" s="277"/>
      <c r="BL763" s="277"/>
      <c r="BM763" s="277"/>
      <c r="BN763" s="277"/>
      <c r="BO763" s="277"/>
      <c r="BP763" s="277"/>
      <c r="BQ763" s="277"/>
      <c r="BR763" s="277"/>
      <c r="BS763" s="277"/>
      <c r="BT763" s="277"/>
      <c r="BU763" s="277"/>
      <c r="BV763" s="277"/>
      <c r="BW763" s="277"/>
      <c r="BX763" s="277"/>
      <c r="BY763" s="277"/>
      <c r="BZ763" s="277"/>
      <c r="CA763" s="277"/>
      <c r="CB763" s="277"/>
      <c r="CC763" s="277"/>
      <c r="CD763" s="277"/>
      <c r="CE763" s="277"/>
    </row>
    <row r="764" spans="1:83" ht="12.65" customHeight="1" x14ac:dyDescent="0.35">
      <c r="A764" s="209" t="str">
        <f>RIGHT($C$83,3)&amp;"*"&amp;RIGHT($C$82,4)&amp;"*"&amp;AG$55&amp;"*"&amp;"A"</f>
        <v>164*2021*7230*A</v>
      </c>
      <c r="B764" s="276">
        <f>ROUND(AG59,0)</f>
        <v>113304</v>
      </c>
      <c r="C764" s="278">
        <f>ROUND(AG60,2)</f>
        <v>112.05</v>
      </c>
      <c r="D764" s="276">
        <f>ROUND(AG61,0)</f>
        <v>11338576</v>
      </c>
      <c r="E764" s="276">
        <f>ROUND(AG62,0)</f>
        <v>2740807</v>
      </c>
      <c r="F764" s="276">
        <f>ROUND(AG63,0)</f>
        <v>392702</v>
      </c>
      <c r="G764" s="276">
        <f>ROUND(AG64,0)</f>
        <v>1770793</v>
      </c>
      <c r="H764" s="276">
        <f>ROUND(AG65,0)</f>
        <v>2216</v>
      </c>
      <c r="I764" s="276">
        <f>ROUND(AG66,0)</f>
        <v>647109</v>
      </c>
      <c r="J764" s="276">
        <f>ROUND(AG67,0)</f>
        <v>1128622</v>
      </c>
      <c r="K764" s="276">
        <f>ROUND(AG68,0)</f>
        <v>632911</v>
      </c>
      <c r="L764" s="276">
        <f>ROUND(AG69,0)</f>
        <v>18703</v>
      </c>
      <c r="M764" s="276">
        <f>ROUND(AG70,0)</f>
        <v>459</v>
      </c>
      <c r="N764" s="276">
        <f>ROUND(AG75,0)</f>
        <v>169387213</v>
      </c>
      <c r="O764" s="276">
        <f>ROUND(AG73,0)</f>
        <v>38241925</v>
      </c>
      <c r="P764" s="276">
        <f>IF(AG76&gt;0,ROUND(AG76,0),0)</f>
        <v>55060</v>
      </c>
      <c r="Q764" s="276">
        <f>IF(AG77&gt;0,ROUND(AG77,0),0)</f>
        <v>5081</v>
      </c>
      <c r="R764" s="276">
        <f>IF(AG78&gt;0,ROUND(AG78,0),0)</f>
        <v>7011</v>
      </c>
      <c r="S764" s="276">
        <f>IF(AG79&gt;0,ROUND(AG79,0),0)</f>
        <v>370208</v>
      </c>
      <c r="T764" s="278">
        <f>IF(AG80&gt;0,ROUND(AG80,2),0)</f>
        <v>65.66</v>
      </c>
      <c r="U764" s="276"/>
      <c r="V764" s="277"/>
      <c r="W764" s="276"/>
      <c r="X764" s="276"/>
      <c r="Y764" s="276">
        <f t="shared" si="21"/>
        <v>12399672</v>
      </c>
      <c r="Z764" s="277"/>
      <c r="AA764" s="277"/>
      <c r="AB764" s="277"/>
      <c r="AC764" s="277"/>
      <c r="AD764" s="277"/>
      <c r="AE764" s="277"/>
      <c r="AF764" s="277"/>
      <c r="AG764" s="277"/>
      <c r="AH764" s="277"/>
      <c r="AI764" s="277"/>
      <c r="AJ764" s="277"/>
      <c r="AK764" s="277"/>
      <c r="AL764" s="277"/>
      <c r="AM764" s="277"/>
      <c r="AN764" s="277"/>
      <c r="AO764" s="277"/>
      <c r="AP764" s="277"/>
      <c r="AQ764" s="277"/>
      <c r="AR764" s="277"/>
      <c r="AS764" s="277"/>
      <c r="AT764" s="277"/>
      <c r="AU764" s="277"/>
      <c r="AV764" s="277"/>
      <c r="AW764" s="277"/>
      <c r="AX764" s="277"/>
      <c r="AY764" s="277"/>
      <c r="AZ764" s="277"/>
      <c r="BA764" s="277"/>
      <c r="BB764" s="277"/>
      <c r="BC764" s="277"/>
      <c r="BD764" s="277"/>
      <c r="BE764" s="277"/>
      <c r="BF764" s="277"/>
      <c r="BG764" s="277"/>
      <c r="BH764" s="277"/>
      <c r="BI764" s="277"/>
      <c r="BJ764" s="277"/>
      <c r="BK764" s="277"/>
      <c r="BL764" s="277"/>
      <c r="BM764" s="277"/>
      <c r="BN764" s="277"/>
      <c r="BO764" s="277"/>
      <c r="BP764" s="277"/>
      <c r="BQ764" s="277"/>
      <c r="BR764" s="277"/>
      <c r="BS764" s="277"/>
      <c r="BT764" s="277"/>
      <c r="BU764" s="277"/>
      <c r="BV764" s="277"/>
      <c r="BW764" s="277"/>
      <c r="BX764" s="277"/>
      <c r="BY764" s="277"/>
      <c r="BZ764" s="277"/>
      <c r="CA764" s="277"/>
      <c r="CB764" s="277"/>
      <c r="CC764" s="277"/>
      <c r="CD764" s="277"/>
      <c r="CE764" s="277"/>
    </row>
    <row r="765" spans="1:83" ht="12.65" customHeight="1" x14ac:dyDescent="0.35">
      <c r="A765" s="209" t="str">
        <f>RIGHT($C$83,3)&amp;"*"&amp;RIGHT($C$82,4)&amp;"*"&amp;AH$55&amp;"*"&amp;"A"</f>
        <v>164*2021*7240*A</v>
      </c>
      <c r="B765" s="276">
        <f>ROUND(AH59,0)</f>
        <v>0</v>
      </c>
      <c r="C765" s="278">
        <f>ROUND(AH60,2)</f>
        <v>0</v>
      </c>
      <c r="D765" s="276">
        <f>ROUND(AH61,0)</f>
        <v>0</v>
      </c>
      <c r="E765" s="276">
        <f>ROUND(AH62,0)</f>
        <v>0</v>
      </c>
      <c r="F765" s="276">
        <f>ROUND(AH63,0)</f>
        <v>0</v>
      </c>
      <c r="G765" s="276">
        <f>ROUND(AH64,0)</f>
        <v>0</v>
      </c>
      <c r="H765" s="276">
        <f>ROUND(AH65,0)</f>
        <v>0</v>
      </c>
      <c r="I765" s="276">
        <f>ROUND(AH66,0)</f>
        <v>0</v>
      </c>
      <c r="J765" s="276">
        <f>ROUND(AH67,0)</f>
        <v>0</v>
      </c>
      <c r="K765" s="276">
        <f>ROUND(AH68,0)</f>
        <v>0</v>
      </c>
      <c r="L765" s="276">
        <f>ROUND(AH69,0)</f>
        <v>0</v>
      </c>
      <c r="M765" s="276">
        <f>ROUND(AH70,0)</f>
        <v>0</v>
      </c>
      <c r="N765" s="276">
        <f>ROUND(AH75,0)</f>
        <v>0</v>
      </c>
      <c r="O765" s="276">
        <f>ROUND(AH73,0)</f>
        <v>0</v>
      </c>
      <c r="P765" s="276">
        <f>IF(AH76&gt;0,ROUND(AH76,0),0)</f>
        <v>0</v>
      </c>
      <c r="Q765" s="276">
        <f>IF(AH77&gt;0,ROUND(AH77,0),0)</f>
        <v>0</v>
      </c>
      <c r="R765" s="276">
        <f>IF(AH78&gt;0,ROUND(AH78,0),0)</f>
        <v>0</v>
      </c>
      <c r="S765" s="276">
        <f>IF(AH79&gt;0,ROUND(AH79,0),0)</f>
        <v>0</v>
      </c>
      <c r="T765" s="278">
        <f>IF(AH80&gt;0,ROUND(AH80,2),0)</f>
        <v>0</v>
      </c>
      <c r="U765" s="276"/>
      <c r="V765" s="277"/>
      <c r="W765" s="276"/>
      <c r="X765" s="276"/>
      <c r="Y765" s="276">
        <f t="shared" si="21"/>
        <v>0</v>
      </c>
      <c r="Z765" s="277"/>
      <c r="AA765" s="277"/>
      <c r="AB765" s="277"/>
      <c r="AC765" s="277"/>
      <c r="AD765" s="277"/>
      <c r="AE765" s="277"/>
      <c r="AF765" s="277"/>
      <c r="AG765" s="277"/>
      <c r="AH765" s="277"/>
      <c r="AI765" s="277"/>
      <c r="AJ765" s="277"/>
      <c r="AK765" s="277"/>
      <c r="AL765" s="277"/>
      <c r="AM765" s="277"/>
      <c r="AN765" s="277"/>
      <c r="AO765" s="277"/>
      <c r="AP765" s="277"/>
      <c r="AQ765" s="277"/>
      <c r="AR765" s="277"/>
      <c r="AS765" s="277"/>
      <c r="AT765" s="277"/>
      <c r="AU765" s="277"/>
      <c r="AV765" s="277"/>
      <c r="AW765" s="277"/>
      <c r="AX765" s="277"/>
      <c r="AY765" s="277"/>
      <c r="AZ765" s="277"/>
      <c r="BA765" s="277"/>
      <c r="BB765" s="277"/>
      <c r="BC765" s="277"/>
      <c r="BD765" s="277"/>
      <c r="BE765" s="277"/>
      <c r="BF765" s="277"/>
      <c r="BG765" s="277"/>
      <c r="BH765" s="277"/>
      <c r="BI765" s="277"/>
      <c r="BJ765" s="277"/>
      <c r="BK765" s="277"/>
      <c r="BL765" s="277"/>
      <c r="BM765" s="277"/>
      <c r="BN765" s="277"/>
      <c r="BO765" s="277"/>
      <c r="BP765" s="277"/>
      <c r="BQ765" s="277"/>
      <c r="BR765" s="277"/>
      <c r="BS765" s="277"/>
      <c r="BT765" s="277"/>
      <c r="BU765" s="277"/>
      <c r="BV765" s="277"/>
      <c r="BW765" s="277"/>
      <c r="BX765" s="277"/>
      <c r="BY765" s="277"/>
      <c r="BZ765" s="277"/>
      <c r="CA765" s="277"/>
      <c r="CB765" s="277"/>
      <c r="CC765" s="277"/>
      <c r="CD765" s="277"/>
      <c r="CE765" s="277"/>
    </row>
    <row r="766" spans="1:83" ht="12.65" customHeight="1" x14ac:dyDescent="0.35">
      <c r="A766" s="209" t="str">
        <f>RIGHT($C$83,3)&amp;"*"&amp;RIGHT($C$82,4)&amp;"*"&amp;AI$55&amp;"*"&amp;"A"</f>
        <v>164*2021*7250*A</v>
      </c>
      <c r="B766" s="276">
        <f>ROUND(AI59,0)</f>
        <v>0</v>
      </c>
      <c r="C766" s="278">
        <f>ROUND(AI60,2)</f>
        <v>0</v>
      </c>
      <c r="D766" s="276">
        <f>ROUND(AI61,0)</f>
        <v>0</v>
      </c>
      <c r="E766" s="276">
        <f>ROUND(AI62,0)</f>
        <v>0</v>
      </c>
      <c r="F766" s="276">
        <f>ROUND(AI63,0)</f>
        <v>0</v>
      </c>
      <c r="G766" s="276">
        <f>ROUND(AI64,0)</f>
        <v>0</v>
      </c>
      <c r="H766" s="276">
        <f>ROUND(AI65,0)</f>
        <v>0</v>
      </c>
      <c r="I766" s="276">
        <f>ROUND(AI66,0)</f>
        <v>0</v>
      </c>
      <c r="J766" s="276">
        <f>ROUND(AI67,0)</f>
        <v>0</v>
      </c>
      <c r="K766" s="276">
        <f>ROUND(AI68,0)</f>
        <v>0</v>
      </c>
      <c r="L766" s="276">
        <f>ROUND(AI69,0)</f>
        <v>0</v>
      </c>
      <c r="M766" s="276">
        <f>ROUND(AI70,0)</f>
        <v>0</v>
      </c>
      <c r="N766" s="276">
        <f>ROUND(AI75,0)</f>
        <v>0</v>
      </c>
      <c r="O766" s="276">
        <f>ROUND(AI73,0)</f>
        <v>0</v>
      </c>
      <c r="P766" s="276">
        <f>IF(AI76&gt;0,ROUND(AI76,0),0)</f>
        <v>0</v>
      </c>
      <c r="Q766" s="276">
        <f>IF(AI77&gt;0,ROUND(AI77,0),0)</f>
        <v>0</v>
      </c>
      <c r="R766" s="276">
        <f>IF(AI78&gt;0,ROUND(AI78,0),0)</f>
        <v>0</v>
      </c>
      <c r="S766" s="276">
        <f>IF(AI79&gt;0,ROUND(AI79,0),0)</f>
        <v>0</v>
      </c>
      <c r="T766" s="278">
        <f>IF(AI80&gt;0,ROUND(AI80,2),0)</f>
        <v>0</v>
      </c>
      <c r="U766" s="276"/>
      <c r="V766" s="277"/>
      <c r="W766" s="276"/>
      <c r="X766" s="276"/>
      <c r="Y766" s="276">
        <f t="shared" si="21"/>
        <v>0</v>
      </c>
      <c r="Z766" s="277"/>
      <c r="AA766" s="277"/>
      <c r="AB766" s="277"/>
      <c r="AC766" s="277"/>
      <c r="AD766" s="277"/>
      <c r="AE766" s="277"/>
      <c r="AF766" s="277"/>
      <c r="AG766" s="277"/>
      <c r="AH766" s="277"/>
      <c r="AI766" s="277"/>
      <c r="AJ766" s="277"/>
      <c r="AK766" s="277"/>
      <c r="AL766" s="277"/>
      <c r="AM766" s="277"/>
      <c r="AN766" s="277"/>
      <c r="AO766" s="277"/>
      <c r="AP766" s="277"/>
      <c r="AQ766" s="277"/>
      <c r="AR766" s="277"/>
      <c r="AS766" s="277"/>
      <c r="AT766" s="277"/>
      <c r="AU766" s="277"/>
      <c r="AV766" s="277"/>
      <c r="AW766" s="277"/>
      <c r="AX766" s="277"/>
      <c r="AY766" s="277"/>
      <c r="AZ766" s="277"/>
      <c r="BA766" s="277"/>
      <c r="BB766" s="277"/>
      <c r="BC766" s="277"/>
      <c r="BD766" s="277"/>
      <c r="BE766" s="277"/>
      <c r="BF766" s="277"/>
      <c r="BG766" s="277"/>
      <c r="BH766" s="277"/>
      <c r="BI766" s="277"/>
      <c r="BJ766" s="277"/>
      <c r="BK766" s="277"/>
      <c r="BL766" s="277"/>
      <c r="BM766" s="277"/>
      <c r="BN766" s="277"/>
      <c r="BO766" s="277"/>
      <c r="BP766" s="277"/>
      <c r="BQ766" s="277"/>
      <c r="BR766" s="277"/>
      <c r="BS766" s="277"/>
      <c r="BT766" s="277"/>
      <c r="BU766" s="277"/>
      <c r="BV766" s="277"/>
      <c r="BW766" s="277"/>
      <c r="BX766" s="277"/>
      <c r="BY766" s="277"/>
      <c r="BZ766" s="277"/>
      <c r="CA766" s="277"/>
      <c r="CB766" s="277"/>
      <c r="CC766" s="277"/>
      <c r="CD766" s="277"/>
      <c r="CE766" s="277"/>
    </row>
    <row r="767" spans="1:83" ht="12.65" customHeight="1" x14ac:dyDescent="0.35">
      <c r="A767" s="209" t="str">
        <f>RIGHT($C$83,3)&amp;"*"&amp;RIGHT($C$82,4)&amp;"*"&amp;AJ$55&amp;"*"&amp;"A"</f>
        <v>164*2021*7260*A</v>
      </c>
      <c r="B767" s="276">
        <f>ROUND(AJ59,0)</f>
        <v>281820</v>
      </c>
      <c r="C767" s="278">
        <f>ROUND(AJ60,2)</f>
        <v>471.51</v>
      </c>
      <c r="D767" s="276">
        <f>ROUND(AJ61,0)</f>
        <v>77260345</v>
      </c>
      <c r="E767" s="276">
        <f>ROUND(AJ62,0)</f>
        <v>13834081</v>
      </c>
      <c r="F767" s="276">
        <f>ROUND(AJ63,0)</f>
        <v>1078964</v>
      </c>
      <c r="G767" s="276">
        <f>ROUND(AJ64,0)</f>
        <v>5650448</v>
      </c>
      <c r="H767" s="276">
        <f>ROUND(AJ65,0)</f>
        <v>110130</v>
      </c>
      <c r="I767" s="276">
        <f>ROUND(AJ66,0)</f>
        <v>1090478</v>
      </c>
      <c r="J767" s="276">
        <f>ROUND(AJ67,0)</f>
        <v>3147027</v>
      </c>
      <c r="K767" s="276">
        <f>ROUND(AJ68,0)</f>
        <v>109883</v>
      </c>
      <c r="L767" s="276">
        <f>ROUND(AJ69,0)</f>
        <v>1094384</v>
      </c>
      <c r="M767" s="276">
        <f>ROUND(AJ70,0)</f>
        <v>3266478</v>
      </c>
      <c r="N767" s="276">
        <f>ROUND(AJ75,0)</f>
        <v>199387508</v>
      </c>
      <c r="O767" s="276">
        <f>ROUND(AJ73,0)</f>
        <v>28153211</v>
      </c>
      <c r="P767" s="276">
        <f>IF(AJ76&gt;0,ROUND(AJ76,0),0)</f>
        <v>144637</v>
      </c>
      <c r="Q767" s="276">
        <f>IF(AJ77&gt;0,ROUND(AJ77,0),0)</f>
        <v>0</v>
      </c>
      <c r="R767" s="276">
        <f>IF(AJ78&gt;0,ROUND(AJ78,0),0)</f>
        <v>18418</v>
      </c>
      <c r="S767" s="276">
        <f>IF(AJ79&gt;0,ROUND(AJ79,0),0)</f>
        <v>88729</v>
      </c>
      <c r="T767" s="278">
        <f>IF(AJ80&gt;0,ROUND(AJ80,2),0)</f>
        <v>53.62</v>
      </c>
      <c r="U767" s="276"/>
      <c r="V767" s="277"/>
      <c r="W767" s="276"/>
      <c r="X767" s="276"/>
      <c r="Y767" s="276">
        <f t="shared" si="21"/>
        <v>23489876</v>
      </c>
      <c r="Z767" s="277"/>
      <c r="AA767" s="277"/>
      <c r="AB767" s="277"/>
      <c r="AC767" s="277"/>
      <c r="AD767" s="277"/>
      <c r="AE767" s="277"/>
      <c r="AF767" s="277"/>
      <c r="AG767" s="277"/>
      <c r="AH767" s="277"/>
      <c r="AI767" s="277"/>
      <c r="AJ767" s="277"/>
      <c r="AK767" s="277"/>
      <c r="AL767" s="277"/>
      <c r="AM767" s="277"/>
      <c r="AN767" s="277"/>
      <c r="AO767" s="277"/>
      <c r="AP767" s="277"/>
      <c r="AQ767" s="277"/>
      <c r="AR767" s="277"/>
      <c r="AS767" s="277"/>
      <c r="AT767" s="277"/>
      <c r="AU767" s="277"/>
      <c r="AV767" s="277"/>
      <c r="AW767" s="277"/>
      <c r="AX767" s="277"/>
      <c r="AY767" s="277"/>
      <c r="AZ767" s="277"/>
      <c r="BA767" s="277"/>
      <c r="BB767" s="277"/>
      <c r="BC767" s="277"/>
      <c r="BD767" s="277"/>
      <c r="BE767" s="277"/>
      <c r="BF767" s="277"/>
      <c r="BG767" s="277"/>
      <c r="BH767" s="277"/>
      <c r="BI767" s="277"/>
      <c r="BJ767" s="277"/>
      <c r="BK767" s="277"/>
      <c r="BL767" s="277"/>
      <c r="BM767" s="277"/>
      <c r="BN767" s="277"/>
      <c r="BO767" s="277"/>
      <c r="BP767" s="277"/>
      <c r="BQ767" s="277"/>
      <c r="BR767" s="277"/>
      <c r="BS767" s="277"/>
      <c r="BT767" s="277"/>
      <c r="BU767" s="277"/>
      <c r="BV767" s="277"/>
      <c r="BW767" s="277"/>
      <c r="BX767" s="277"/>
      <c r="BY767" s="277"/>
      <c r="BZ767" s="277"/>
      <c r="CA767" s="277"/>
      <c r="CB767" s="277"/>
      <c r="CC767" s="277"/>
      <c r="CD767" s="277"/>
      <c r="CE767" s="277"/>
    </row>
    <row r="768" spans="1:83" ht="12.65" customHeight="1" x14ac:dyDescent="0.35">
      <c r="A768" s="209" t="str">
        <f>RIGHT($C$83,3)&amp;"*"&amp;RIGHT($C$82,4)&amp;"*"&amp;AK$55&amp;"*"&amp;"A"</f>
        <v>164*2021*7310*A</v>
      </c>
      <c r="B768" s="276">
        <f>ROUND(AK59,0)</f>
        <v>0</v>
      </c>
      <c r="C768" s="278">
        <f>ROUND(AK60,2)</f>
        <v>0</v>
      </c>
      <c r="D768" s="276">
        <f>ROUND(AK61,0)</f>
        <v>0</v>
      </c>
      <c r="E768" s="276">
        <f>ROUND(AK62,0)</f>
        <v>0</v>
      </c>
      <c r="F768" s="276">
        <f>ROUND(AK63,0)</f>
        <v>0</v>
      </c>
      <c r="G768" s="276">
        <f>ROUND(AK64,0)</f>
        <v>0</v>
      </c>
      <c r="H768" s="276">
        <f>ROUND(AK65,0)</f>
        <v>0</v>
      </c>
      <c r="I768" s="276">
        <f>ROUND(AK66,0)</f>
        <v>0</v>
      </c>
      <c r="J768" s="276">
        <f>ROUND(AK67,0)</f>
        <v>0</v>
      </c>
      <c r="K768" s="276">
        <f>ROUND(AK68,0)</f>
        <v>0</v>
      </c>
      <c r="L768" s="276">
        <f>ROUND(AK69,0)</f>
        <v>0</v>
      </c>
      <c r="M768" s="276">
        <f>ROUND(AK70,0)</f>
        <v>0</v>
      </c>
      <c r="N768" s="276">
        <f>ROUND(AK75,0)</f>
        <v>0</v>
      </c>
      <c r="O768" s="276">
        <f>ROUND(AK73,0)</f>
        <v>0</v>
      </c>
      <c r="P768" s="276">
        <f>IF(AK76&gt;0,ROUND(AK76,0),0)</f>
        <v>0</v>
      </c>
      <c r="Q768" s="276">
        <f>IF(AK77&gt;0,ROUND(AK77,0),0)</f>
        <v>0</v>
      </c>
      <c r="R768" s="276">
        <f>IF(AK78&gt;0,ROUND(AK78,0),0)</f>
        <v>0</v>
      </c>
      <c r="S768" s="276">
        <f>IF(AK79&gt;0,ROUND(AK79,0),0)</f>
        <v>0</v>
      </c>
      <c r="T768" s="278">
        <f>IF(AK80&gt;0,ROUND(AK80,2),0)</f>
        <v>0</v>
      </c>
      <c r="U768" s="276"/>
      <c r="V768" s="277"/>
      <c r="W768" s="276"/>
      <c r="X768" s="276"/>
      <c r="Y768" s="276">
        <f t="shared" si="21"/>
        <v>0</v>
      </c>
      <c r="Z768" s="277"/>
      <c r="AA768" s="277"/>
      <c r="AB768" s="277"/>
      <c r="AC768" s="277"/>
      <c r="AD768" s="277"/>
      <c r="AE768" s="277"/>
      <c r="AF768" s="277"/>
      <c r="AG768" s="277"/>
      <c r="AH768" s="277"/>
      <c r="AI768" s="277"/>
      <c r="AJ768" s="277"/>
      <c r="AK768" s="277"/>
      <c r="AL768" s="277"/>
      <c r="AM768" s="277"/>
      <c r="AN768" s="277"/>
      <c r="AO768" s="277"/>
      <c r="AP768" s="277"/>
      <c r="AQ768" s="277"/>
      <c r="AR768" s="277"/>
      <c r="AS768" s="277"/>
      <c r="AT768" s="277"/>
      <c r="AU768" s="277"/>
      <c r="AV768" s="277"/>
      <c r="AW768" s="277"/>
      <c r="AX768" s="277"/>
      <c r="AY768" s="277"/>
      <c r="AZ768" s="277"/>
      <c r="BA768" s="277"/>
      <c r="BB768" s="277"/>
      <c r="BC768" s="277"/>
      <c r="BD768" s="277"/>
      <c r="BE768" s="277"/>
      <c r="BF768" s="277"/>
      <c r="BG768" s="277"/>
      <c r="BH768" s="277"/>
      <c r="BI768" s="277"/>
      <c r="BJ768" s="277"/>
      <c r="BK768" s="277"/>
      <c r="BL768" s="277"/>
      <c r="BM768" s="277"/>
      <c r="BN768" s="277"/>
      <c r="BO768" s="277"/>
      <c r="BP768" s="277"/>
      <c r="BQ768" s="277"/>
      <c r="BR768" s="277"/>
      <c r="BS768" s="277"/>
      <c r="BT768" s="277"/>
      <c r="BU768" s="277"/>
      <c r="BV768" s="277"/>
      <c r="BW768" s="277"/>
      <c r="BX768" s="277"/>
      <c r="BY768" s="277"/>
      <c r="BZ768" s="277"/>
      <c r="CA768" s="277"/>
      <c r="CB768" s="277"/>
      <c r="CC768" s="277"/>
      <c r="CD768" s="277"/>
      <c r="CE768" s="277"/>
    </row>
    <row r="769" spans="1:83" ht="12.65" customHeight="1" x14ac:dyDescent="0.35">
      <c r="A769" s="209" t="str">
        <f>RIGHT($C$83,3)&amp;"*"&amp;RIGHT($C$82,4)&amp;"*"&amp;AL$55&amp;"*"&amp;"A"</f>
        <v>164*2021*7320*A</v>
      </c>
      <c r="B769" s="276">
        <f>ROUND(AL59,0)</f>
        <v>0</v>
      </c>
      <c r="C769" s="278">
        <f>ROUND(AL60,2)</f>
        <v>0</v>
      </c>
      <c r="D769" s="276">
        <f>ROUND(AL61,0)</f>
        <v>0</v>
      </c>
      <c r="E769" s="276">
        <f>ROUND(AL62,0)</f>
        <v>0</v>
      </c>
      <c r="F769" s="276">
        <f>ROUND(AL63,0)</f>
        <v>0</v>
      </c>
      <c r="G769" s="276">
        <f>ROUND(AL64,0)</f>
        <v>0</v>
      </c>
      <c r="H769" s="276">
        <f>ROUND(AL65,0)</f>
        <v>0</v>
      </c>
      <c r="I769" s="276">
        <f>ROUND(AL66,0)</f>
        <v>0</v>
      </c>
      <c r="J769" s="276">
        <f>ROUND(AL67,0)</f>
        <v>0</v>
      </c>
      <c r="K769" s="276">
        <f>ROUND(AL68,0)</f>
        <v>0</v>
      </c>
      <c r="L769" s="276">
        <f>ROUND(AL69,0)</f>
        <v>0</v>
      </c>
      <c r="M769" s="276">
        <f>ROUND(AL70,0)</f>
        <v>0</v>
      </c>
      <c r="N769" s="276">
        <f>ROUND(AL75,0)</f>
        <v>0</v>
      </c>
      <c r="O769" s="276">
        <f>ROUND(AL73,0)</f>
        <v>0</v>
      </c>
      <c r="P769" s="276">
        <f>IF(AL76&gt;0,ROUND(AL76,0),0)</f>
        <v>0</v>
      </c>
      <c r="Q769" s="276">
        <f>IF(AL77&gt;0,ROUND(AL77,0),0)</f>
        <v>0</v>
      </c>
      <c r="R769" s="276">
        <f>IF(AL78&gt;0,ROUND(AL78,0),0)</f>
        <v>0</v>
      </c>
      <c r="S769" s="276">
        <f>IF(AL79&gt;0,ROUND(AL79,0),0)</f>
        <v>0</v>
      </c>
      <c r="T769" s="278">
        <f>IF(AL80&gt;0,ROUND(AL80,2),0)</f>
        <v>0</v>
      </c>
      <c r="U769" s="276"/>
      <c r="V769" s="277"/>
      <c r="W769" s="276"/>
      <c r="X769" s="276"/>
      <c r="Y769" s="276">
        <f t="shared" si="21"/>
        <v>0</v>
      </c>
      <c r="Z769" s="277"/>
      <c r="AA769" s="277"/>
      <c r="AB769" s="277"/>
      <c r="AC769" s="277"/>
      <c r="AD769" s="277"/>
      <c r="AE769" s="277"/>
      <c r="AF769" s="277"/>
      <c r="AG769" s="277"/>
      <c r="AH769" s="277"/>
      <c r="AI769" s="277"/>
      <c r="AJ769" s="277"/>
      <c r="AK769" s="277"/>
      <c r="AL769" s="277"/>
      <c r="AM769" s="277"/>
      <c r="AN769" s="277"/>
      <c r="AO769" s="277"/>
      <c r="AP769" s="277"/>
      <c r="AQ769" s="277"/>
      <c r="AR769" s="277"/>
      <c r="AS769" s="277"/>
      <c r="AT769" s="277"/>
      <c r="AU769" s="277"/>
      <c r="AV769" s="277"/>
      <c r="AW769" s="277"/>
      <c r="AX769" s="277"/>
      <c r="AY769" s="277"/>
      <c r="AZ769" s="277"/>
      <c r="BA769" s="277"/>
      <c r="BB769" s="277"/>
      <c r="BC769" s="277"/>
      <c r="BD769" s="277"/>
      <c r="BE769" s="277"/>
      <c r="BF769" s="277"/>
      <c r="BG769" s="277"/>
      <c r="BH769" s="277"/>
      <c r="BI769" s="277"/>
      <c r="BJ769" s="277"/>
      <c r="BK769" s="277"/>
      <c r="BL769" s="277"/>
      <c r="BM769" s="277"/>
      <c r="BN769" s="277"/>
      <c r="BO769" s="277"/>
      <c r="BP769" s="277"/>
      <c r="BQ769" s="277"/>
      <c r="BR769" s="277"/>
      <c r="BS769" s="277"/>
      <c r="BT769" s="277"/>
      <c r="BU769" s="277"/>
      <c r="BV769" s="277"/>
      <c r="BW769" s="277"/>
      <c r="BX769" s="277"/>
      <c r="BY769" s="277"/>
      <c r="BZ769" s="277"/>
      <c r="CA769" s="277"/>
      <c r="CB769" s="277"/>
      <c r="CC769" s="277"/>
      <c r="CD769" s="277"/>
      <c r="CE769" s="277"/>
    </row>
    <row r="770" spans="1:83" ht="12.65" customHeight="1" x14ac:dyDescent="0.35">
      <c r="A770" s="209" t="str">
        <f>RIGHT($C$83,3)&amp;"*"&amp;RIGHT($C$82,4)&amp;"*"&amp;AM$55&amp;"*"&amp;"A"</f>
        <v>164*2021*7330*A</v>
      </c>
      <c r="B770" s="276">
        <f>ROUND(AM59,0)</f>
        <v>0</v>
      </c>
      <c r="C770" s="278">
        <f>ROUND(AM60,2)</f>
        <v>0</v>
      </c>
      <c r="D770" s="276">
        <f>ROUND(AM61,0)</f>
        <v>0</v>
      </c>
      <c r="E770" s="276">
        <f>ROUND(AM62,0)</f>
        <v>0</v>
      </c>
      <c r="F770" s="276">
        <f>ROUND(AM63,0)</f>
        <v>0</v>
      </c>
      <c r="G770" s="276">
        <f>ROUND(AM64,0)</f>
        <v>0</v>
      </c>
      <c r="H770" s="276">
        <f>ROUND(AM65,0)</f>
        <v>0</v>
      </c>
      <c r="I770" s="276">
        <f>ROUND(AM66,0)</f>
        <v>0</v>
      </c>
      <c r="J770" s="276">
        <f>ROUND(AM67,0)</f>
        <v>0</v>
      </c>
      <c r="K770" s="276">
        <f>ROUND(AM68,0)</f>
        <v>0</v>
      </c>
      <c r="L770" s="276">
        <f>ROUND(AM69,0)</f>
        <v>0</v>
      </c>
      <c r="M770" s="276">
        <f>ROUND(AM70,0)</f>
        <v>0</v>
      </c>
      <c r="N770" s="276">
        <f>ROUND(AM75,0)</f>
        <v>0</v>
      </c>
      <c r="O770" s="276">
        <f>ROUND(AM73,0)</f>
        <v>0</v>
      </c>
      <c r="P770" s="276">
        <f>IF(AM76&gt;0,ROUND(AM76,0),0)</f>
        <v>0</v>
      </c>
      <c r="Q770" s="276">
        <f>IF(AM77&gt;0,ROUND(AM77,0),0)</f>
        <v>0</v>
      </c>
      <c r="R770" s="276">
        <f>IF(AM78&gt;0,ROUND(AM78,0),0)</f>
        <v>0</v>
      </c>
      <c r="S770" s="276">
        <f>IF(AM79&gt;0,ROUND(AM79,0),0)</f>
        <v>0</v>
      </c>
      <c r="T770" s="278">
        <f>IF(AM80&gt;0,ROUND(AM80,2),0)</f>
        <v>0</v>
      </c>
      <c r="U770" s="276"/>
      <c r="V770" s="277"/>
      <c r="W770" s="276"/>
      <c r="X770" s="276"/>
      <c r="Y770" s="276">
        <f t="shared" si="21"/>
        <v>0</v>
      </c>
      <c r="Z770" s="277"/>
      <c r="AA770" s="277"/>
      <c r="AB770" s="277"/>
      <c r="AC770" s="277"/>
      <c r="AD770" s="277"/>
      <c r="AE770" s="277"/>
      <c r="AF770" s="277"/>
      <c r="AG770" s="277"/>
      <c r="AH770" s="277"/>
      <c r="AI770" s="277"/>
      <c r="AJ770" s="277"/>
      <c r="AK770" s="277"/>
      <c r="AL770" s="277"/>
      <c r="AM770" s="277"/>
      <c r="AN770" s="277"/>
      <c r="AO770" s="277"/>
      <c r="AP770" s="277"/>
      <c r="AQ770" s="277"/>
      <c r="AR770" s="277"/>
      <c r="AS770" s="277"/>
      <c r="AT770" s="277"/>
      <c r="AU770" s="277"/>
      <c r="AV770" s="277"/>
      <c r="AW770" s="277"/>
      <c r="AX770" s="277"/>
      <c r="AY770" s="277"/>
      <c r="AZ770" s="277"/>
      <c r="BA770" s="277"/>
      <c r="BB770" s="277"/>
      <c r="BC770" s="277"/>
      <c r="BD770" s="277"/>
      <c r="BE770" s="277"/>
      <c r="BF770" s="277"/>
      <c r="BG770" s="277"/>
      <c r="BH770" s="277"/>
      <c r="BI770" s="277"/>
      <c r="BJ770" s="277"/>
      <c r="BK770" s="277"/>
      <c r="BL770" s="277"/>
      <c r="BM770" s="277"/>
      <c r="BN770" s="277"/>
      <c r="BO770" s="277"/>
      <c r="BP770" s="277"/>
      <c r="BQ770" s="277"/>
      <c r="BR770" s="277"/>
      <c r="BS770" s="277"/>
      <c r="BT770" s="277"/>
      <c r="BU770" s="277"/>
      <c r="BV770" s="277"/>
      <c r="BW770" s="277"/>
      <c r="BX770" s="277"/>
      <c r="BY770" s="277"/>
      <c r="BZ770" s="277"/>
      <c r="CA770" s="277"/>
      <c r="CB770" s="277"/>
      <c r="CC770" s="277"/>
      <c r="CD770" s="277"/>
      <c r="CE770" s="277"/>
    </row>
    <row r="771" spans="1:83" ht="12.65" customHeight="1" x14ac:dyDescent="0.35">
      <c r="A771" s="209" t="str">
        <f>RIGHT($C$83,3)&amp;"*"&amp;RIGHT($C$82,4)&amp;"*"&amp;AN$55&amp;"*"&amp;"A"</f>
        <v>164*2021*7340*A</v>
      </c>
      <c r="B771" s="276">
        <f>ROUND(AN59,0)</f>
        <v>0</v>
      </c>
      <c r="C771" s="278">
        <f>ROUND(AN60,2)</f>
        <v>0</v>
      </c>
      <c r="D771" s="276">
        <f>ROUND(AN61,0)</f>
        <v>0</v>
      </c>
      <c r="E771" s="276">
        <f>ROUND(AN62,0)</f>
        <v>0</v>
      </c>
      <c r="F771" s="276">
        <f>ROUND(AN63,0)</f>
        <v>0</v>
      </c>
      <c r="G771" s="276">
        <f>ROUND(AN64,0)</f>
        <v>0</v>
      </c>
      <c r="H771" s="276">
        <f>ROUND(AN65,0)</f>
        <v>0</v>
      </c>
      <c r="I771" s="276">
        <f>ROUND(AN66,0)</f>
        <v>0</v>
      </c>
      <c r="J771" s="276">
        <f>ROUND(AN67,0)</f>
        <v>0</v>
      </c>
      <c r="K771" s="276">
        <f>ROUND(AN68,0)</f>
        <v>0</v>
      </c>
      <c r="L771" s="276">
        <f>ROUND(AN69,0)</f>
        <v>0</v>
      </c>
      <c r="M771" s="276">
        <f>ROUND(AN70,0)</f>
        <v>0</v>
      </c>
      <c r="N771" s="276">
        <f>ROUND(AN75,0)</f>
        <v>0</v>
      </c>
      <c r="O771" s="276">
        <f>ROUND(AN73,0)</f>
        <v>0</v>
      </c>
      <c r="P771" s="276">
        <f>IF(AN76&gt;0,ROUND(AN76,0),0)</f>
        <v>0</v>
      </c>
      <c r="Q771" s="276">
        <f>IF(AN77&gt;0,ROUND(AN77,0),0)</f>
        <v>0</v>
      </c>
      <c r="R771" s="276">
        <f>IF(AN78&gt;0,ROUND(AN78,0),0)</f>
        <v>0</v>
      </c>
      <c r="S771" s="276">
        <f>IF(AN79&gt;0,ROUND(AN79,0),0)</f>
        <v>0</v>
      </c>
      <c r="T771" s="278">
        <f>IF(AN80&gt;0,ROUND(AN80,2),0)</f>
        <v>0</v>
      </c>
      <c r="U771" s="276"/>
      <c r="V771" s="277"/>
      <c r="W771" s="276"/>
      <c r="X771" s="276"/>
      <c r="Y771" s="276">
        <f t="shared" si="21"/>
        <v>0</v>
      </c>
      <c r="Z771" s="277"/>
      <c r="AA771" s="277"/>
      <c r="AB771" s="277"/>
      <c r="AC771" s="277"/>
      <c r="AD771" s="277"/>
      <c r="AE771" s="277"/>
      <c r="AF771" s="277"/>
      <c r="AG771" s="277"/>
      <c r="AH771" s="277"/>
      <c r="AI771" s="277"/>
      <c r="AJ771" s="277"/>
      <c r="AK771" s="277"/>
      <c r="AL771" s="277"/>
      <c r="AM771" s="277"/>
      <c r="AN771" s="277"/>
      <c r="AO771" s="277"/>
      <c r="AP771" s="277"/>
      <c r="AQ771" s="277"/>
      <c r="AR771" s="277"/>
      <c r="AS771" s="277"/>
      <c r="AT771" s="277"/>
      <c r="AU771" s="277"/>
      <c r="AV771" s="277"/>
      <c r="AW771" s="277"/>
      <c r="AX771" s="277"/>
      <c r="AY771" s="277"/>
      <c r="AZ771" s="277"/>
      <c r="BA771" s="277"/>
      <c r="BB771" s="277"/>
      <c r="BC771" s="277"/>
      <c r="BD771" s="277"/>
      <c r="BE771" s="277"/>
      <c r="BF771" s="277"/>
      <c r="BG771" s="277"/>
      <c r="BH771" s="277"/>
      <c r="BI771" s="277"/>
      <c r="BJ771" s="277"/>
      <c r="BK771" s="277"/>
      <c r="BL771" s="277"/>
      <c r="BM771" s="277"/>
      <c r="BN771" s="277"/>
      <c r="BO771" s="277"/>
      <c r="BP771" s="277"/>
      <c r="BQ771" s="277"/>
      <c r="BR771" s="277"/>
      <c r="BS771" s="277"/>
      <c r="BT771" s="277"/>
      <c r="BU771" s="277"/>
      <c r="BV771" s="277"/>
      <c r="BW771" s="277"/>
      <c r="BX771" s="277"/>
      <c r="BY771" s="277"/>
      <c r="BZ771" s="277"/>
      <c r="CA771" s="277"/>
      <c r="CB771" s="277"/>
      <c r="CC771" s="277"/>
      <c r="CD771" s="277"/>
      <c r="CE771" s="277"/>
    </row>
    <row r="772" spans="1:83" ht="12.65" customHeight="1" x14ac:dyDescent="0.35">
      <c r="A772" s="209" t="str">
        <f>RIGHT($C$83,3)&amp;"*"&amp;RIGHT($C$82,4)&amp;"*"&amp;AO$55&amp;"*"&amp;"A"</f>
        <v>164*2021*7350*A</v>
      </c>
      <c r="B772" s="276">
        <f>ROUND(AO59,0)</f>
        <v>0</v>
      </c>
      <c r="C772" s="278">
        <f>ROUND(AO60,2)</f>
        <v>0</v>
      </c>
      <c r="D772" s="276">
        <f>ROUND(AO61,0)</f>
        <v>0</v>
      </c>
      <c r="E772" s="276">
        <f>ROUND(AO62,0)</f>
        <v>0</v>
      </c>
      <c r="F772" s="276">
        <f>ROUND(AO63,0)</f>
        <v>0</v>
      </c>
      <c r="G772" s="276">
        <f>ROUND(AO64,0)</f>
        <v>0</v>
      </c>
      <c r="H772" s="276">
        <f>ROUND(AO65,0)</f>
        <v>0</v>
      </c>
      <c r="I772" s="276">
        <f>ROUND(AO66,0)</f>
        <v>0</v>
      </c>
      <c r="J772" s="276">
        <f>ROUND(AO67,0)</f>
        <v>0</v>
      </c>
      <c r="K772" s="276">
        <f>ROUND(AO68,0)</f>
        <v>0</v>
      </c>
      <c r="L772" s="276">
        <f>ROUND(AO69,0)</f>
        <v>0</v>
      </c>
      <c r="M772" s="276">
        <f>ROUND(AO70,0)</f>
        <v>0</v>
      </c>
      <c r="N772" s="276">
        <f>ROUND(AO75,0)</f>
        <v>0</v>
      </c>
      <c r="O772" s="276">
        <f>ROUND(AO73,0)</f>
        <v>0</v>
      </c>
      <c r="P772" s="276">
        <f>IF(AO76&gt;0,ROUND(AO76,0),0)</f>
        <v>0</v>
      </c>
      <c r="Q772" s="276">
        <f>IF(AO77&gt;0,ROUND(AO77,0),0)</f>
        <v>0</v>
      </c>
      <c r="R772" s="276">
        <f>IF(AO78&gt;0,ROUND(AO78,0),0)</f>
        <v>0</v>
      </c>
      <c r="S772" s="276">
        <f>IF(AO79&gt;0,ROUND(AO79,0),0)</f>
        <v>0</v>
      </c>
      <c r="T772" s="278">
        <f>IF(AO80&gt;0,ROUND(AO80,2),0)</f>
        <v>0</v>
      </c>
      <c r="U772" s="276"/>
      <c r="V772" s="277"/>
      <c r="W772" s="276"/>
      <c r="X772" s="276"/>
      <c r="Y772" s="276">
        <f t="shared" si="21"/>
        <v>0</v>
      </c>
      <c r="Z772" s="277"/>
      <c r="AA772" s="277"/>
      <c r="AB772" s="277"/>
      <c r="AC772" s="277"/>
      <c r="AD772" s="277"/>
      <c r="AE772" s="277"/>
      <c r="AF772" s="277"/>
      <c r="AG772" s="277"/>
      <c r="AH772" s="277"/>
      <c r="AI772" s="277"/>
      <c r="AJ772" s="277"/>
      <c r="AK772" s="277"/>
      <c r="AL772" s="277"/>
      <c r="AM772" s="277"/>
      <c r="AN772" s="277"/>
      <c r="AO772" s="277"/>
      <c r="AP772" s="277"/>
      <c r="AQ772" s="277"/>
      <c r="AR772" s="277"/>
      <c r="AS772" s="277"/>
      <c r="AT772" s="277"/>
      <c r="AU772" s="277"/>
      <c r="AV772" s="277"/>
      <c r="AW772" s="277"/>
      <c r="AX772" s="277"/>
      <c r="AY772" s="277"/>
      <c r="AZ772" s="277"/>
      <c r="BA772" s="277"/>
      <c r="BB772" s="277"/>
      <c r="BC772" s="277"/>
      <c r="BD772" s="277"/>
      <c r="BE772" s="277"/>
      <c r="BF772" s="277"/>
      <c r="BG772" s="277"/>
      <c r="BH772" s="277"/>
      <c r="BI772" s="277"/>
      <c r="BJ772" s="277"/>
      <c r="BK772" s="277"/>
      <c r="BL772" s="277"/>
      <c r="BM772" s="277"/>
      <c r="BN772" s="277"/>
      <c r="BO772" s="277"/>
      <c r="BP772" s="277"/>
      <c r="BQ772" s="277"/>
      <c r="BR772" s="277"/>
      <c r="BS772" s="277"/>
      <c r="BT772" s="277"/>
      <c r="BU772" s="277"/>
      <c r="BV772" s="277"/>
      <c r="BW772" s="277"/>
      <c r="BX772" s="277"/>
      <c r="BY772" s="277"/>
      <c r="BZ772" s="277"/>
      <c r="CA772" s="277"/>
      <c r="CB772" s="277"/>
      <c r="CC772" s="277"/>
      <c r="CD772" s="277"/>
      <c r="CE772" s="277"/>
    </row>
    <row r="773" spans="1:83" ht="12.65" customHeight="1" x14ac:dyDescent="0.35">
      <c r="A773" s="209" t="str">
        <f>RIGHT($C$83,3)&amp;"*"&amp;RIGHT($C$82,4)&amp;"*"&amp;AP$55&amp;"*"&amp;"A"</f>
        <v>164*2021*7380*A</v>
      </c>
      <c r="B773" s="276">
        <f>ROUND(AP59,0)</f>
        <v>363714</v>
      </c>
      <c r="C773" s="278">
        <f>ROUND(AP60,2)</f>
        <v>393.56</v>
      </c>
      <c r="D773" s="276">
        <f>ROUND(AP61,0)</f>
        <v>50022361</v>
      </c>
      <c r="E773" s="276">
        <f>ROUND(AP62,0)</f>
        <v>10050856</v>
      </c>
      <c r="F773" s="276">
        <f>ROUND(AP63,0)</f>
        <v>5701848</v>
      </c>
      <c r="G773" s="276">
        <f>ROUND(AP64,0)</f>
        <v>5106941</v>
      </c>
      <c r="H773" s="276">
        <f>ROUND(AP65,0)</f>
        <v>201269</v>
      </c>
      <c r="I773" s="276">
        <f>ROUND(AP66,0)</f>
        <v>1459181</v>
      </c>
      <c r="J773" s="276">
        <f>ROUND(AP67,0)</f>
        <v>2893094</v>
      </c>
      <c r="K773" s="276">
        <f>ROUND(AP68,0)</f>
        <v>6322616</v>
      </c>
      <c r="L773" s="276">
        <f>ROUND(AP69,0)</f>
        <v>1053389</v>
      </c>
      <c r="M773" s="276">
        <f>ROUND(AP70,0)</f>
        <v>2990683</v>
      </c>
      <c r="N773" s="276">
        <f>ROUND(AP75,0)</f>
        <v>134031508</v>
      </c>
      <c r="O773" s="276">
        <f>ROUND(AP73,0)</f>
        <v>4201996</v>
      </c>
      <c r="P773" s="276">
        <f>IF(AP76&gt;0,ROUND(AP76,0),0)</f>
        <v>45968</v>
      </c>
      <c r="Q773" s="276">
        <f>IF(AP77&gt;0,ROUND(AP77,0),0)</f>
        <v>0</v>
      </c>
      <c r="R773" s="276">
        <f>IF(AP78&gt;0,ROUND(AP78,0),0)</f>
        <v>5854</v>
      </c>
      <c r="S773" s="276">
        <f>IF(AP79&gt;0,ROUND(AP79,0),0)</f>
        <v>0</v>
      </c>
      <c r="T773" s="278">
        <f>IF(AP80&gt;0,ROUND(AP80,2),0)</f>
        <v>15.41</v>
      </c>
      <c r="U773" s="276"/>
      <c r="V773" s="277"/>
      <c r="W773" s="276"/>
      <c r="X773" s="276"/>
      <c r="Y773" s="276">
        <f t="shared" si="21"/>
        <v>15256823</v>
      </c>
      <c r="Z773" s="277"/>
      <c r="AA773" s="277"/>
      <c r="AB773" s="277"/>
      <c r="AC773" s="277"/>
      <c r="AD773" s="277"/>
      <c r="AE773" s="277"/>
      <c r="AF773" s="277"/>
      <c r="AG773" s="277"/>
      <c r="AH773" s="277"/>
      <c r="AI773" s="277"/>
      <c r="AJ773" s="277"/>
      <c r="AK773" s="277"/>
      <c r="AL773" s="277"/>
      <c r="AM773" s="277"/>
      <c r="AN773" s="277"/>
      <c r="AO773" s="277"/>
      <c r="AP773" s="277"/>
      <c r="AQ773" s="277"/>
      <c r="AR773" s="277"/>
      <c r="AS773" s="277"/>
      <c r="AT773" s="277"/>
      <c r="AU773" s="277"/>
      <c r="AV773" s="277"/>
      <c r="AW773" s="277"/>
      <c r="AX773" s="277"/>
      <c r="AY773" s="277"/>
      <c r="AZ773" s="277"/>
      <c r="BA773" s="277"/>
      <c r="BB773" s="277"/>
      <c r="BC773" s="277"/>
      <c r="BD773" s="277"/>
      <c r="BE773" s="277"/>
      <c r="BF773" s="277"/>
      <c r="BG773" s="277"/>
      <c r="BH773" s="277"/>
      <c r="BI773" s="277"/>
      <c r="BJ773" s="277"/>
      <c r="BK773" s="277"/>
      <c r="BL773" s="277"/>
      <c r="BM773" s="277"/>
      <c r="BN773" s="277"/>
      <c r="BO773" s="277"/>
      <c r="BP773" s="277"/>
      <c r="BQ773" s="277"/>
      <c r="BR773" s="277"/>
      <c r="BS773" s="277"/>
      <c r="BT773" s="277"/>
      <c r="BU773" s="277"/>
      <c r="BV773" s="277"/>
      <c r="BW773" s="277"/>
      <c r="BX773" s="277"/>
      <c r="BY773" s="277"/>
      <c r="BZ773" s="277"/>
      <c r="CA773" s="277"/>
      <c r="CB773" s="277"/>
      <c r="CC773" s="277"/>
      <c r="CD773" s="277"/>
      <c r="CE773" s="277"/>
    </row>
    <row r="774" spans="1:83" ht="12.65" customHeight="1" x14ac:dyDescent="0.35">
      <c r="A774" s="209" t="str">
        <f>RIGHT($C$83,3)&amp;"*"&amp;RIGHT($C$82,4)&amp;"*"&amp;AQ$55&amp;"*"&amp;"A"</f>
        <v>164*2021*7390*A</v>
      </c>
      <c r="B774" s="276">
        <f>ROUND(AQ59,0)</f>
        <v>0</v>
      </c>
      <c r="C774" s="278">
        <f>ROUND(AQ60,2)</f>
        <v>0</v>
      </c>
      <c r="D774" s="276">
        <f>ROUND(AQ61,0)</f>
        <v>0</v>
      </c>
      <c r="E774" s="276">
        <f>ROUND(AQ62,0)</f>
        <v>0</v>
      </c>
      <c r="F774" s="276">
        <f>ROUND(AQ63,0)</f>
        <v>0</v>
      </c>
      <c r="G774" s="276">
        <f>ROUND(AQ64,0)</f>
        <v>0</v>
      </c>
      <c r="H774" s="276">
        <f>ROUND(AQ65,0)</f>
        <v>0</v>
      </c>
      <c r="I774" s="276">
        <f>ROUND(AQ66,0)</f>
        <v>0</v>
      </c>
      <c r="J774" s="276">
        <f>ROUND(AQ67,0)</f>
        <v>0</v>
      </c>
      <c r="K774" s="276">
        <f>ROUND(AQ68,0)</f>
        <v>0</v>
      </c>
      <c r="L774" s="276">
        <f>ROUND(AQ69,0)</f>
        <v>0</v>
      </c>
      <c r="M774" s="276">
        <f>ROUND(AQ70,0)</f>
        <v>0</v>
      </c>
      <c r="N774" s="276">
        <f>ROUND(AQ75,0)</f>
        <v>0</v>
      </c>
      <c r="O774" s="276">
        <f>ROUND(AQ73,0)</f>
        <v>0</v>
      </c>
      <c r="P774" s="276">
        <f>IF(AQ76&gt;0,ROUND(AQ76,0),0)</f>
        <v>0</v>
      </c>
      <c r="Q774" s="276">
        <f>IF(AQ77&gt;0,ROUND(AQ77,0),0)</f>
        <v>0</v>
      </c>
      <c r="R774" s="276">
        <f>IF(AQ78&gt;0,ROUND(AQ78,0),0)</f>
        <v>0</v>
      </c>
      <c r="S774" s="276">
        <f>IF(AQ79&gt;0,ROUND(AQ79,0),0)</f>
        <v>0</v>
      </c>
      <c r="T774" s="278">
        <f>IF(AQ80&gt;0,ROUND(AQ80,2),0)</f>
        <v>0</v>
      </c>
      <c r="U774" s="276"/>
      <c r="V774" s="277"/>
      <c r="W774" s="276"/>
      <c r="X774" s="276"/>
      <c r="Y774" s="276">
        <f t="shared" si="21"/>
        <v>0</v>
      </c>
      <c r="Z774" s="277"/>
      <c r="AA774" s="277"/>
      <c r="AB774" s="277"/>
      <c r="AC774" s="277"/>
      <c r="AD774" s="277"/>
      <c r="AE774" s="277"/>
      <c r="AF774" s="277"/>
      <c r="AG774" s="277"/>
      <c r="AH774" s="277"/>
      <c r="AI774" s="277"/>
      <c r="AJ774" s="277"/>
      <c r="AK774" s="277"/>
      <c r="AL774" s="277"/>
      <c r="AM774" s="277"/>
      <c r="AN774" s="277"/>
      <c r="AO774" s="277"/>
      <c r="AP774" s="277"/>
      <c r="AQ774" s="277"/>
      <c r="AR774" s="277"/>
      <c r="AS774" s="277"/>
      <c r="AT774" s="277"/>
      <c r="AU774" s="277"/>
      <c r="AV774" s="277"/>
      <c r="AW774" s="277"/>
      <c r="AX774" s="277"/>
      <c r="AY774" s="277"/>
      <c r="AZ774" s="277"/>
      <c r="BA774" s="277"/>
      <c r="BB774" s="277"/>
      <c r="BC774" s="277"/>
      <c r="BD774" s="277"/>
      <c r="BE774" s="277"/>
      <c r="BF774" s="277"/>
      <c r="BG774" s="277"/>
      <c r="BH774" s="277"/>
      <c r="BI774" s="277"/>
      <c r="BJ774" s="277"/>
      <c r="BK774" s="277"/>
      <c r="BL774" s="277"/>
      <c r="BM774" s="277"/>
      <c r="BN774" s="277"/>
      <c r="BO774" s="277"/>
      <c r="BP774" s="277"/>
      <c r="BQ774" s="277"/>
      <c r="BR774" s="277"/>
      <c r="BS774" s="277"/>
      <c r="BT774" s="277"/>
      <c r="BU774" s="277"/>
      <c r="BV774" s="277"/>
      <c r="BW774" s="277"/>
      <c r="BX774" s="277"/>
      <c r="BY774" s="277"/>
      <c r="BZ774" s="277"/>
      <c r="CA774" s="277"/>
      <c r="CB774" s="277"/>
      <c r="CC774" s="277"/>
      <c r="CD774" s="277"/>
      <c r="CE774" s="277"/>
    </row>
    <row r="775" spans="1:83" ht="12.65" customHeight="1" x14ac:dyDescent="0.35">
      <c r="A775" s="209" t="str">
        <f>RIGHT($C$83,3)&amp;"*"&amp;RIGHT($C$82,4)&amp;"*"&amp;AR$55&amp;"*"&amp;"A"</f>
        <v>164*2021*7400*A</v>
      </c>
      <c r="B775" s="276">
        <f>ROUND(AR59,0)</f>
        <v>111169</v>
      </c>
      <c r="C775" s="278">
        <f>ROUND(AR60,2)</f>
        <v>477.4</v>
      </c>
      <c r="D775" s="276">
        <f>ROUND(AR61,0)</f>
        <v>49975552</v>
      </c>
      <c r="E775" s="276">
        <f>ROUND(AR62,0)</f>
        <v>11781690</v>
      </c>
      <c r="F775" s="276">
        <f>ROUND(AR63,0)</f>
        <v>6754</v>
      </c>
      <c r="G775" s="276">
        <f>ROUND(AR64,0)</f>
        <v>3801120</v>
      </c>
      <c r="H775" s="276">
        <f>ROUND(AR65,0)</f>
        <v>287273</v>
      </c>
      <c r="I775" s="276">
        <f>ROUND(AR66,0)</f>
        <v>2630592</v>
      </c>
      <c r="J775" s="276">
        <f>ROUND(AR67,0)</f>
        <v>99926</v>
      </c>
      <c r="K775" s="276">
        <f>ROUND(AR68,0)</f>
        <v>1723048</v>
      </c>
      <c r="L775" s="276">
        <f>ROUND(AR69,0)</f>
        <v>1369810</v>
      </c>
      <c r="M775" s="276">
        <f>ROUND(AR70,0)</f>
        <v>303423</v>
      </c>
      <c r="N775" s="276">
        <f>ROUND(AR75,0)</f>
        <v>137334542</v>
      </c>
      <c r="O775" s="276">
        <f>ROUND(AR73,0)</f>
        <v>0</v>
      </c>
      <c r="P775" s="276">
        <f>IF(AR76&gt;0,ROUND(AR76,0),0)</f>
        <v>0</v>
      </c>
      <c r="Q775" s="276">
        <f>IF(AR77&gt;0,ROUND(AR77,0),0)</f>
        <v>0</v>
      </c>
      <c r="R775" s="276">
        <f>IF(AR78&gt;0,ROUND(AR78,0),0)</f>
        <v>0</v>
      </c>
      <c r="S775" s="276">
        <f>IF(AR79&gt;0,ROUND(AR79,0),0)</f>
        <v>0</v>
      </c>
      <c r="T775" s="278">
        <f>IF(AR80&gt;0,ROUND(AR80,2),0)</f>
        <v>174.25</v>
      </c>
      <c r="U775" s="276"/>
      <c r="V775" s="277"/>
      <c r="W775" s="276"/>
      <c r="X775" s="276"/>
      <c r="Y775" s="276">
        <f t="shared" si="21"/>
        <v>15637380</v>
      </c>
      <c r="Z775" s="277"/>
      <c r="AA775" s="277"/>
      <c r="AB775" s="277"/>
      <c r="AC775" s="277"/>
      <c r="AD775" s="277"/>
      <c r="AE775" s="277"/>
      <c r="AF775" s="277"/>
      <c r="AG775" s="277"/>
      <c r="AH775" s="277"/>
      <c r="AI775" s="277"/>
      <c r="AJ775" s="277"/>
      <c r="AK775" s="277"/>
      <c r="AL775" s="277"/>
      <c r="AM775" s="277"/>
      <c r="AN775" s="277"/>
      <c r="AO775" s="277"/>
      <c r="AP775" s="277"/>
      <c r="AQ775" s="277"/>
      <c r="AR775" s="277"/>
      <c r="AS775" s="277"/>
      <c r="AT775" s="277"/>
      <c r="AU775" s="277"/>
      <c r="AV775" s="277"/>
      <c r="AW775" s="277"/>
      <c r="AX775" s="277"/>
      <c r="AY775" s="277"/>
      <c r="AZ775" s="277"/>
      <c r="BA775" s="277"/>
      <c r="BB775" s="277"/>
      <c r="BC775" s="277"/>
      <c r="BD775" s="277"/>
      <c r="BE775" s="277"/>
      <c r="BF775" s="277"/>
      <c r="BG775" s="277"/>
      <c r="BH775" s="277"/>
      <c r="BI775" s="277"/>
      <c r="BJ775" s="277"/>
      <c r="BK775" s="277"/>
      <c r="BL775" s="277"/>
      <c r="BM775" s="277"/>
      <c r="BN775" s="277"/>
      <c r="BO775" s="277"/>
      <c r="BP775" s="277"/>
      <c r="BQ775" s="277"/>
      <c r="BR775" s="277"/>
      <c r="BS775" s="277"/>
      <c r="BT775" s="277"/>
      <c r="BU775" s="277"/>
      <c r="BV775" s="277"/>
      <c r="BW775" s="277"/>
      <c r="BX775" s="277"/>
      <c r="BY775" s="277"/>
      <c r="BZ775" s="277"/>
      <c r="CA775" s="277"/>
      <c r="CB775" s="277"/>
      <c r="CC775" s="277"/>
      <c r="CD775" s="277"/>
      <c r="CE775" s="277"/>
    </row>
    <row r="776" spans="1:83" ht="12.65" customHeight="1" x14ac:dyDescent="0.35">
      <c r="A776" s="209" t="str">
        <f>RIGHT($C$83,3)&amp;"*"&amp;RIGHT($C$82,4)&amp;"*"&amp;AS$55&amp;"*"&amp;"A"</f>
        <v>164*2021*7410*A</v>
      </c>
      <c r="B776" s="276">
        <f>ROUND(AS59,0)</f>
        <v>0</v>
      </c>
      <c r="C776" s="278">
        <f>ROUND(AS60,2)</f>
        <v>0</v>
      </c>
      <c r="D776" s="276">
        <f>ROUND(AS61,0)</f>
        <v>0</v>
      </c>
      <c r="E776" s="276">
        <f>ROUND(AS62,0)</f>
        <v>0</v>
      </c>
      <c r="F776" s="276">
        <f>ROUND(AS63,0)</f>
        <v>0</v>
      </c>
      <c r="G776" s="276">
        <f>ROUND(AS64,0)</f>
        <v>0</v>
      </c>
      <c r="H776" s="276">
        <f>ROUND(AS65,0)</f>
        <v>0</v>
      </c>
      <c r="I776" s="276">
        <f>ROUND(AS66,0)</f>
        <v>0</v>
      </c>
      <c r="J776" s="276">
        <f>ROUND(AS67,0)</f>
        <v>0</v>
      </c>
      <c r="K776" s="276">
        <f>ROUND(AS68,0)</f>
        <v>0</v>
      </c>
      <c r="L776" s="276">
        <f>ROUND(AS69,0)</f>
        <v>0</v>
      </c>
      <c r="M776" s="276">
        <f>ROUND(AS70,0)</f>
        <v>0</v>
      </c>
      <c r="N776" s="276">
        <f>ROUND(AS75,0)</f>
        <v>0</v>
      </c>
      <c r="O776" s="276">
        <f>ROUND(AS73,0)</f>
        <v>0</v>
      </c>
      <c r="P776" s="276">
        <f>IF(AS76&gt;0,ROUND(AS76,0),0)</f>
        <v>0</v>
      </c>
      <c r="Q776" s="276">
        <f>IF(AS77&gt;0,ROUND(AS77,0),0)</f>
        <v>0</v>
      </c>
      <c r="R776" s="276">
        <f>IF(AS78&gt;0,ROUND(AS78,0),0)</f>
        <v>0</v>
      </c>
      <c r="S776" s="276">
        <f>IF(AS79&gt;0,ROUND(AS79,0),0)</f>
        <v>0</v>
      </c>
      <c r="T776" s="278">
        <f>IF(AS80&gt;0,ROUND(AS80,2),0)</f>
        <v>0</v>
      </c>
      <c r="U776" s="276"/>
      <c r="V776" s="277"/>
      <c r="W776" s="276"/>
      <c r="X776" s="276"/>
      <c r="Y776" s="276">
        <f t="shared" si="21"/>
        <v>0</v>
      </c>
      <c r="Z776" s="277"/>
      <c r="AA776" s="277"/>
      <c r="AB776" s="277"/>
      <c r="AC776" s="277"/>
      <c r="AD776" s="277"/>
      <c r="AE776" s="277"/>
      <c r="AF776" s="277"/>
      <c r="AG776" s="277"/>
      <c r="AH776" s="277"/>
      <c r="AI776" s="277"/>
      <c r="AJ776" s="277"/>
      <c r="AK776" s="277"/>
      <c r="AL776" s="277"/>
      <c r="AM776" s="277"/>
      <c r="AN776" s="277"/>
      <c r="AO776" s="277"/>
      <c r="AP776" s="277"/>
      <c r="AQ776" s="277"/>
      <c r="AR776" s="277"/>
      <c r="AS776" s="277"/>
      <c r="AT776" s="277"/>
      <c r="AU776" s="277"/>
      <c r="AV776" s="277"/>
      <c r="AW776" s="277"/>
      <c r="AX776" s="277"/>
      <c r="AY776" s="277"/>
      <c r="AZ776" s="277"/>
      <c r="BA776" s="277"/>
      <c r="BB776" s="277"/>
      <c r="BC776" s="277"/>
      <c r="BD776" s="277"/>
      <c r="BE776" s="277"/>
      <c r="BF776" s="277"/>
      <c r="BG776" s="277"/>
      <c r="BH776" s="277"/>
      <c r="BI776" s="277"/>
      <c r="BJ776" s="277"/>
      <c r="BK776" s="277"/>
      <c r="BL776" s="277"/>
      <c r="BM776" s="277"/>
      <c r="BN776" s="277"/>
      <c r="BO776" s="277"/>
      <c r="BP776" s="277"/>
      <c r="BQ776" s="277"/>
      <c r="BR776" s="277"/>
      <c r="BS776" s="277"/>
      <c r="BT776" s="277"/>
      <c r="BU776" s="277"/>
      <c r="BV776" s="277"/>
      <c r="BW776" s="277"/>
      <c r="BX776" s="277"/>
      <c r="BY776" s="277"/>
      <c r="BZ776" s="277"/>
      <c r="CA776" s="277"/>
      <c r="CB776" s="277"/>
      <c r="CC776" s="277"/>
      <c r="CD776" s="277"/>
      <c r="CE776" s="277"/>
    </row>
    <row r="777" spans="1:83" ht="12.65" customHeight="1" x14ac:dyDescent="0.35">
      <c r="A777" s="209" t="str">
        <f>RIGHT($C$83,3)&amp;"*"&amp;RIGHT($C$82,4)&amp;"*"&amp;AT$55&amp;"*"&amp;"A"</f>
        <v>164*2021*7420*A</v>
      </c>
      <c r="B777" s="276">
        <f>ROUND(AT59,0)</f>
        <v>0</v>
      </c>
      <c r="C777" s="278">
        <f>ROUND(AT60,2)</f>
        <v>0</v>
      </c>
      <c r="D777" s="276">
        <f>ROUND(AT61,0)</f>
        <v>0</v>
      </c>
      <c r="E777" s="276">
        <f>ROUND(AT62,0)</f>
        <v>0</v>
      </c>
      <c r="F777" s="276">
        <f>ROUND(AT63,0)</f>
        <v>0</v>
      </c>
      <c r="G777" s="276">
        <f>ROUND(AT64,0)</f>
        <v>0</v>
      </c>
      <c r="H777" s="276">
        <f>ROUND(AT65,0)</f>
        <v>0</v>
      </c>
      <c r="I777" s="276">
        <f>ROUND(AT66,0)</f>
        <v>0</v>
      </c>
      <c r="J777" s="276">
        <f>ROUND(AT67,0)</f>
        <v>0</v>
      </c>
      <c r="K777" s="276">
        <f>ROUND(AT68,0)</f>
        <v>0</v>
      </c>
      <c r="L777" s="276">
        <f>ROUND(AT69,0)</f>
        <v>0</v>
      </c>
      <c r="M777" s="276">
        <f>ROUND(AT70,0)</f>
        <v>0</v>
      </c>
      <c r="N777" s="276">
        <f>ROUND(AT75,0)</f>
        <v>0</v>
      </c>
      <c r="O777" s="276">
        <f>ROUND(AT73,0)</f>
        <v>0</v>
      </c>
      <c r="P777" s="276">
        <f>IF(AT76&gt;0,ROUND(AT76,0),0)</f>
        <v>0</v>
      </c>
      <c r="Q777" s="276">
        <f>IF(AT77&gt;0,ROUND(AT77,0),0)</f>
        <v>0</v>
      </c>
      <c r="R777" s="276">
        <f>IF(AT78&gt;0,ROUND(AT78,0),0)</f>
        <v>0</v>
      </c>
      <c r="S777" s="276">
        <f>IF(AT79&gt;0,ROUND(AT79,0),0)</f>
        <v>0</v>
      </c>
      <c r="T777" s="278">
        <f>IF(AT80&gt;0,ROUND(AT80,2),0)</f>
        <v>0</v>
      </c>
      <c r="U777" s="276"/>
      <c r="V777" s="277"/>
      <c r="W777" s="276"/>
      <c r="X777" s="276"/>
      <c r="Y777" s="276">
        <f t="shared" si="21"/>
        <v>0</v>
      </c>
      <c r="Z777" s="277"/>
      <c r="AA777" s="277"/>
      <c r="AB777" s="277"/>
      <c r="AC777" s="277"/>
      <c r="AD777" s="277"/>
      <c r="AE777" s="277"/>
      <c r="AF777" s="277"/>
      <c r="AG777" s="277"/>
      <c r="AH777" s="277"/>
      <c r="AI777" s="277"/>
      <c r="AJ777" s="277"/>
      <c r="AK777" s="277"/>
      <c r="AL777" s="277"/>
      <c r="AM777" s="277"/>
      <c r="AN777" s="277"/>
      <c r="AO777" s="277"/>
      <c r="AP777" s="277"/>
      <c r="AQ777" s="277"/>
      <c r="AR777" s="277"/>
      <c r="AS777" s="277"/>
      <c r="AT777" s="277"/>
      <c r="AU777" s="277"/>
      <c r="AV777" s="277"/>
      <c r="AW777" s="277"/>
      <c r="AX777" s="277"/>
      <c r="AY777" s="277"/>
      <c r="AZ777" s="277"/>
      <c r="BA777" s="277"/>
      <c r="BB777" s="277"/>
      <c r="BC777" s="277"/>
      <c r="BD777" s="277"/>
      <c r="BE777" s="277"/>
      <c r="BF777" s="277"/>
      <c r="BG777" s="277"/>
      <c r="BH777" s="277"/>
      <c r="BI777" s="277"/>
      <c r="BJ777" s="277"/>
      <c r="BK777" s="277"/>
      <c r="BL777" s="277"/>
      <c r="BM777" s="277"/>
      <c r="BN777" s="277"/>
      <c r="BO777" s="277"/>
      <c r="BP777" s="277"/>
      <c r="BQ777" s="277"/>
      <c r="BR777" s="277"/>
      <c r="BS777" s="277"/>
      <c r="BT777" s="277"/>
      <c r="BU777" s="277"/>
      <c r="BV777" s="277"/>
      <c r="BW777" s="277"/>
      <c r="BX777" s="277"/>
      <c r="BY777" s="277"/>
      <c r="BZ777" s="277"/>
      <c r="CA777" s="277"/>
      <c r="CB777" s="277"/>
      <c r="CC777" s="277"/>
      <c r="CD777" s="277"/>
      <c r="CE777" s="277"/>
    </row>
    <row r="778" spans="1:83" ht="12.65" customHeight="1" x14ac:dyDescent="0.35">
      <c r="A778" s="209" t="str">
        <f>RIGHT($C$83,3)&amp;"*"&amp;RIGHT($C$82,4)&amp;"*"&amp;AU$55&amp;"*"&amp;"A"</f>
        <v>164*2021*7430*A</v>
      </c>
      <c r="B778" s="276">
        <f>ROUND(AU59,0)</f>
        <v>0</v>
      </c>
      <c r="C778" s="278">
        <f>ROUND(AU60,2)</f>
        <v>0</v>
      </c>
      <c r="D778" s="276">
        <f>ROUND(AU61,0)</f>
        <v>0</v>
      </c>
      <c r="E778" s="276">
        <f>ROUND(AU62,0)</f>
        <v>0</v>
      </c>
      <c r="F778" s="276">
        <f>ROUND(AU63,0)</f>
        <v>0</v>
      </c>
      <c r="G778" s="276">
        <f>ROUND(AU64,0)</f>
        <v>0</v>
      </c>
      <c r="H778" s="276">
        <f>ROUND(AU65,0)</f>
        <v>0</v>
      </c>
      <c r="I778" s="276">
        <f>ROUND(AU66,0)</f>
        <v>0</v>
      </c>
      <c r="J778" s="276">
        <f>ROUND(AU67,0)</f>
        <v>0</v>
      </c>
      <c r="K778" s="276">
        <f>ROUND(AU68,0)</f>
        <v>0</v>
      </c>
      <c r="L778" s="276">
        <f>ROUND(AU69,0)</f>
        <v>0</v>
      </c>
      <c r="M778" s="276">
        <f>ROUND(AU70,0)</f>
        <v>0</v>
      </c>
      <c r="N778" s="276">
        <f>ROUND(AU75,0)</f>
        <v>0</v>
      </c>
      <c r="O778" s="276">
        <f>ROUND(AU73,0)</f>
        <v>0</v>
      </c>
      <c r="P778" s="276">
        <f>IF(AU76&gt;0,ROUND(AU76,0),0)</f>
        <v>0</v>
      </c>
      <c r="Q778" s="276">
        <f>IF(AU77&gt;0,ROUND(AU77,0),0)</f>
        <v>0</v>
      </c>
      <c r="R778" s="276">
        <f>IF(AU78&gt;0,ROUND(AU78,0),0)</f>
        <v>0</v>
      </c>
      <c r="S778" s="276">
        <f>IF(AU79&gt;0,ROUND(AU79,0),0)</f>
        <v>0</v>
      </c>
      <c r="T778" s="278">
        <f>IF(AU80&gt;0,ROUND(AU80,2),0)</f>
        <v>0</v>
      </c>
      <c r="U778" s="276"/>
      <c r="V778" s="277"/>
      <c r="W778" s="276"/>
      <c r="X778" s="276"/>
      <c r="Y778" s="276">
        <f t="shared" si="21"/>
        <v>0</v>
      </c>
      <c r="Z778" s="277"/>
      <c r="AA778" s="277"/>
      <c r="AB778" s="277"/>
      <c r="AC778" s="277"/>
      <c r="AD778" s="277"/>
      <c r="AE778" s="277"/>
      <c r="AF778" s="277"/>
      <c r="AG778" s="277"/>
      <c r="AH778" s="277"/>
      <c r="AI778" s="277"/>
      <c r="AJ778" s="277"/>
      <c r="AK778" s="277"/>
      <c r="AL778" s="277"/>
      <c r="AM778" s="277"/>
      <c r="AN778" s="277"/>
      <c r="AO778" s="277"/>
      <c r="AP778" s="277"/>
      <c r="AQ778" s="277"/>
      <c r="AR778" s="277"/>
      <c r="AS778" s="277"/>
      <c r="AT778" s="277"/>
      <c r="AU778" s="277"/>
      <c r="AV778" s="277"/>
      <c r="AW778" s="277"/>
      <c r="AX778" s="277"/>
      <c r="AY778" s="277"/>
      <c r="AZ778" s="277"/>
      <c r="BA778" s="277"/>
      <c r="BB778" s="277"/>
      <c r="BC778" s="277"/>
      <c r="BD778" s="277"/>
      <c r="BE778" s="277"/>
      <c r="BF778" s="277"/>
      <c r="BG778" s="277"/>
      <c r="BH778" s="277"/>
      <c r="BI778" s="277"/>
      <c r="BJ778" s="277"/>
      <c r="BK778" s="277"/>
      <c r="BL778" s="277"/>
      <c r="BM778" s="277"/>
      <c r="BN778" s="277"/>
      <c r="BO778" s="277"/>
      <c r="BP778" s="277"/>
      <c r="BQ778" s="277"/>
      <c r="BR778" s="277"/>
      <c r="BS778" s="277"/>
      <c r="BT778" s="277"/>
      <c r="BU778" s="277"/>
      <c r="BV778" s="277"/>
      <c r="BW778" s="277"/>
      <c r="BX778" s="277"/>
      <c r="BY778" s="277"/>
      <c r="BZ778" s="277"/>
      <c r="CA778" s="277"/>
      <c r="CB778" s="277"/>
      <c r="CC778" s="277"/>
      <c r="CD778" s="277"/>
      <c r="CE778" s="277"/>
    </row>
    <row r="779" spans="1:83" ht="12.65" customHeight="1" x14ac:dyDescent="0.35">
      <c r="A779" s="209" t="str">
        <f>RIGHT($C$83,3)&amp;"*"&amp;RIGHT($C$82,4)&amp;"*"&amp;AV$55&amp;"*"&amp;"A"</f>
        <v>164*2021*7490*A</v>
      </c>
      <c r="B779" s="276"/>
      <c r="C779" s="278">
        <f>ROUND(AV60,2)</f>
        <v>23.77</v>
      </c>
      <c r="D779" s="276">
        <f>ROUND(AV61,0)</f>
        <v>2606073</v>
      </c>
      <c r="E779" s="276">
        <f>ROUND(AV62,0)</f>
        <v>593427</v>
      </c>
      <c r="F779" s="276">
        <f>ROUND(AV63,0)</f>
        <v>0</v>
      </c>
      <c r="G779" s="276">
        <f>ROUND(AV64,0)</f>
        <v>8539725</v>
      </c>
      <c r="H779" s="276">
        <f>ROUND(AV65,0)</f>
        <v>5301</v>
      </c>
      <c r="I779" s="276">
        <f>ROUND(AV66,0)</f>
        <v>615186</v>
      </c>
      <c r="J779" s="276">
        <f>ROUND(AV67,0)</f>
        <v>221789</v>
      </c>
      <c r="K779" s="276">
        <f>ROUND(AV68,0)</f>
        <v>0</v>
      </c>
      <c r="L779" s="276">
        <f>ROUND(AV69,0)</f>
        <v>5404</v>
      </c>
      <c r="M779" s="276">
        <f>ROUND(AV70,0)</f>
        <v>8247510</v>
      </c>
      <c r="N779" s="276">
        <f>ROUND(AV75,0)</f>
        <v>14240436</v>
      </c>
      <c r="O779" s="276">
        <f>ROUND(AV73,0)</f>
        <v>3522698</v>
      </c>
      <c r="P779" s="276">
        <f>IF(AV76&gt;0,ROUND(AV76,0),0)</f>
        <v>13135</v>
      </c>
      <c r="Q779" s="276">
        <f>IF(AV77&gt;0,ROUND(AV77,0),0)</f>
        <v>0</v>
      </c>
      <c r="R779" s="276">
        <f>IF(AV78&gt;0,ROUND(AV78,0),0)</f>
        <v>1673</v>
      </c>
      <c r="S779" s="276">
        <f>IF(AV79&gt;0,ROUND(AV79,0),0)</f>
        <v>28262</v>
      </c>
      <c r="T779" s="278">
        <f>IF(AV80&gt;0,ROUND(AV80,2),0)</f>
        <v>64.62</v>
      </c>
      <c r="U779" s="276"/>
      <c r="V779" s="277"/>
      <c r="W779" s="276"/>
      <c r="X779" s="276"/>
      <c r="Y779" s="276">
        <f t="shared" si="21"/>
        <v>2999392</v>
      </c>
      <c r="Z779" s="277"/>
      <c r="AA779" s="277"/>
      <c r="AB779" s="277"/>
      <c r="AC779" s="277"/>
      <c r="AD779" s="277"/>
      <c r="AE779" s="277"/>
      <c r="AF779" s="277"/>
      <c r="AG779" s="277"/>
      <c r="AH779" s="277"/>
      <c r="AI779" s="277"/>
      <c r="AJ779" s="277"/>
      <c r="AK779" s="277"/>
      <c r="AL779" s="277"/>
      <c r="AM779" s="277"/>
      <c r="AN779" s="277"/>
      <c r="AO779" s="277"/>
      <c r="AP779" s="277"/>
      <c r="AQ779" s="277"/>
      <c r="AR779" s="277"/>
      <c r="AS779" s="277"/>
      <c r="AT779" s="277"/>
      <c r="AU779" s="277"/>
      <c r="AV779" s="277"/>
      <c r="AW779" s="277"/>
      <c r="AX779" s="277"/>
      <c r="AY779" s="277"/>
      <c r="AZ779" s="277"/>
      <c r="BA779" s="277"/>
      <c r="BB779" s="277"/>
      <c r="BC779" s="277"/>
      <c r="BD779" s="277"/>
      <c r="BE779" s="277"/>
      <c r="BF779" s="277"/>
      <c r="BG779" s="277"/>
      <c r="BH779" s="277"/>
      <c r="BI779" s="277"/>
      <c r="BJ779" s="277"/>
      <c r="BK779" s="277"/>
      <c r="BL779" s="277"/>
      <c r="BM779" s="277"/>
      <c r="BN779" s="277"/>
      <c r="BO779" s="277"/>
      <c r="BP779" s="277"/>
      <c r="BQ779" s="277"/>
      <c r="BR779" s="277"/>
      <c r="BS779" s="277"/>
      <c r="BT779" s="277"/>
      <c r="BU779" s="277"/>
      <c r="BV779" s="277"/>
      <c r="BW779" s="277"/>
      <c r="BX779" s="277"/>
      <c r="BY779" s="277"/>
      <c r="BZ779" s="277"/>
      <c r="CA779" s="277"/>
      <c r="CB779" s="277"/>
      <c r="CC779" s="277"/>
      <c r="CD779" s="277"/>
      <c r="CE779" s="277"/>
    </row>
    <row r="780" spans="1:83" ht="12.65" customHeight="1" x14ac:dyDescent="0.35">
      <c r="A780" s="209" t="str">
        <f>RIGHT($C$83,3)&amp;"*"&amp;RIGHT($C$82,4)&amp;"*"&amp;AW$55&amp;"*"&amp;"A"</f>
        <v>164*2021*8200*A</v>
      </c>
      <c r="B780" s="276"/>
      <c r="C780" s="278">
        <f>ROUND(AW60,2)</f>
        <v>19.239999999999998</v>
      </c>
      <c r="D780" s="276">
        <f>ROUND(AW61,0)</f>
        <v>1575941</v>
      </c>
      <c r="E780" s="276">
        <f>ROUND(AW62,0)</f>
        <v>318366</v>
      </c>
      <c r="F780" s="276">
        <f>ROUND(AW63,0)</f>
        <v>493308</v>
      </c>
      <c r="G780" s="276">
        <f>ROUND(AW64,0)</f>
        <v>49656</v>
      </c>
      <c r="H780" s="276">
        <f>ROUND(AW65,0)</f>
        <v>740</v>
      </c>
      <c r="I780" s="276">
        <f>ROUND(AW66,0)</f>
        <v>78970</v>
      </c>
      <c r="J780" s="276">
        <f>ROUND(AW67,0)</f>
        <v>32088</v>
      </c>
      <c r="K780" s="276">
        <f>ROUND(AW68,0)</f>
        <v>13659</v>
      </c>
      <c r="L780" s="276">
        <f>ROUND(AW69,0)</f>
        <v>76617</v>
      </c>
      <c r="M780" s="276">
        <f>ROUND(AW70,0)</f>
        <v>4231695</v>
      </c>
      <c r="N780" s="276"/>
      <c r="O780" s="276"/>
      <c r="P780" s="276">
        <f>IF(AW76&gt;0,ROUND(AW76,0),0)</f>
        <v>3911</v>
      </c>
      <c r="Q780" s="276">
        <f>IF(AW77&gt;0,ROUND(AW77,0),0)</f>
        <v>0</v>
      </c>
      <c r="R780" s="276">
        <f>IF(AW78&gt;0,ROUND(AW78,0),0)</f>
        <v>498</v>
      </c>
      <c r="S780" s="276">
        <f>IF(AW79&gt;0,ROUND(AW79,0),0)</f>
        <v>0</v>
      </c>
      <c r="T780" s="278">
        <f>IF(AW80&gt;0,ROUND(AW80,2),0)</f>
        <v>0</v>
      </c>
      <c r="U780" s="276"/>
      <c r="V780" s="277"/>
      <c r="W780" s="276"/>
      <c r="X780" s="276"/>
      <c r="Y780" s="276"/>
      <c r="Z780" s="277"/>
      <c r="AA780" s="277"/>
      <c r="AB780" s="277"/>
      <c r="AC780" s="277"/>
      <c r="AD780" s="277"/>
      <c r="AE780" s="277"/>
      <c r="AF780" s="277"/>
      <c r="AG780" s="277"/>
      <c r="AH780" s="277"/>
      <c r="AI780" s="277"/>
      <c r="AJ780" s="277"/>
      <c r="AK780" s="277"/>
      <c r="AL780" s="277"/>
      <c r="AM780" s="277"/>
      <c r="AN780" s="277"/>
      <c r="AO780" s="277"/>
      <c r="AP780" s="277"/>
      <c r="AQ780" s="277"/>
      <c r="AR780" s="277"/>
      <c r="AS780" s="277"/>
      <c r="AT780" s="277"/>
      <c r="AU780" s="277"/>
      <c r="AV780" s="277"/>
      <c r="AW780" s="277"/>
      <c r="AX780" s="277"/>
      <c r="AY780" s="277"/>
      <c r="AZ780" s="277"/>
      <c r="BA780" s="277"/>
      <c r="BB780" s="277"/>
      <c r="BC780" s="277"/>
      <c r="BD780" s="277"/>
      <c r="BE780" s="277"/>
      <c r="BF780" s="277"/>
      <c r="BG780" s="277"/>
      <c r="BH780" s="277"/>
      <c r="BI780" s="277"/>
      <c r="BJ780" s="277"/>
      <c r="BK780" s="277"/>
      <c r="BL780" s="277"/>
      <c r="BM780" s="277"/>
      <c r="BN780" s="277"/>
      <c r="BO780" s="277"/>
      <c r="BP780" s="277"/>
      <c r="BQ780" s="277"/>
      <c r="BR780" s="277"/>
      <c r="BS780" s="277"/>
      <c r="BT780" s="277"/>
      <c r="BU780" s="277"/>
      <c r="BV780" s="277"/>
      <c r="BW780" s="277"/>
      <c r="BX780" s="277"/>
      <c r="BY780" s="277"/>
      <c r="BZ780" s="277"/>
      <c r="CA780" s="277"/>
      <c r="CB780" s="277"/>
      <c r="CC780" s="277"/>
      <c r="CD780" s="277"/>
      <c r="CE780" s="277"/>
    </row>
    <row r="781" spans="1:83" ht="12.65" customHeight="1" x14ac:dyDescent="0.35">
      <c r="A781" s="209" t="str">
        <f>RIGHT($C$83,3)&amp;"*"&amp;RIGHT($C$82,4)&amp;"*"&amp;AX$55&amp;"*"&amp;"A"</f>
        <v>164*2021*8310*A</v>
      </c>
      <c r="B781" s="276"/>
      <c r="C781" s="278">
        <f>ROUND(AX60,2)</f>
        <v>0</v>
      </c>
      <c r="D781" s="276">
        <f>ROUND(AX61,0)</f>
        <v>158</v>
      </c>
      <c r="E781" s="276">
        <f>ROUND(AX62,0)</f>
        <v>0</v>
      </c>
      <c r="F781" s="276">
        <f>ROUND(AX63,0)</f>
        <v>0</v>
      </c>
      <c r="G781" s="276">
        <f>ROUND(AX64,0)</f>
        <v>315250</v>
      </c>
      <c r="H781" s="276">
        <f>ROUND(AX65,0)</f>
        <v>2921</v>
      </c>
      <c r="I781" s="276">
        <f>ROUND(AX66,0)</f>
        <v>2578688</v>
      </c>
      <c r="J781" s="276">
        <f>ROUND(AX67,0)</f>
        <v>0</v>
      </c>
      <c r="K781" s="276">
        <f>ROUND(AX68,0)</f>
        <v>1832557</v>
      </c>
      <c r="L781" s="276">
        <f>ROUND(AX69,0)</f>
        <v>1992</v>
      </c>
      <c r="M781" s="276">
        <f>ROUND(AX70,0)</f>
        <v>0</v>
      </c>
      <c r="N781" s="276"/>
      <c r="O781" s="276"/>
      <c r="P781" s="276">
        <f>IF(AX76&gt;0,ROUND(AX76,0),0)</f>
        <v>0</v>
      </c>
      <c r="Q781" s="276">
        <f>IF(AX77&gt;0,ROUND(AX77,0),0)</f>
        <v>0</v>
      </c>
      <c r="R781" s="276">
        <f>IF(AX78&gt;0,ROUND(AX78,0),0)</f>
        <v>0</v>
      </c>
      <c r="S781" s="276">
        <f>IF(AX79&gt;0,ROUND(AX79,0),0)</f>
        <v>0</v>
      </c>
      <c r="T781" s="278">
        <f>IF(AX80&gt;0,ROUND(AX80,2),0)</f>
        <v>0</v>
      </c>
      <c r="U781" s="276"/>
      <c r="V781" s="277"/>
      <c r="W781" s="276"/>
      <c r="X781" s="276"/>
      <c r="Y781" s="276"/>
      <c r="Z781" s="277"/>
      <c r="AA781" s="277"/>
      <c r="AB781" s="277"/>
      <c r="AC781" s="277"/>
      <c r="AD781" s="277"/>
      <c r="AE781" s="277"/>
      <c r="AF781" s="277"/>
      <c r="AG781" s="277"/>
      <c r="AH781" s="277"/>
      <c r="AI781" s="277"/>
      <c r="AJ781" s="277"/>
      <c r="AK781" s="277"/>
      <c r="AL781" s="277"/>
      <c r="AM781" s="277"/>
      <c r="AN781" s="277"/>
      <c r="AO781" s="277"/>
      <c r="AP781" s="277"/>
      <c r="AQ781" s="277"/>
      <c r="AR781" s="277"/>
      <c r="AS781" s="277"/>
      <c r="AT781" s="277"/>
      <c r="AU781" s="277"/>
      <c r="AV781" s="277"/>
      <c r="AW781" s="277"/>
      <c r="AX781" s="277"/>
      <c r="AY781" s="277"/>
      <c r="AZ781" s="277"/>
      <c r="BA781" s="277"/>
      <c r="BB781" s="277"/>
      <c r="BC781" s="277"/>
      <c r="BD781" s="277"/>
      <c r="BE781" s="277"/>
      <c r="BF781" s="277"/>
      <c r="BG781" s="277"/>
      <c r="BH781" s="277"/>
      <c r="BI781" s="277"/>
      <c r="BJ781" s="277"/>
      <c r="BK781" s="277"/>
      <c r="BL781" s="277"/>
      <c r="BM781" s="277"/>
      <c r="BN781" s="277"/>
      <c r="BO781" s="277"/>
      <c r="BP781" s="277"/>
      <c r="BQ781" s="277"/>
      <c r="BR781" s="277"/>
      <c r="BS781" s="277"/>
      <c r="BT781" s="277"/>
      <c r="BU781" s="277"/>
      <c r="BV781" s="277"/>
      <c r="BW781" s="277"/>
      <c r="BX781" s="277"/>
      <c r="BY781" s="277"/>
      <c r="BZ781" s="277"/>
      <c r="CA781" s="277"/>
      <c r="CB781" s="277"/>
      <c r="CC781" s="277"/>
      <c r="CD781" s="277"/>
      <c r="CE781" s="277"/>
    </row>
    <row r="782" spans="1:83" ht="12.65" customHeight="1" x14ac:dyDescent="0.35">
      <c r="A782" s="209" t="str">
        <f>RIGHT($C$83,3)&amp;"*"&amp;RIGHT($C$82,4)&amp;"*"&amp;AY$55&amp;"*"&amp;"A"</f>
        <v>164*2021*8320*A</v>
      </c>
      <c r="B782" s="276">
        <f>ROUND(AY59,0)</f>
        <v>0</v>
      </c>
      <c r="C782" s="278">
        <f>ROUND(AY60,2)</f>
        <v>0</v>
      </c>
      <c r="D782" s="276">
        <f>ROUND(AY61,0)</f>
        <v>0</v>
      </c>
      <c r="E782" s="276">
        <f>ROUND(AY62,0)</f>
        <v>0</v>
      </c>
      <c r="F782" s="276">
        <f>ROUND(AY63,0)</f>
        <v>0</v>
      </c>
      <c r="G782" s="276">
        <f>ROUND(AY64,0)</f>
        <v>0</v>
      </c>
      <c r="H782" s="276">
        <f>ROUND(AY65,0)</f>
        <v>0</v>
      </c>
      <c r="I782" s="276">
        <f>ROUND(AY66,0)</f>
        <v>0</v>
      </c>
      <c r="J782" s="276">
        <f>ROUND(AY67,0)</f>
        <v>0</v>
      </c>
      <c r="K782" s="276">
        <f>ROUND(AY68,0)</f>
        <v>0</v>
      </c>
      <c r="L782" s="276">
        <f>ROUND(AY69,0)</f>
        <v>0</v>
      </c>
      <c r="M782" s="276">
        <f>ROUND(AY70,0)</f>
        <v>0</v>
      </c>
      <c r="N782" s="276"/>
      <c r="O782" s="276"/>
      <c r="P782" s="276">
        <f>IF(AY76&gt;0,ROUND(AY76,0),0)</f>
        <v>0</v>
      </c>
      <c r="Q782" s="276">
        <f>IF(AY77&gt;0,ROUND(AY77,0),0)</f>
        <v>0</v>
      </c>
      <c r="R782" s="276">
        <f>IF(AY78&gt;0,ROUND(AY78,0),0)</f>
        <v>0</v>
      </c>
      <c r="S782" s="276">
        <f>IF(AY79&gt;0,ROUND(AY79,0),0)</f>
        <v>0</v>
      </c>
      <c r="T782" s="278">
        <f>IF(AY80&gt;0,ROUND(AY80,2),0)</f>
        <v>0</v>
      </c>
      <c r="U782" s="276"/>
      <c r="V782" s="277"/>
      <c r="W782" s="276"/>
      <c r="X782" s="276"/>
      <c r="Y782" s="276"/>
      <c r="Z782" s="277"/>
      <c r="AA782" s="277"/>
      <c r="AB782" s="277"/>
      <c r="AC782" s="277"/>
      <c r="AD782" s="277"/>
      <c r="AE782" s="277"/>
      <c r="AF782" s="277"/>
      <c r="AG782" s="277"/>
      <c r="AH782" s="277"/>
      <c r="AI782" s="277"/>
      <c r="AJ782" s="277"/>
      <c r="AK782" s="277"/>
      <c r="AL782" s="277"/>
      <c r="AM782" s="277"/>
      <c r="AN782" s="277"/>
      <c r="AO782" s="277"/>
      <c r="AP782" s="277"/>
      <c r="AQ782" s="277"/>
      <c r="AR782" s="277"/>
      <c r="AS782" s="277"/>
      <c r="AT782" s="277"/>
      <c r="AU782" s="277"/>
      <c r="AV782" s="277"/>
      <c r="AW782" s="277"/>
      <c r="AX782" s="277"/>
      <c r="AY782" s="277"/>
      <c r="AZ782" s="277"/>
      <c r="BA782" s="277"/>
      <c r="BB782" s="277"/>
      <c r="BC782" s="277"/>
      <c r="BD782" s="277"/>
      <c r="BE782" s="277"/>
      <c r="BF782" s="277"/>
      <c r="BG782" s="277"/>
      <c r="BH782" s="277"/>
      <c r="BI782" s="277"/>
      <c r="BJ782" s="277"/>
      <c r="BK782" s="277"/>
      <c r="BL782" s="277"/>
      <c r="BM782" s="277"/>
      <c r="BN782" s="277"/>
      <c r="BO782" s="277"/>
      <c r="BP782" s="277"/>
      <c r="BQ782" s="277"/>
      <c r="BR782" s="277"/>
      <c r="BS782" s="277"/>
      <c r="BT782" s="277"/>
      <c r="BU782" s="277"/>
      <c r="BV782" s="277"/>
      <c r="BW782" s="277"/>
      <c r="BX782" s="277"/>
      <c r="BY782" s="277"/>
      <c r="BZ782" s="277"/>
      <c r="CA782" s="277"/>
      <c r="CB782" s="277"/>
      <c r="CC782" s="277"/>
      <c r="CD782" s="277"/>
      <c r="CE782" s="277"/>
    </row>
    <row r="783" spans="1:83" ht="12.65" customHeight="1" x14ac:dyDescent="0.35">
      <c r="A783" s="209" t="str">
        <f>RIGHT($C$83,3)&amp;"*"&amp;RIGHT($C$82,4)&amp;"*"&amp;AZ$55&amp;"*"&amp;"A"</f>
        <v>164*2021*8330*A</v>
      </c>
      <c r="B783" s="276">
        <f>ROUND(AZ59,0)</f>
        <v>707764</v>
      </c>
      <c r="C783" s="278">
        <f>ROUND(AZ60,2)</f>
        <v>56.44</v>
      </c>
      <c r="D783" s="276">
        <f>ROUND(AZ61,0)</f>
        <v>2788991</v>
      </c>
      <c r="E783" s="276">
        <f>ROUND(AZ62,0)</f>
        <v>0</v>
      </c>
      <c r="F783" s="276">
        <f>ROUND(AZ63,0)</f>
        <v>0</v>
      </c>
      <c r="G783" s="276">
        <f>ROUND(AZ64,0)</f>
        <v>1818941</v>
      </c>
      <c r="H783" s="276">
        <f>ROUND(AZ65,0)</f>
        <v>0</v>
      </c>
      <c r="I783" s="276">
        <f>ROUND(AZ66,0)</f>
        <v>345790</v>
      </c>
      <c r="J783" s="276">
        <f>ROUND(AZ67,0)</f>
        <v>765007</v>
      </c>
      <c r="K783" s="276">
        <f>ROUND(AZ68,0)</f>
        <v>14075</v>
      </c>
      <c r="L783" s="276">
        <f>ROUND(AZ69,0)</f>
        <v>20</v>
      </c>
      <c r="M783" s="276">
        <f>ROUND(AZ70,0)</f>
        <v>1607809</v>
      </c>
      <c r="N783" s="276"/>
      <c r="O783" s="276"/>
      <c r="P783" s="276">
        <f>IF(AZ76&gt;0,ROUND(AZ76,0),0)</f>
        <v>23579</v>
      </c>
      <c r="Q783" s="276">
        <f>IF(AZ77&gt;0,ROUND(AZ77,0),0)</f>
        <v>0</v>
      </c>
      <c r="R783" s="276">
        <f>IF(AZ78&gt;0,ROUND(AZ78,0),0)</f>
        <v>0</v>
      </c>
      <c r="S783" s="276">
        <f>IF(AZ79&gt;0,ROUND(AZ79,0),0)</f>
        <v>0</v>
      </c>
      <c r="T783" s="278">
        <f>IF(AZ80&gt;0,ROUND(AZ80,2),0)</f>
        <v>0</v>
      </c>
      <c r="U783" s="276"/>
      <c r="V783" s="277"/>
      <c r="W783" s="276"/>
      <c r="X783" s="276"/>
      <c r="Y783" s="276"/>
      <c r="Z783" s="277"/>
      <c r="AA783" s="277"/>
      <c r="AB783" s="277"/>
      <c r="AC783" s="277"/>
      <c r="AD783" s="277"/>
      <c r="AE783" s="277"/>
      <c r="AF783" s="277"/>
      <c r="AG783" s="277"/>
      <c r="AH783" s="277"/>
      <c r="AI783" s="277"/>
      <c r="AJ783" s="277"/>
      <c r="AK783" s="277"/>
      <c r="AL783" s="277"/>
      <c r="AM783" s="277"/>
      <c r="AN783" s="277"/>
      <c r="AO783" s="277"/>
      <c r="AP783" s="277"/>
      <c r="AQ783" s="277"/>
      <c r="AR783" s="277"/>
      <c r="AS783" s="277"/>
      <c r="AT783" s="277"/>
      <c r="AU783" s="277"/>
      <c r="AV783" s="277"/>
      <c r="AW783" s="277"/>
      <c r="AX783" s="277"/>
      <c r="AY783" s="277"/>
      <c r="AZ783" s="277"/>
      <c r="BA783" s="277"/>
      <c r="BB783" s="277"/>
      <c r="BC783" s="277"/>
      <c r="BD783" s="277"/>
      <c r="BE783" s="277"/>
      <c r="BF783" s="277"/>
      <c r="BG783" s="277"/>
      <c r="BH783" s="277"/>
      <c r="BI783" s="277"/>
      <c r="BJ783" s="277"/>
      <c r="BK783" s="277"/>
      <c r="BL783" s="277"/>
      <c r="BM783" s="277"/>
      <c r="BN783" s="277"/>
      <c r="BO783" s="277"/>
      <c r="BP783" s="277"/>
      <c r="BQ783" s="277"/>
      <c r="BR783" s="277"/>
      <c r="BS783" s="277"/>
      <c r="BT783" s="277"/>
      <c r="BU783" s="277"/>
      <c r="BV783" s="277"/>
      <c r="BW783" s="277"/>
      <c r="BX783" s="277"/>
      <c r="BY783" s="277"/>
      <c r="BZ783" s="277"/>
      <c r="CA783" s="277"/>
      <c r="CB783" s="277"/>
      <c r="CC783" s="277"/>
      <c r="CD783" s="277"/>
      <c r="CE783" s="277"/>
    </row>
    <row r="784" spans="1:83" ht="12.65" customHeight="1" x14ac:dyDescent="0.35">
      <c r="A784" s="209" t="str">
        <f>RIGHT($C$83,3)&amp;"*"&amp;RIGHT($C$82,4)&amp;"*"&amp;BA$55&amp;"*"&amp;"A"</f>
        <v>164*2021*8350*A</v>
      </c>
      <c r="B784" s="276">
        <f>ROUND(BA59,0)</f>
        <v>0</v>
      </c>
      <c r="C784" s="278">
        <f>ROUND(BA60,2)</f>
        <v>5.51</v>
      </c>
      <c r="D784" s="276">
        <f>ROUND(BA61,0)</f>
        <v>273322</v>
      </c>
      <c r="E784" s="276">
        <f>ROUND(BA62,0)</f>
        <v>946130</v>
      </c>
      <c r="F784" s="276">
        <f>ROUND(BA63,0)</f>
        <v>0</v>
      </c>
      <c r="G784" s="276">
        <f>ROUND(BA64,0)</f>
        <v>15909</v>
      </c>
      <c r="H784" s="276">
        <f>ROUND(BA65,0)</f>
        <v>0</v>
      </c>
      <c r="I784" s="276">
        <f>ROUND(BA66,0)</f>
        <v>0</v>
      </c>
      <c r="J784" s="276">
        <f>ROUND(BA67,0)</f>
        <v>6319</v>
      </c>
      <c r="K784" s="276">
        <f>ROUND(BA68,0)</f>
        <v>0</v>
      </c>
      <c r="L784" s="276">
        <f>ROUND(BA69,0)</f>
        <v>0</v>
      </c>
      <c r="M784" s="276">
        <f>ROUND(BA70,0)</f>
        <v>0</v>
      </c>
      <c r="N784" s="276"/>
      <c r="O784" s="276"/>
      <c r="P784" s="276">
        <f>IF(BA76&gt;0,ROUND(BA76,0),0)</f>
        <v>3589</v>
      </c>
      <c r="Q784" s="276">
        <f>IF(BA77&gt;0,ROUND(BA77,0),0)</f>
        <v>0</v>
      </c>
      <c r="R784" s="276">
        <f>IF(BA78&gt;0,ROUND(BA78,0),0)</f>
        <v>457</v>
      </c>
      <c r="S784" s="276">
        <f>IF(BA79&gt;0,ROUND(BA79,0),0)</f>
        <v>0</v>
      </c>
      <c r="T784" s="278">
        <f>IF(BA80&gt;0,ROUND(BA80,2),0)</f>
        <v>0</v>
      </c>
      <c r="U784" s="276"/>
      <c r="V784" s="277"/>
      <c r="W784" s="276"/>
      <c r="X784" s="276"/>
      <c r="Y784" s="276"/>
      <c r="Z784" s="277"/>
      <c r="AA784" s="277"/>
      <c r="AB784" s="277"/>
      <c r="AC784" s="277"/>
      <c r="AD784" s="277"/>
      <c r="AE784" s="277"/>
      <c r="AF784" s="277"/>
      <c r="AG784" s="277"/>
      <c r="AH784" s="277"/>
      <c r="AI784" s="277"/>
      <c r="AJ784" s="277"/>
      <c r="AK784" s="277"/>
      <c r="AL784" s="277"/>
      <c r="AM784" s="277"/>
      <c r="AN784" s="277"/>
      <c r="AO784" s="277"/>
      <c r="AP784" s="277"/>
      <c r="AQ784" s="277"/>
      <c r="AR784" s="277"/>
      <c r="AS784" s="277"/>
      <c r="AT784" s="277"/>
      <c r="AU784" s="277"/>
      <c r="AV784" s="277"/>
      <c r="AW784" s="277"/>
      <c r="AX784" s="277"/>
      <c r="AY784" s="277"/>
      <c r="AZ784" s="277"/>
      <c r="BA784" s="277"/>
      <c r="BB784" s="277"/>
      <c r="BC784" s="277"/>
      <c r="BD784" s="277"/>
      <c r="BE784" s="277"/>
      <c r="BF784" s="277"/>
      <c r="BG784" s="277"/>
      <c r="BH784" s="277"/>
      <c r="BI784" s="277"/>
      <c r="BJ784" s="277"/>
      <c r="BK784" s="277"/>
      <c r="BL784" s="277"/>
      <c r="BM784" s="277"/>
      <c r="BN784" s="277"/>
      <c r="BO784" s="277"/>
      <c r="BP784" s="277"/>
      <c r="BQ784" s="277"/>
      <c r="BR784" s="277"/>
      <c r="BS784" s="277"/>
      <c r="BT784" s="277"/>
      <c r="BU784" s="277"/>
      <c r="BV784" s="277"/>
      <c r="BW784" s="277"/>
      <c r="BX784" s="277"/>
      <c r="BY784" s="277"/>
      <c r="BZ784" s="277"/>
      <c r="CA784" s="277"/>
      <c r="CB784" s="277"/>
      <c r="CC784" s="277"/>
      <c r="CD784" s="277"/>
      <c r="CE784" s="277"/>
    </row>
    <row r="785" spans="1:83" ht="12.65" customHeight="1" x14ac:dyDescent="0.35">
      <c r="A785" s="209" t="str">
        <f>RIGHT($C$83,3)&amp;"*"&amp;RIGHT($C$82,4)&amp;"*"&amp;BB$55&amp;"*"&amp;"A"</f>
        <v>164*2021*8360*A</v>
      </c>
      <c r="B785" s="276"/>
      <c r="C785" s="278">
        <f>ROUND(BB60,2)</f>
        <v>0.1</v>
      </c>
      <c r="D785" s="276">
        <f>ROUND(BB61,0)</f>
        <v>12261</v>
      </c>
      <c r="E785" s="276">
        <f>ROUND(BB62,0)</f>
        <v>106661</v>
      </c>
      <c r="F785" s="276">
        <f>ROUND(BB63,0)</f>
        <v>0</v>
      </c>
      <c r="G785" s="276">
        <f>ROUND(BB64,0)</f>
        <v>0</v>
      </c>
      <c r="H785" s="276">
        <f>ROUND(BB65,0)</f>
        <v>0</v>
      </c>
      <c r="I785" s="276">
        <f>ROUND(BB66,0)</f>
        <v>240000</v>
      </c>
      <c r="J785" s="276">
        <f>ROUND(BB67,0)</f>
        <v>17585</v>
      </c>
      <c r="K785" s="276">
        <f>ROUND(BB68,0)</f>
        <v>0</v>
      </c>
      <c r="L785" s="276">
        <f>ROUND(BB69,0)</f>
        <v>0</v>
      </c>
      <c r="M785" s="276">
        <f>ROUND(BB70,0)</f>
        <v>0</v>
      </c>
      <c r="N785" s="276"/>
      <c r="O785" s="276"/>
      <c r="P785" s="276">
        <f>IF(BB76&gt;0,ROUND(BB76,0),0)</f>
        <v>0</v>
      </c>
      <c r="Q785" s="276">
        <f>IF(BB77&gt;0,ROUND(BB77,0),0)</f>
        <v>0</v>
      </c>
      <c r="R785" s="276">
        <f>IF(BB78&gt;0,ROUND(BB78,0),0)</f>
        <v>0</v>
      </c>
      <c r="S785" s="276">
        <f>IF(BB79&gt;0,ROUND(BB79,0),0)</f>
        <v>0</v>
      </c>
      <c r="T785" s="278">
        <f>IF(BB80&gt;0,ROUND(BB80,2),0)</f>
        <v>0</v>
      </c>
      <c r="U785" s="276"/>
      <c r="V785" s="277"/>
      <c r="W785" s="276"/>
      <c r="X785" s="276"/>
      <c r="Y785" s="276"/>
      <c r="Z785" s="277"/>
      <c r="AA785" s="277"/>
      <c r="AB785" s="277"/>
      <c r="AC785" s="277"/>
      <c r="AD785" s="277"/>
      <c r="AE785" s="277"/>
      <c r="AF785" s="277"/>
      <c r="AG785" s="277"/>
      <c r="AH785" s="277"/>
      <c r="AI785" s="277"/>
      <c r="AJ785" s="277"/>
      <c r="AK785" s="277"/>
      <c r="AL785" s="277"/>
      <c r="AM785" s="277"/>
      <c r="AN785" s="277"/>
      <c r="AO785" s="277"/>
      <c r="AP785" s="277"/>
      <c r="AQ785" s="277"/>
      <c r="AR785" s="277"/>
      <c r="AS785" s="277"/>
      <c r="AT785" s="277"/>
      <c r="AU785" s="277"/>
      <c r="AV785" s="277"/>
      <c r="AW785" s="277"/>
      <c r="AX785" s="277"/>
      <c r="AY785" s="277"/>
      <c r="AZ785" s="277"/>
      <c r="BA785" s="277"/>
      <c r="BB785" s="277"/>
      <c r="BC785" s="277"/>
      <c r="BD785" s="277"/>
      <c r="BE785" s="277"/>
      <c r="BF785" s="277"/>
      <c r="BG785" s="277"/>
      <c r="BH785" s="277"/>
      <c r="BI785" s="277"/>
      <c r="BJ785" s="277"/>
      <c r="BK785" s="277"/>
      <c r="BL785" s="277"/>
      <c r="BM785" s="277"/>
      <c r="BN785" s="277"/>
      <c r="BO785" s="277"/>
      <c r="BP785" s="277"/>
      <c r="BQ785" s="277"/>
      <c r="BR785" s="277"/>
      <c r="BS785" s="277"/>
      <c r="BT785" s="277"/>
      <c r="BU785" s="277"/>
      <c r="BV785" s="277"/>
      <c r="BW785" s="277"/>
      <c r="BX785" s="277"/>
      <c r="BY785" s="277"/>
      <c r="BZ785" s="277"/>
      <c r="CA785" s="277"/>
      <c r="CB785" s="277"/>
      <c r="CC785" s="277"/>
      <c r="CD785" s="277"/>
      <c r="CE785" s="277"/>
    </row>
    <row r="786" spans="1:83" ht="12.65" customHeight="1" x14ac:dyDescent="0.35">
      <c r="A786" s="209" t="str">
        <f>RIGHT($C$83,3)&amp;"*"&amp;RIGHT($C$82,4)&amp;"*"&amp;BC$55&amp;"*"&amp;"A"</f>
        <v>164*2021*8370*A</v>
      </c>
      <c r="B786" s="276"/>
      <c r="C786" s="278">
        <f>ROUND(BC60,2)</f>
        <v>7.11</v>
      </c>
      <c r="D786" s="276">
        <f>ROUND(BC61,0)</f>
        <v>341743</v>
      </c>
      <c r="E786" s="276">
        <f>ROUND(BC62,0)</f>
        <v>76723</v>
      </c>
      <c r="F786" s="276">
        <f>ROUND(BC63,0)</f>
        <v>0</v>
      </c>
      <c r="G786" s="276">
        <f>ROUND(BC64,0)</f>
        <v>2325</v>
      </c>
      <c r="H786" s="276">
        <f>ROUND(BC65,0)</f>
        <v>0</v>
      </c>
      <c r="I786" s="276">
        <f>ROUND(BC66,0)</f>
        <v>0</v>
      </c>
      <c r="J786" s="276">
        <f>ROUND(BC67,0)</f>
        <v>70165</v>
      </c>
      <c r="K786" s="276">
        <f>ROUND(BC68,0)</f>
        <v>0</v>
      </c>
      <c r="L786" s="276">
        <f>ROUND(BC69,0)</f>
        <v>0</v>
      </c>
      <c r="M786" s="276">
        <f>ROUND(BC70,0)</f>
        <v>0</v>
      </c>
      <c r="N786" s="276"/>
      <c r="O786" s="276"/>
      <c r="P786" s="276">
        <f>IF(BC76&gt;0,ROUND(BC76,0),0)</f>
        <v>0</v>
      </c>
      <c r="Q786" s="276">
        <f>IF(BC77&gt;0,ROUND(BC77,0),0)</f>
        <v>0</v>
      </c>
      <c r="R786" s="276">
        <f>IF(BC78&gt;0,ROUND(BC78,0),0)</f>
        <v>0</v>
      </c>
      <c r="S786" s="276">
        <f>IF(BC79&gt;0,ROUND(BC79,0),0)</f>
        <v>0</v>
      </c>
      <c r="T786" s="278">
        <f>IF(BC80&gt;0,ROUND(BC80,2),0)</f>
        <v>0</v>
      </c>
      <c r="U786" s="276"/>
      <c r="V786" s="277"/>
      <c r="W786" s="276"/>
      <c r="X786" s="276"/>
      <c r="Y786" s="276"/>
      <c r="Z786" s="277"/>
      <c r="AA786" s="277"/>
      <c r="AB786" s="277"/>
      <c r="AC786" s="277"/>
      <c r="AD786" s="277"/>
      <c r="AE786" s="277"/>
      <c r="AF786" s="277"/>
      <c r="AG786" s="277"/>
      <c r="AH786" s="277"/>
      <c r="AI786" s="277"/>
      <c r="AJ786" s="277"/>
      <c r="AK786" s="277"/>
      <c r="AL786" s="277"/>
      <c r="AM786" s="277"/>
      <c r="AN786" s="277"/>
      <c r="AO786" s="277"/>
      <c r="AP786" s="277"/>
      <c r="AQ786" s="277"/>
      <c r="AR786" s="277"/>
      <c r="AS786" s="277"/>
      <c r="AT786" s="277"/>
      <c r="AU786" s="277"/>
      <c r="AV786" s="277"/>
      <c r="AW786" s="277"/>
      <c r="AX786" s="277"/>
      <c r="AY786" s="277"/>
      <c r="AZ786" s="277"/>
      <c r="BA786" s="277"/>
      <c r="BB786" s="277"/>
      <c r="BC786" s="277"/>
      <c r="BD786" s="277"/>
      <c r="BE786" s="277"/>
      <c r="BF786" s="277"/>
      <c r="BG786" s="277"/>
      <c r="BH786" s="277"/>
      <c r="BI786" s="277"/>
      <c r="BJ786" s="277"/>
      <c r="BK786" s="277"/>
      <c r="BL786" s="277"/>
      <c r="BM786" s="277"/>
      <c r="BN786" s="277"/>
      <c r="BO786" s="277"/>
      <c r="BP786" s="277"/>
      <c r="BQ786" s="277"/>
      <c r="BR786" s="277"/>
      <c r="BS786" s="277"/>
      <c r="BT786" s="277"/>
      <c r="BU786" s="277"/>
      <c r="BV786" s="277"/>
      <c r="BW786" s="277"/>
      <c r="BX786" s="277"/>
      <c r="BY786" s="277"/>
      <c r="BZ786" s="277"/>
      <c r="CA786" s="277"/>
      <c r="CB786" s="277"/>
      <c r="CC786" s="277"/>
      <c r="CD786" s="277"/>
      <c r="CE786" s="277"/>
    </row>
    <row r="787" spans="1:83" ht="12.65" customHeight="1" x14ac:dyDescent="0.35">
      <c r="A787" s="209" t="str">
        <f>RIGHT($C$83,3)&amp;"*"&amp;RIGHT($C$82,4)&amp;"*"&amp;BD$55&amp;"*"&amp;"A"</f>
        <v>164*2021*8420*A</v>
      </c>
      <c r="B787" s="276"/>
      <c r="C787" s="278">
        <f>ROUND(BD60,2)</f>
        <v>34.86</v>
      </c>
      <c r="D787" s="276">
        <f>ROUND(BD61,0)</f>
        <v>2259223</v>
      </c>
      <c r="E787" s="276">
        <f>ROUND(BD62,0)</f>
        <v>685705</v>
      </c>
      <c r="F787" s="276">
        <f>ROUND(BD63,0)</f>
        <v>0</v>
      </c>
      <c r="G787" s="276">
        <f>ROUND(BD64,0)</f>
        <v>45718</v>
      </c>
      <c r="H787" s="276">
        <f>ROUND(BD65,0)</f>
        <v>315</v>
      </c>
      <c r="I787" s="276">
        <f>ROUND(BD66,0)</f>
        <v>18749</v>
      </c>
      <c r="J787" s="276">
        <f>ROUND(BD67,0)</f>
        <v>6212410</v>
      </c>
      <c r="K787" s="276">
        <f>ROUND(BD68,0)</f>
        <v>0</v>
      </c>
      <c r="L787" s="276">
        <f>ROUND(BD69,0)</f>
        <v>258871</v>
      </c>
      <c r="M787" s="276">
        <f>ROUND(BD70,0)</f>
        <v>0</v>
      </c>
      <c r="N787" s="276"/>
      <c r="O787" s="276"/>
      <c r="P787" s="276">
        <f>IF(BD76&gt;0,ROUND(BD76,0),0)</f>
        <v>9077</v>
      </c>
      <c r="Q787" s="276">
        <f>IF(BD77&gt;0,ROUND(BD77,0),0)</f>
        <v>0</v>
      </c>
      <c r="R787" s="276">
        <f>IF(BD78&gt;0,ROUND(BD78,0),0)</f>
        <v>0</v>
      </c>
      <c r="S787" s="276">
        <f>IF(BD79&gt;0,ROUND(BD79,0),0)</f>
        <v>0</v>
      </c>
      <c r="T787" s="278">
        <f>IF(BD80&gt;0,ROUND(BD80,2),0)</f>
        <v>0</v>
      </c>
      <c r="U787" s="276"/>
      <c r="V787" s="277"/>
      <c r="W787" s="276"/>
      <c r="X787" s="276"/>
      <c r="Y787" s="276"/>
      <c r="Z787" s="277"/>
      <c r="AA787" s="277"/>
      <c r="AB787" s="277"/>
      <c r="AC787" s="277"/>
      <c r="AD787" s="277"/>
      <c r="AE787" s="277"/>
      <c r="AF787" s="277"/>
      <c r="AG787" s="277"/>
      <c r="AH787" s="277"/>
      <c r="AI787" s="277"/>
      <c r="AJ787" s="277"/>
      <c r="AK787" s="277"/>
      <c r="AL787" s="277"/>
      <c r="AM787" s="277"/>
      <c r="AN787" s="277"/>
      <c r="AO787" s="277"/>
      <c r="AP787" s="277"/>
      <c r="AQ787" s="277"/>
      <c r="AR787" s="277"/>
      <c r="AS787" s="277"/>
      <c r="AT787" s="277"/>
      <c r="AU787" s="277"/>
      <c r="AV787" s="277"/>
      <c r="AW787" s="277"/>
      <c r="AX787" s="277"/>
      <c r="AY787" s="277"/>
      <c r="AZ787" s="277"/>
      <c r="BA787" s="277"/>
      <c r="BB787" s="277"/>
      <c r="BC787" s="277"/>
      <c r="BD787" s="277"/>
      <c r="BE787" s="277"/>
      <c r="BF787" s="277"/>
      <c r="BG787" s="277"/>
      <c r="BH787" s="277"/>
      <c r="BI787" s="277"/>
      <c r="BJ787" s="277"/>
      <c r="BK787" s="277"/>
      <c r="BL787" s="277"/>
      <c r="BM787" s="277"/>
      <c r="BN787" s="277"/>
      <c r="BO787" s="277"/>
      <c r="BP787" s="277"/>
      <c r="BQ787" s="277"/>
      <c r="BR787" s="277"/>
      <c r="BS787" s="277"/>
      <c r="BT787" s="277"/>
      <c r="BU787" s="277"/>
      <c r="BV787" s="277"/>
      <c r="BW787" s="277"/>
      <c r="BX787" s="277"/>
      <c r="BY787" s="277"/>
      <c r="BZ787" s="277"/>
      <c r="CA787" s="277"/>
      <c r="CB787" s="277"/>
      <c r="CC787" s="277"/>
      <c r="CD787" s="277"/>
      <c r="CE787" s="277"/>
    </row>
    <row r="788" spans="1:83" ht="12.65" customHeight="1" x14ac:dyDescent="0.35">
      <c r="A788" s="209" t="str">
        <f>RIGHT($C$83,3)&amp;"*"&amp;RIGHT($C$82,4)&amp;"*"&amp;BE$55&amp;"*"&amp;"A"</f>
        <v>164*2021*8430*A</v>
      </c>
      <c r="B788" s="276">
        <f>ROUND(BE59,0)</f>
        <v>679195</v>
      </c>
      <c r="C788" s="278">
        <f>ROUND(BE60,2)</f>
        <v>51.06</v>
      </c>
      <c r="D788" s="276">
        <f>ROUND(BE61,0)</f>
        <v>3652523</v>
      </c>
      <c r="E788" s="276">
        <f>ROUND(BE62,0)</f>
        <v>1032324</v>
      </c>
      <c r="F788" s="276">
        <f>ROUND(BE63,0)</f>
        <v>0</v>
      </c>
      <c r="G788" s="276">
        <f>ROUND(BE64,0)</f>
        <v>552215</v>
      </c>
      <c r="H788" s="276">
        <f>ROUND(BE65,0)</f>
        <v>4356713</v>
      </c>
      <c r="I788" s="276">
        <f>ROUND(BE66,0)</f>
        <v>2821913</v>
      </c>
      <c r="J788" s="276">
        <f>ROUND(BE67,0)</f>
        <v>235820</v>
      </c>
      <c r="K788" s="276">
        <f>ROUND(BE68,0)</f>
        <v>3840991</v>
      </c>
      <c r="L788" s="276">
        <f>ROUND(BE69,0)</f>
        <v>193488</v>
      </c>
      <c r="M788" s="276">
        <f>ROUND(BE70,0)</f>
        <v>6955848</v>
      </c>
      <c r="N788" s="276"/>
      <c r="O788" s="276"/>
      <c r="P788" s="276">
        <f>IF(BE76&gt;0,ROUND(BE76,0),0)</f>
        <v>679195</v>
      </c>
      <c r="Q788" s="276">
        <f>IF(BE77&gt;0,ROUND(BE77,0),0)</f>
        <v>0</v>
      </c>
      <c r="R788" s="276">
        <f>IF(BE78&gt;0,ROUND(BE78,0),0)</f>
        <v>0</v>
      </c>
      <c r="S788" s="276">
        <f>IF(BE79&gt;0,ROUND(BE79,0),0)</f>
        <v>0</v>
      </c>
      <c r="T788" s="278">
        <f>IF(BE80&gt;0,ROUND(BE80,2),0)</f>
        <v>0</v>
      </c>
      <c r="U788" s="276"/>
      <c r="V788" s="277"/>
      <c r="W788" s="276"/>
      <c r="X788" s="276"/>
      <c r="Y788" s="276"/>
      <c r="Z788" s="277"/>
      <c r="AA788" s="277"/>
      <c r="AB788" s="277"/>
      <c r="AC788" s="277"/>
      <c r="AD788" s="277"/>
      <c r="AE788" s="277"/>
      <c r="AF788" s="277"/>
      <c r="AG788" s="277"/>
      <c r="AH788" s="277"/>
      <c r="AI788" s="277"/>
      <c r="AJ788" s="277"/>
      <c r="AK788" s="277"/>
      <c r="AL788" s="277"/>
      <c r="AM788" s="277"/>
      <c r="AN788" s="277"/>
      <c r="AO788" s="277"/>
      <c r="AP788" s="277"/>
      <c r="AQ788" s="277"/>
      <c r="AR788" s="277"/>
      <c r="AS788" s="277"/>
      <c r="AT788" s="277"/>
      <c r="AU788" s="277"/>
      <c r="AV788" s="277"/>
      <c r="AW788" s="277"/>
      <c r="AX788" s="277"/>
      <c r="AY788" s="277"/>
      <c r="AZ788" s="277"/>
      <c r="BA788" s="277"/>
      <c r="BB788" s="277"/>
      <c r="BC788" s="277"/>
      <c r="BD788" s="277"/>
      <c r="BE788" s="277"/>
      <c r="BF788" s="277"/>
      <c r="BG788" s="277"/>
      <c r="BH788" s="277"/>
      <c r="BI788" s="277"/>
      <c r="BJ788" s="277"/>
      <c r="BK788" s="277"/>
      <c r="BL788" s="277"/>
      <c r="BM788" s="277"/>
      <c r="BN788" s="277"/>
      <c r="BO788" s="277"/>
      <c r="BP788" s="277"/>
      <c r="BQ788" s="277"/>
      <c r="BR788" s="277"/>
      <c r="BS788" s="277"/>
      <c r="BT788" s="277"/>
      <c r="BU788" s="277"/>
      <c r="BV788" s="277"/>
      <c r="BW788" s="277"/>
      <c r="BX788" s="277"/>
      <c r="BY788" s="277"/>
      <c r="BZ788" s="277"/>
      <c r="CA788" s="277"/>
      <c r="CB788" s="277"/>
      <c r="CC788" s="277"/>
      <c r="CD788" s="277"/>
      <c r="CE788" s="277"/>
    </row>
    <row r="789" spans="1:83" ht="12.65" customHeight="1" x14ac:dyDescent="0.35">
      <c r="A789" s="209" t="str">
        <f>RIGHT($C$83,3)&amp;"*"&amp;RIGHT($C$82,4)&amp;"*"&amp;BF$55&amp;"*"&amp;"A"</f>
        <v>164*2021*8460*A</v>
      </c>
      <c r="B789" s="276"/>
      <c r="C789" s="278">
        <f>ROUND(BF60,2)</f>
        <v>98.28</v>
      </c>
      <c r="D789" s="276">
        <f>ROUND(BF61,0)</f>
        <v>4799763</v>
      </c>
      <c r="E789" s="276">
        <f>ROUND(BF62,0)</f>
        <v>1659715</v>
      </c>
      <c r="F789" s="276">
        <f>ROUND(BF63,0)</f>
        <v>0</v>
      </c>
      <c r="G789" s="276">
        <f>ROUND(BF64,0)</f>
        <v>366961</v>
      </c>
      <c r="H789" s="276">
        <f>ROUND(BF65,0)</f>
        <v>501155</v>
      </c>
      <c r="I789" s="276">
        <f>ROUND(BF66,0)</f>
        <v>-988695</v>
      </c>
      <c r="J789" s="276">
        <f>ROUND(BF67,0)</f>
        <v>42419</v>
      </c>
      <c r="K789" s="276">
        <f>ROUND(BF68,0)</f>
        <v>0</v>
      </c>
      <c r="L789" s="276">
        <f>ROUND(BF69,0)</f>
        <v>1647</v>
      </c>
      <c r="M789" s="276">
        <f>ROUND(BF70,0)</f>
        <v>7052</v>
      </c>
      <c r="N789" s="276"/>
      <c r="O789" s="276"/>
      <c r="P789" s="276">
        <f>IF(BF76&gt;0,ROUND(BF76,0),0)</f>
        <v>9629</v>
      </c>
      <c r="Q789" s="276">
        <f>IF(BF77&gt;0,ROUND(BF77,0),0)</f>
        <v>0</v>
      </c>
      <c r="R789" s="276">
        <f>IF(BF78&gt;0,ROUND(BF78,0),0)</f>
        <v>0</v>
      </c>
      <c r="S789" s="276">
        <f>IF(BF79&gt;0,ROUND(BF79,0),0)</f>
        <v>0</v>
      </c>
      <c r="T789" s="278">
        <f>IF(BF80&gt;0,ROUND(BF80,2),0)</f>
        <v>0</v>
      </c>
      <c r="U789" s="276"/>
      <c r="V789" s="277"/>
      <c r="W789" s="276"/>
      <c r="X789" s="276"/>
      <c r="Y789" s="276"/>
      <c r="Z789" s="277"/>
      <c r="AA789" s="277"/>
      <c r="AB789" s="277"/>
      <c r="AC789" s="277"/>
      <c r="AD789" s="277"/>
      <c r="AE789" s="277"/>
      <c r="AF789" s="277"/>
      <c r="AG789" s="277"/>
      <c r="AH789" s="277"/>
      <c r="AI789" s="277"/>
      <c r="AJ789" s="277"/>
      <c r="AK789" s="277"/>
      <c r="AL789" s="277"/>
      <c r="AM789" s="277"/>
      <c r="AN789" s="277"/>
      <c r="AO789" s="277"/>
      <c r="AP789" s="277"/>
      <c r="AQ789" s="277"/>
      <c r="AR789" s="277"/>
      <c r="AS789" s="277"/>
      <c r="AT789" s="277"/>
      <c r="AU789" s="277"/>
      <c r="AV789" s="277"/>
      <c r="AW789" s="277"/>
      <c r="AX789" s="277"/>
      <c r="AY789" s="277"/>
      <c r="AZ789" s="277"/>
      <c r="BA789" s="277"/>
      <c r="BB789" s="277"/>
      <c r="BC789" s="277"/>
      <c r="BD789" s="277"/>
      <c r="BE789" s="277"/>
      <c r="BF789" s="277"/>
      <c r="BG789" s="277"/>
      <c r="BH789" s="277"/>
      <c r="BI789" s="277"/>
      <c r="BJ789" s="277"/>
      <c r="BK789" s="277"/>
      <c r="BL789" s="277"/>
      <c r="BM789" s="277"/>
      <c r="BN789" s="277"/>
      <c r="BO789" s="277"/>
      <c r="BP789" s="277"/>
      <c r="BQ789" s="277"/>
      <c r="BR789" s="277"/>
      <c r="BS789" s="277"/>
      <c r="BT789" s="277"/>
      <c r="BU789" s="277"/>
      <c r="BV789" s="277"/>
      <c r="BW789" s="277"/>
      <c r="BX789" s="277"/>
      <c r="BY789" s="277"/>
      <c r="BZ789" s="277"/>
      <c r="CA789" s="277"/>
      <c r="CB789" s="277"/>
      <c r="CC789" s="277"/>
      <c r="CD789" s="277"/>
      <c r="CE789" s="277"/>
    </row>
    <row r="790" spans="1:83" ht="12.65" customHeight="1" x14ac:dyDescent="0.35">
      <c r="A790" s="209" t="str">
        <f>RIGHT($C$83,3)&amp;"*"&amp;RIGHT($C$82,4)&amp;"*"&amp;BG$55&amp;"*"&amp;"A"</f>
        <v>164*2021*8470*A</v>
      </c>
      <c r="B790" s="276"/>
      <c r="C790" s="278">
        <f>ROUND(BG60,2)</f>
        <v>16.72</v>
      </c>
      <c r="D790" s="276">
        <f>ROUND(BG61,0)</f>
        <v>1138216</v>
      </c>
      <c r="E790" s="276">
        <f>ROUND(BG62,0)</f>
        <v>265747</v>
      </c>
      <c r="F790" s="276">
        <f>ROUND(BG63,0)</f>
        <v>0</v>
      </c>
      <c r="G790" s="276">
        <f>ROUND(BG64,0)</f>
        <v>87012</v>
      </c>
      <c r="H790" s="276">
        <f>ROUND(BG65,0)</f>
        <v>1208073</v>
      </c>
      <c r="I790" s="276">
        <f>ROUND(BG66,0)</f>
        <v>247412</v>
      </c>
      <c r="J790" s="276">
        <f>ROUND(BG67,0)</f>
        <v>0</v>
      </c>
      <c r="K790" s="276">
        <f>ROUND(BG68,0)</f>
        <v>6733</v>
      </c>
      <c r="L790" s="276">
        <f>ROUND(BG69,0)</f>
        <v>0</v>
      </c>
      <c r="M790" s="276">
        <f>ROUND(BG70,0)</f>
        <v>256299</v>
      </c>
      <c r="N790" s="276"/>
      <c r="O790" s="276"/>
      <c r="P790" s="276">
        <f>IF(BG76&gt;0,ROUND(BG76,0),0)</f>
        <v>5077</v>
      </c>
      <c r="Q790" s="276">
        <f>IF(BG77&gt;0,ROUND(BG77,0),0)</f>
        <v>0</v>
      </c>
      <c r="R790" s="276">
        <f>IF(BG78&gt;0,ROUND(BG78,0),0)</f>
        <v>0</v>
      </c>
      <c r="S790" s="276">
        <f>IF(BG79&gt;0,ROUND(BG79,0),0)</f>
        <v>0</v>
      </c>
      <c r="T790" s="278">
        <f>IF(BG80&gt;0,ROUND(BG80,2),0)</f>
        <v>0</v>
      </c>
      <c r="U790" s="276"/>
      <c r="V790" s="277"/>
      <c r="W790" s="276"/>
      <c r="X790" s="276"/>
      <c r="Y790" s="276"/>
      <c r="Z790" s="277"/>
      <c r="AA790" s="277"/>
      <c r="AB790" s="277"/>
      <c r="AC790" s="277"/>
      <c r="AD790" s="277"/>
      <c r="AE790" s="277"/>
      <c r="AF790" s="277"/>
      <c r="AG790" s="277"/>
      <c r="AH790" s="277"/>
      <c r="AI790" s="277"/>
      <c r="AJ790" s="277"/>
      <c r="AK790" s="277"/>
      <c r="AL790" s="277"/>
      <c r="AM790" s="277"/>
      <c r="AN790" s="277"/>
      <c r="AO790" s="277"/>
      <c r="AP790" s="277"/>
      <c r="AQ790" s="277"/>
      <c r="AR790" s="277"/>
      <c r="AS790" s="277"/>
      <c r="AT790" s="277"/>
      <c r="AU790" s="277"/>
      <c r="AV790" s="277"/>
      <c r="AW790" s="277"/>
      <c r="AX790" s="277"/>
      <c r="AY790" s="277"/>
      <c r="AZ790" s="277"/>
      <c r="BA790" s="277"/>
      <c r="BB790" s="277"/>
      <c r="BC790" s="277"/>
      <c r="BD790" s="277"/>
      <c r="BE790" s="277"/>
      <c r="BF790" s="277"/>
      <c r="BG790" s="277"/>
      <c r="BH790" s="277"/>
      <c r="BI790" s="277"/>
      <c r="BJ790" s="277"/>
      <c r="BK790" s="277"/>
      <c r="BL790" s="277"/>
      <c r="BM790" s="277"/>
      <c r="BN790" s="277"/>
      <c r="BO790" s="277"/>
      <c r="BP790" s="277"/>
      <c r="BQ790" s="277"/>
      <c r="BR790" s="277"/>
      <c r="BS790" s="277"/>
      <c r="BT790" s="277"/>
      <c r="BU790" s="277"/>
      <c r="BV790" s="277"/>
      <c r="BW790" s="277"/>
      <c r="BX790" s="277"/>
      <c r="BY790" s="277"/>
      <c r="BZ790" s="277"/>
      <c r="CA790" s="277"/>
      <c r="CB790" s="277"/>
      <c r="CC790" s="277"/>
      <c r="CD790" s="277"/>
      <c r="CE790" s="277"/>
    </row>
    <row r="791" spans="1:83" ht="12.65" customHeight="1" x14ac:dyDescent="0.35">
      <c r="A791" s="209" t="str">
        <f>RIGHT($C$83,3)&amp;"*"&amp;RIGHT($C$82,4)&amp;"*"&amp;BH$55&amp;"*"&amp;"A"</f>
        <v>164*2021*8480*A</v>
      </c>
      <c r="B791" s="276"/>
      <c r="C791" s="278">
        <f>ROUND(BH60,2)</f>
        <v>127.9</v>
      </c>
      <c r="D791" s="276">
        <f>ROUND(BH61,0)</f>
        <v>14678572</v>
      </c>
      <c r="E791" s="276">
        <f>ROUND(BH62,0)</f>
        <v>3145415</v>
      </c>
      <c r="F791" s="276">
        <f>ROUND(BH63,0)</f>
        <v>-5000</v>
      </c>
      <c r="G791" s="276">
        <f>ROUND(BH64,0)</f>
        <v>1100198</v>
      </c>
      <c r="H791" s="276">
        <f>ROUND(BH65,0)</f>
        <v>6323</v>
      </c>
      <c r="I791" s="276">
        <f>ROUND(BH66,0)</f>
        <v>14913579</v>
      </c>
      <c r="J791" s="276">
        <f>ROUND(BH67,0)</f>
        <v>6079695</v>
      </c>
      <c r="K791" s="276">
        <f>ROUND(BH68,0)</f>
        <v>0</v>
      </c>
      <c r="L791" s="276">
        <f>ROUND(BH69,0)</f>
        <v>35977</v>
      </c>
      <c r="M791" s="276">
        <f>ROUND(BH70,0)</f>
        <v>63819</v>
      </c>
      <c r="N791" s="276"/>
      <c r="O791" s="276"/>
      <c r="P791" s="276">
        <f>IF(BH76&gt;0,ROUND(BH76,0),0)</f>
        <v>24834</v>
      </c>
      <c r="Q791" s="276">
        <f>IF(BH77&gt;0,ROUND(BH77,0),0)</f>
        <v>0</v>
      </c>
      <c r="R791" s="276">
        <f>IF(BH78&gt;0,ROUND(BH78,0),0)</f>
        <v>3162</v>
      </c>
      <c r="S791" s="276">
        <f>IF(BH79&gt;0,ROUND(BH79,0),0)</f>
        <v>0</v>
      </c>
      <c r="T791" s="278">
        <f>IF(BH80&gt;0,ROUND(BH80,2),0)</f>
        <v>0</v>
      </c>
      <c r="U791" s="276"/>
      <c r="V791" s="277"/>
      <c r="W791" s="276"/>
      <c r="X791" s="276"/>
      <c r="Y791" s="276"/>
      <c r="Z791" s="277"/>
      <c r="AA791" s="277"/>
      <c r="AB791" s="277"/>
      <c r="AC791" s="277"/>
      <c r="AD791" s="277"/>
      <c r="AE791" s="277"/>
      <c r="AF791" s="277"/>
      <c r="AG791" s="277"/>
      <c r="AH791" s="277"/>
      <c r="AI791" s="277"/>
      <c r="AJ791" s="277"/>
      <c r="AK791" s="277"/>
      <c r="AL791" s="277"/>
      <c r="AM791" s="277"/>
      <c r="AN791" s="277"/>
      <c r="AO791" s="277"/>
      <c r="AP791" s="277"/>
      <c r="AQ791" s="277"/>
      <c r="AR791" s="277"/>
      <c r="AS791" s="277"/>
      <c r="AT791" s="277"/>
      <c r="AU791" s="277"/>
      <c r="AV791" s="277"/>
      <c r="AW791" s="277"/>
      <c r="AX791" s="277"/>
      <c r="AY791" s="277"/>
      <c r="AZ791" s="277"/>
      <c r="BA791" s="277"/>
      <c r="BB791" s="277"/>
      <c r="BC791" s="277"/>
      <c r="BD791" s="277"/>
      <c r="BE791" s="277"/>
      <c r="BF791" s="277"/>
      <c r="BG791" s="277"/>
      <c r="BH791" s="277"/>
      <c r="BI791" s="277"/>
      <c r="BJ791" s="277"/>
      <c r="BK791" s="277"/>
      <c r="BL791" s="277"/>
      <c r="BM791" s="277"/>
      <c r="BN791" s="277"/>
      <c r="BO791" s="277"/>
      <c r="BP791" s="277"/>
      <c r="BQ791" s="277"/>
      <c r="BR791" s="277"/>
      <c r="BS791" s="277"/>
      <c r="BT791" s="277"/>
      <c r="BU791" s="277"/>
      <c r="BV791" s="277"/>
      <c r="BW791" s="277"/>
      <c r="BX791" s="277"/>
      <c r="BY791" s="277"/>
      <c r="BZ791" s="277"/>
      <c r="CA791" s="277"/>
      <c r="CB791" s="277"/>
      <c r="CC791" s="277"/>
      <c r="CD791" s="277"/>
      <c r="CE791" s="277"/>
    </row>
    <row r="792" spans="1:83" ht="12.65" customHeight="1" x14ac:dyDescent="0.35">
      <c r="A792" s="209" t="str">
        <f>RIGHT($C$83,3)&amp;"*"&amp;RIGHT($C$82,4)&amp;"*"&amp;BI$55&amp;"*"&amp;"A"</f>
        <v>164*2021*8490*A</v>
      </c>
      <c r="B792" s="276"/>
      <c r="C792" s="278">
        <f>ROUND(BI60,2)</f>
        <v>69.66</v>
      </c>
      <c r="D792" s="276">
        <f>ROUND(BI61,0)</f>
        <v>5979338</v>
      </c>
      <c r="E792" s="276">
        <f>ROUND(BI62,0)</f>
        <v>502295</v>
      </c>
      <c r="F792" s="276">
        <f>ROUND(BI63,0)</f>
        <v>760827</v>
      </c>
      <c r="G792" s="276">
        <f>ROUND(BI64,0)</f>
        <v>617463</v>
      </c>
      <c r="H792" s="276">
        <f>ROUND(BI65,0)</f>
        <v>11926</v>
      </c>
      <c r="I792" s="276">
        <f>ROUND(BI66,0)</f>
        <v>1372302</v>
      </c>
      <c r="J792" s="276">
        <f>ROUND(BI67,0)</f>
        <v>210321</v>
      </c>
      <c r="K792" s="276">
        <f>ROUND(BI68,0)</f>
        <v>1212765</v>
      </c>
      <c r="L792" s="276">
        <f>ROUND(BI69,0)</f>
        <v>26538</v>
      </c>
      <c r="M792" s="276">
        <f>ROUND(BI70,0)</f>
        <v>4088790</v>
      </c>
      <c r="N792" s="276"/>
      <c r="O792" s="276"/>
      <c r="P792" s="276">
        <f>IF(BI76&gt;0,ROUND(BI76,0),0)</f>
        <v>26210</v>
      </c>
      <c r="Q792" s="276">
        <f>IF(BI77&gt;0,ROUND(BI77,0),0)</f>
        <v>0</v>
      </c>
      <c r="R792" s="276">
        <f>IF(BI78&gt;0,ROUND(BI78,0),0)</f>
        <v>3338</v>
      </c>
      <c r="S792" s="276">
        <f>IF(BI79&gt;0,ROUND(BI79,0),0)</f>
        <v>49423</v>
      </c>
      <c r="T792" s="278">
        <f>IF(BI80&gt;0,ROUND(BI80,2),0)</f>
        <v>0</v>
      </c>
      <c r="U792" s="276"/>
      <c r="V792" s="277"/>
      <c r="W792" s="276"/>
      <c r="X792" s="276"/>
      <c r="Y792" s="276"/>
      <c r="Z792" s="277"/>
      <c r="AA792" s="277"/>
      <c r="AB792" s="277"/>
      <c r="AC792" s="277"/>
      <c r="AD792" s="277"/>
      <c r="AE792" s="277"/>
      <c r="AF792" s="277"/>
      <c r="AG792" s="277"/>
      <c r="AH792" s="277"/>
      <c r="AI792" s="277"/>
      <c r="AJ792" s="277"/>
      <c r="AK792" s="277"/>
      <c r="AL792" s="277"/>
      <c r="AM792" s="277"/>
      <c r="AN792" s="277"/>
      <c r="AO792" s="277"/>
      <c r="AP792" s="277"/>
      <c r="AQ792" s="277"/>
      <c r="AR792" s="277"/>
      <c r="AS792" s="277"/>
      <c r="AT792" s="277"/>
      <c r="AU792" s="277"/>
      <c r="AV792" s="277"/>
      <c r="AW792" s="277"/>
      <c r="AX792" s="277"/>
      <c r="AY792" s="277"/>
      <c r="AZ792" s="277"/>
      <c r="BA792" s="277"/>
      <c r="BB792" s="277"/>
      <c r="BC792" s="277"/>
      <c r="BD792" s="277"/>
      <c r="BE792" s="277"/>
      <c r="BF792" s="277"/>
      <c r="BG792" s="277"/>
      <c r="BH792" s="277"/>
      <c r="BI792" s="277"/>
      <c r="BJ792" s="277"/>
      <c r="BK792" s="277"/>
      <c r="BL792" s="277"/>
      <c r="BM792" s="277"/>
      <c r="BN792" s="277"/>
      <c r="BO792" s="277"/>
      <c r="BP792" s="277"/>
      <c r="BQ792" s="277"/>
      <c r="BR792" s="277"/>
      <c r="BS792" s="277"/>
      <c r="BT792" s="277"/>
      <c r="BU792" s="277"/>
      <c r="BV792" s="277"/>
      <c r="BW792" s="277"/>
      <c r="BX792" s="277"/>
      <c r="BY792" s="277"/>
      <c r="BZ792" s="277"/>
      <c r="CA792" s="277"/>
      <c r="CB792" s="277"/>
      <c r="CC792" s="277"/>
      <c r="CD792" s="277"/>
      <c r="CE792" s="277"/>
    </row>
    <row r="793" spans="1:83" ht="12.65" customHeight="1" x14ac:dyDescent="0.35">
      <c r="A793" s="209" t="str">
        <f>RIGHT($C$83,3)&amp;"*"&amp;RIGHT($C$82,4)&amp;"*"&amp;BJ$55&amp;"*"&amp;"A"</f>
        <v>164*2021*8510*A</v>
      </c>
      <c r="B793" s="276"/>
      <c r="C793" s="278">
        <f>ROUND(BJ60,2)</f>
        <v>18.59</v>
      </c>
      <c r="D793" s="276">
        <f>ROUND(BJ61,0)</f>
        <v>1701641</v>
      </c>
      <c r="E793" s="276">
        <f>ROUND(BJ62,0)</f>
        <v>405245</v>
      </c>
      <c r="F793" s="276">
        <f>ROUND(BJ63,0)</f>
        <v>302072</v>
      </c>
      <c r="G793" s="276">
        <f>ROUND(BJ64,0)</f>
        <v>21457</v>
      </c>
      <c r="H793" s="276">
        <f>ROUND(BJ65,0)</f>
        <v>0</v>
      </c>
      <c r="I793" s="276">
        <f>ROUND(BJ66,0)</f>
        <v>40895</v>
      </c>
      <c r="J793" s="276">
        <f>ROUND(BJ67,0)</f>
        <v>29692</v>
      </c>
      <c r="K793" s="276">
        <f>ROUND(BJ68,0)</f>
        <v>0</v>
      </c>
      <c r="L793" s="276">
        <f>ROUND(BJ69,0)</f>
        <v>1265</v>
      </c>
      <c r="M793" s="276">
        <f>ROUND(BJ70,0)</f>
        <v>146175</v>
      </c>
      <c r="N793" s="276"/>
      <c r="O793" s="276"/>
      <c r="P793" s="276">
        <f>IF(BJ76&gt;0,ROUND(BJ76,0),0)</f>
        <v>4555</v>
      </c>
      <c r="Q793" s="276">
        <f>IF(BJ77&gt;0,ROUND(BJ77,0),0)</f>
        <v>0</v>
      </c>
      <c r="R793" s="276">
        <f>IF(BJ78&gt;0,ROUND(BJ78,0),0)</f>
        <v>0</v>
      </c>
      <c r="S793" s="276">
        <f>IF(BJ79&gt;0,ROUND(BJ79,0),0)</f>
        <v>0</v>
      </c>
      <c r="T793" s="278">
        <f>IF(BJ80&gt;0,ROUND(BJ80,2),0)</f>
        <v>0</v>
      </c>
      <c r="U793" s="276"/>
      <c r="V793" s="277"/>
      <c r="W793" s="276"/>
      <c r="X793" s="276"/>
      <c r="Y793" s="276"/>
      <c r="Z793" s="277"/>
      <c r="AA793" s="277"/>
      <c r="AB793" s="277"/>
      <c r="AC793" s="277"/>
      <c r="AD793" s="277"/>
      <c r="AE793" s="277"/>
      <c r="AF793" s="277"/>
      <c r="AG793" s="277"/>
      <c r="AH793" s="277"/>
      <c r="AI793" s="277"/>
      <c r="AJ793" s="277"/>
      <c r="AK793" s="277"/>
      <c r="AL793" s="277"/>
      <c r="AM793" s="277"/>
      <c r="AN793" s="277"/>
      <c r="AO793" s="277"/>
      <c r="AP793" s="277"/>
      <c r="AQ793" s="277"/>
      <c r="AR793" s="277"/>
      <c r="AS793" s="277"/>
      <c r="AT793" s="277"/>
      <c r="AU793" s="277"/>
      <c r="AV793" s="277"/>
      <c r="AW793" s="277"/>
      <c r="AX793" s="277"/>
      <c r="AY793" s="277"/>
      <c r="AZ793" s="277"/>
      <c r="BA793" s="277"/>
      <c r="BB793" s="277"/>
      <c r="BC793" s="277"/>
      <c r="BD793" s="277"/>
      <c r="BE793" s="277"/>
      <c r="BF793" s="277"/>
      <c r="BG793" s="277"/>
      <c r="BH793" s="277"/>
      <c r="BI793" s="277"/>
      <c r="BJ793" s="277"/>
      <c r="BK793" s="277"/>
      <c r="BL793" s="277"/>
      <c r="BM793" s="277"/>
      <c r="BN793" s="277"/>
      <c r="BO793" s="277"/>
      <c r="BP793" s="277"/>
      <c r="BQ793" s="277"/>
      <c r="BR793" s="277"/>
      <c r="BS793" s="277"/>
      <c r="BT793" s="277"/>
      <c r="BU793" s="277"/>
      <c r="BV793" s="277"/>
      <c r="BW793" s="277"/>
      <c r="BX793" s="277"/>
      <c r="BY793" s="277"/>
      <c r="BZ793" s="277"/>
      <c r="CA793" s="277"/>
      <c r="CB793" s="277"/>
      <c r="CC793" s="277"/>
      <c r="CD793" s="277"/>
      <c r="CE793" s="277"/>
    </row>
    <row r="794" spans="1:83" ht="12.65" customHeight="1" x14ac:dyDescent="0.35">
      <c r="A794" s="209" t="str">
        <f>RIGHT($C$83,3)&amp;"*"&amp;RIGHT($C$82,4)&amp;"*"&amp;BK$55&amp;"*"&amp;"A"</f>
        <v>164*2021*8530*A</v>
      </c>
      <c r="B794" s="276"/>
      <c r="C794" s="278">
        <f>ROUND(BK60,2)</f>
        <v>89.75</v>
      </c>
      <c r="D794" s="276">
        <f>ROUND(BK61,0)</f>
        <v>5422717</v>
      </c>
      <c r="E794" s="276">
        <f>ROUND(BK62,0)</f>
        <v>1581471</v>
      </c>
      <c r="F794" s="276">
        <f>ROUND(BK63,0)</f>
        <v>234693</v>
      </c>
      <c r="G794" s="276">
        <f>ROUND(BK64,0)</f>
        <v>52962</v>
      </c>
      <c r="H794" s="276">
        <f>ROUND(BK65,0)</f>
        <v>0</v>
      </c>
      <c r="I794" s="276">
        <f>ROUND(BK66,0)</f>
        <v>2983318</v>
      </c>
      <c r="J794" s="276">
        <f>ROUND(BK67,0)</f>
        <v>47755</v>
      </c>
      <c r="K794" s="276">
        <f>ROUND(BK68,0)</f>
        <v>837</v>
      </c>
      <c r="L794" s="276">
        <f>ROUND(BK69,0)</f>
        <v>1344</v>
      </c>
      <c r="M794" s="276">
        <f>ROUND(BK70,0)</f>
        <v>20020</v>
      </c>
      <c r="N794" s="276"/>
      <c r="O794" s="276"/>
      <c r="P794" s="276">
        <f>IF(BK76&gt;0,ROUND(BK76,0),0)</f>
        <v>11014</v>
      </c>
      <c r="Q794" s="276">
        <f>IF(BK77&gt;0,ROUND(BK77,0),0)</f>
        <v>0</v>
      </c>
      <c r="R794" s="276">
        <f>IF(BK78&gt;0,ROUND(BK78,0),0)</f>
        <v>1402</v>
      </c>
      <c r="S794" s="276">
        <f>IF(BK79&gt;0,ROUND(BK79,0),0)</f>
        <v>0</v>
      </c>
      <c r="T794" s="278">
        <f>IF(BK80&gt;0,ROUND(BK80,2),0)</f>
        <v>0</v>
      </c>
      <c r="U794" s="276"/>
      <c r="V794" s="277"/>
      <c r="W794" s="276"/>
      <c r="X794" s="276"/>
      <c r="Y794" s="276"/>
      <c r="Z794" s="277"/>
      <c r="AA794" s="277"/>
      <c r="AB794" s="277"/>
      <c r="AC794" s="277"/>
      <c r="AD794" s="277"/>
      <c r="AE794" s="277"/>
      <c r="AF794" s="277"/>
      <c r="AG794" s="277"/>
      <c r="AH794" s="277"/>
      <c r="AI794" s="277"/>
      <c r="AJ794" s="277"/>
      <c r="AK794" s="277"/>
      <c r="AL794" s="277"/>
      <c r="AM794" s="277"/>
      <c r="AN794" s="277"/>
      <c r="AO794" s="277"/>
      <c r="AP794" s="277"/>
      <c r="AQ794" s="277"/>
      <c r="AR794" s="277"/>
      <c r="AS794" s="277"/>
      <c r="AT794" s="277"/>
      <c r="AU794" s="277"/>
      <c r="AV794" s="277"/>
      <c r="AW794" s="277"/>
      <c r="AX794" s="277"/>
      <c r="AY794" s="277"/>
      <c r="AZ794" s="277"/>
      <c r="BA794" s="277"/>
      <c r="BB794" s="277"/>
      <c r="BC794" s="277"/>
      <c r="BD794" s="277"/>
      <c r="BE794" s="277"/>
      <c r="BF794" s="277"/>
      <c r="BG794" s="277"/>
      <c r="BH794" s="277"/>
      <c r="BI794" s="277"/>
      <c r="BJ794" s="277"/>
      <c r="BK794" s="277"/>
      <c r="BL794" s="277"/>
      <c r="BM794" s="277"/>
      <c r="BN794" s="277"/>
      <c r="BO794" s="277"/>
      <c r="BP794" s="277"/>
      <c r="BQ794" s="277"/>
      <c r="BR794" s="277"/>
      <c r="BS794" s="277"/>
      <c r="BT794" s="277"/>
      <c r="BU794" s="277"/>
      <c r="BV794" s="277"/>
      <c r="BW794" s="277"/>
      <c r="BX794" s="277"/>
      <c r="BY794" s="277"/>
      <c r="BZ794" s="277"/>
      <c r="CA794" s="277"/>
      <c r="CB794" s="277"/>
      <c r="CC794" s="277"/>
      <c r="CD794" s="277"/>
      <c r="CE794" s="277"/>
    </row>
    <row r="795" spans="1:83" ht="12.65" customHeight="1" x14ac:dyDescent="0.35">
      <c r="A795" s="209" t="str">
        <f>RIGHT($C$83,3)&amp;"*"&amp;RIGHT($C$82,4)&amp;"*"&amp;BL$55&amp;"*"&amp;"A"</f>
        <v>164*2021*8560*A</v>
      </c>
      <c r="B795" s="276"/>
      <c r="C795" s="278">
        <f>ROUND(BL60,2)</f>
        <v>79.47</v>
      </c>
      <c r="D795" s="276">
        <f>ROUND(BL61,0)</f>
        <v>4456023</v>
      </c>
      <c r="E795" s="276">
        <f>ROUND(BL62,0)</f>
        <v>1338986</v>
      </c>
      <c r="F795" s="276">
        <f>ROUND(BL63,0)</f>
        <v>0</v>
      </c>
      <c r="G795" s="276">
        <f>ROUND(BL64,0)</f>
        <v>59066</v>
      </c>
      <c r="H795" s="276">
        <f>ROUND(BL65,0)</f>
        <v>696</v>
      </c>
      <c r="I795" s="276">
        <f>ROUND(BL66,0)</f>
        <v>543861</v>
      </c>
      <c r="J795" s="276">
        <f>ROUND(BL67,0)</f>
        <v>28504</v>
      </c>
      <c r="K795" s="276">
        <f>ROUND(BL68,0)</f>
        <v>0</v>
      </c>
      <c r="L795" s="276">
        <f>ROUND(BL69,0)</f>
        <v>919</v>
      </c>
      <c r="M795" s="276">
        <f>ROUND(BL70,0)</f>
        <v>502767</v>
      </c>
      <c r="N795" s="276"/>
      <c r="O795" s="276"/>
      <c r="P795" s="276">
        <f>IF(BL76&gt;0,ROUND(BL76,0),0)</f>
        <v>5010</v>
      </c>
      <c r="Q795" s="276">
        <f>IF(BL77&gt;0,ROUND(BL77,0),0)</f>
        <v>0</v>
      </c>
      <c r="R795" s="276">
        <f>IF(BL78&gt;0,ROUND(BL78,0),0)</f>
        <v>638</v>
      </c>
      <c r="S795" s="276">
        <f>IF(BL79&gt;0,ROUND(BL79,0),0)</f>
        <v>0</v>
      </c>
      <c r="T795" s="278">
        <f>IF(BL80&gt;0,ROUND(BL80,2),0)</f>
        <v>0</v>
      </c>
      <c r="U795" s="276"/>
      <c r="V795" s="277"/>
      <c r="W795" s="276"/>
      <c r="X795" s="276"/>
      <c r="Y795" s="276"/>
      <c r="Z795" s="277"/>
      <c r="AA795" s="277"/>
      <c r="AB795" s="277"/>
      <c r="AC795" s="277"/>
      <c r="AD795" s="277"/>
      <c r="AE795" s="277"/>
      <c r="AF795" s="277"/>
      <c r="AG795" s="277"/>
      <c r="AH795" s="277"/>
      <c r="AI795" s="277"/>
      <c r="AJ795" s="277"/>
      <c r="AK795" s="277"/>
      <c r="AL795" s="277"/>
      <c r="AM795" s="277"/>
      <c r="AN795" s="277"/>
      <c r="AO795" s="277"/>
      <c r="AP795" s="277"/>
      <c r="AQ795" s="277"/>
      <c r="AR795" s="277"/>
      <c r="AS795" s="277"/>
      <c r="AT795" s="277"/>
      <c r="AU795" s="277"/>
      <c r="AV795" s="277"/>
      <c r="AW795" s="277"/>
      <c r="AX795" s="277"/>
      <c r="AY795" s="277"/>
      <c r="AZ795" s="277"/>
      <c r="BA795" s="277"/>
      <c r="BB795" s="277"/>
      <c r="BC795" s="277"/>
      <c r="BD795" s="277"/>
      <c r="BE795" s="277"/>
      <c r="BF795" s="277"/>
      <c r="BG795" s="277"/>
      <c r="BH795" s="277"/>
      <c r="BI795" s="277"/>
      <c r="BJ795" s="277"/>
      <c r="BK795" s="277"/>
      <c r="BL795" s="277"/>
      <c r="BM795" s="277"/>
      <c r="BN795" s="277"/>
      <c r="BO795" s="277"/>
      <c r="BP795" s="277"/>
      <c r="BQ795" s="277"/>
      <c r="BR795" s="277"/>
      <c r="BS795" s="277"/>
      <c r="BT795" s="277"/>
      <c r="BU795" s="277"/>
      <c r="BV795" s="277"/>
      <c r="BW795" s="277"/>
      <c r="BX795" s="277"/>
      <c r="BY795" s="277"/>
      <c r="BZ795" s="277"/>
      <c r="CA795" s="277"/>
      <c r="CB795" s="277"/>
      <c r="CC795" s="277"/>
      <c r="CD795" s="277"/>
      <c r="CE795" s="277"/>
    </row>
    <row r="796" spans="1:83" ht="12.65" customHeight="1" x14ac:dyDescent="0.35">
      <c r="A796" s="209" t="str">
        <f>RIGHT($C$83,3)&amp;"*"&amp;RIGHT($C$82,4)&amp;"*"&amp;BM$55&amp;"*"&amp;"A"</f>
        <v>164*2021*8590*A</v>
      </c>
      <c r="B796" s="276"/>
      <c r="C796" s="278">
        <f>ROUND(BM60,2)</f>
        <v>43.78</v>
      </c>
      <c r="D796" s="276">
        <f>ROUND(BM61,0)</f>
        <v>3725959</v>
      </c>
      <c r="E796" s="276">
        <f>ROUND(BM62,0)</f>
        <v>958868</v>
      </c>
      <c r="F796" s="276">
        <f>ROUND(BM63,0)</f>
        <v>41780</v>
      </c>
      <c r="G796" s="276">
        <f>ROUND(BM64,0)</f>
        <v>9895</v>
      </c>
      <c r="H796" s="276">
        <f>ROUND(BM65,0)</f>
        <v>0</v>
      </c>
      <c r="I796" s="276">
        <f>ROUND(BM66,0)</f>
        <v>558435</v>
      </c>
      <c r="J796" s="276">
        <f>ROUND(BM67,0)</f>
        <v>15340</v>
      </c>
      <c r="K796" s="276">
        <f>ROUND(BM68,0)</f>
        <v>0</v>
      </c>
      <c r="L796" s="276">
        <f>ROUND(BM69,0)</f>
        <v>35475</v>
      </c>
      <c r="M796" s="276">
        <f>ROUND(BM70,0)</f>
        <v>0</v>
      </c>
      <c r="N796" s="276"/>
      <c r="O796" s="276"/>
      <c r="P796" s="276">
        <f>IF(BM76&gt;0,ROUND(BM76,0),0)</f>
        <v>4678</v>
      </c>
      <c r="Q796" s="276">
        <f>IF(BM77&gt;0,ROUND(BM77,0),0)</f>
        <v>0</v>
      </c>
      <c r="R796" s="276">
        <f>IF(BM78&gt;0,ROUND(BM78,0),0)</f>
        <v>596</v>
      </c>
      <c r="S796" s="276">
        <f>IF(BM79&gt;0,ROUND(BM79,0),0)</f>
        <v>0</v>
      </c>
      <c r="T796" s="278">
        <f>IF(BM80&gt;0,ROUND(BM80,2),0)</f>
        <v>0</v>
      </c>
      <c r="U796" s="276"/>
      <c r="V796" s="277"/>
      <c r="W796" s="276"/>
      <c r="X796" s="276"/>
      <c r="Y796" s="276"/>
      <c r="Z796" s="277"/>
      <c r="AA796" s="277"/>
      <c r="AB796" s="277"/>
      <c r="AC796" s="277"/>
      <c r="AD796" s="277"/>
      <c r="AE796" s="277"/>
      <c r="AF796" s="277"/>
      <c r="AG796" s="277"/>
      <c r="AH796" s="277"/>
      <c r="AI796" s="277"/>
      <c r="AJ796" s="277"/>
      <c r="AK796" s="277"/>
      <c r="AL796" s="277"/>
      <c r="AM796" s="277"/>
      <c r="AN796" s="277"/>
      <c r="AO796" s="277"/>
      <c r="AP796" s="277"/>
      <c r="AQ796" s="277"/>
      <c r="AR796" s="277"/>
      <c r="AS796" s="277"/>
      <c r="AT796" s="277"/>
      <c r="AU796" s="277"/>
      <c r="AV796" s="277"/>
      <c r="AW796" s="277"/>
      <c r="AX796" s="277"/>
      <c r="AY796" s="277"/>
      <c r="AZ796" s="277"/>
      <c r="BA796" s="277"/>
      <c r="BB796" s="277"/>
      <c r="BC796" s="277"/>
      <c r="BD796" s="277"/>
      <c r="BE796" s="277"/>
      <c r="BF796" s="277"/>
      <c r="BG796" s="277"/>
      <c r="BH796" s="277"/>
      <c r="BI796" s="277"/>
      <c r="BJ796" s="277"/>
      <c r="BK796" s="277"/>
      <c r="BL796" s="277"/>
      <c r="BM796" s="277"/>
      <c r="BN796" s="277"/>
      <c r="BO796" s="277"/>
      <c r="BP796" s="277"/>
      <c r="BQ796" s="277"/>
      <c r="BR796" s="277"/>
      <c r="BS796" s="277"/>
      <c r="BT796" s="277"/>
      <c r="BU796" s="277"/>
      <c r="BV796" s="277"/>
      <c r="BW796" s="277"/>
      <c r="BX796" s="277"/>
      <c r="BY796" s="277"/>
      <c r="BZ796" s="277"/>
      <c r="CA796" s="277"/>
      <c r="CB796" s="277"/>
      <c r="CC796" s="277"/>
      <c r="CD796" s="277"/>
      <c r="CE796" s="277"/>
    </row>
    <row r="797" spans="1:83" ht="12.65" customHeight="1" x14ac:dyDescent="0.35">
      <c r="A797" s="209" t="str">
        <f>RIGHT($C$83,3)&amp;"*"&amp;RIGHT($C$82,4)&amp;"*"&amp;BN$55&amp;"*"&amp;"A"</f>
        <v>164*2021*8610*A</v>
      </c>
      <c r="B797" s="276"/>
      <c r="C797" s="278">
        <f>ROUND(BN60,2)</f>
        <v>25.18</v>
      </c>
      <c r="D797" s="276">
        <f>ROUND(BN61,0)</f>
        <v>6692764</v>
      </c>
      <c r="E797" s="276">
        <f>ROUND(BN62,0)</f>
        <v>1334645</v>
      </c>
      <c r="F797" s="276">
        <f>ROUND(BN63,0)</f>
        <v>3281098</v>
      </c>
      <c r="G797" s="276">
        <f>ROUND(BN64,0)</f>
        <v>18774</v>
      </c>
      <c r="H797" s="276">
        <f>ROUND(BN65,0)</f>
        <v>0</v>
      </c>
      <c r="I797" s="276">
        <f>ROUND(BN66,0)</f>
        <v>588645</v>
      </c>
      <c r="J797" s="276">
        <f>ROUND(BN67,0)</f>
        <v>231489</v>
      </c>
      <c r="K797" s="276">
        <f>ROUND(BN68,0)</f>
        <v>0</v>
      </c>
      <c r="L797" s="276">
        <f>ROUND(BN69,0)</f>
        <v>807447</v>
      </c>
      <c r="M797" s="276">
        <f>ROUND(BN70,0)</f>
        <v>0</v>
      </c>
      <c r="N797" s="276"/>
      <c r="O797" s="276"/>
      <c r="P797" s="276">
        <f>IF(BN76&gt;0,ROUND(BN76,0),0)</f>
        <v>14258</v>
      </c>
      <c r="Q797" s="276">
        <f>IF(BN77&gt;0,ROUND(BN77,0),0)</f>
        <v>0</v>
      </c>
      <c r="R797" s="276">
        <f>IF(BN78&gt;0,ROUND(BN78,0),0)</f>
        <v>0</v>
      </c>
      <c r="S797" s="276">
        <f>IF(BN79&gt;0,ROUND(BN79,0),0)</f>
        <v>0</v>
      </c>
      <c r="T797" s="278">
        <f>IF(BN80&gt;0,ROUND(BN80,2),0)</f>
        <v>0</v>
      </c>
      <c r="U797" s="276"/>
      <c r="V797" s="277"/>
      <c r="W797" s="276"/>
      <c r="X797" s="276"/>
      <c r="Y797" s="276"/>
      <c r="Z797" s="277"/>
      <c r="AA797" s="277"/>
      <c r="AB797" s="277"/>
      <c r="AC797" s="277"/>
      <c r="AD797" s="277"/>
      <c r="AE797" s="277"/>
      <c r="AF797" s="277"/>
      <c r="AG797" s="277"/>
      <c r="AH797" s="277"/>
      <c r="AI797" s="277"/>
      <c r="AJ797" s="277"/>
      <c r="AK797" s="277"/>
      <c r="AL797" s="277"/>
      <c r="AM797" s="277"/>
      <c r="AN797" s="277"/>
      <c r="AO797" s="277"/>
      <c r="AP797" s="277"/>
      <c r="AQ797" s="277"/>
      <c r="AR797" s="277"/>
      <c r="AS797" s="277"/>
      <c r="AT797" s="277"/>
      <c r="AU797" s="277"/>
      <c r="AV797" s="277"/>
      <c r="AW797" s="277"/>
      <c r="AX797" s="277"/>
      <c r="AY797" s="277"/>
      <c r="AZ797" s="277"/>
      <c r="BA797" s="277"/>
      <c r="BB797" s="277"/>
      <c r="BC797" s="277"/>
      <c r="BD797" s="277"/>
      <c r="BE797" s="277"/>
      <c r="BF797" s="277"/>
      <c r="BG797" s="277"/>
      <c r="BH797" s="277"/>
      <c r="BI797" s="277"/>
      <c r="BJ797" s="277"/>
      <c r="BK797" s="277"/>
      <c r="BL797" s="277"/>
      <c r="BM797" s="277"/>
      <c r="BN797" s="277"/>
      <c r="BO797" s="277"/>
      <c r="BP797" s="277"/>
      <c r="BQ797" s="277"/>
      <c r="BR797" s="277"/>
      <c r="BS797" s="277"/>
      <c r="BT797" s="277"/>
      <c r="BU797" s="277"/>
      <c r="BV797" s="277"/>
      <c r="BW797" s="277"/>
      <c r="BX797" s="277"/>
      <c r="BY797" s="277"/>
      <c r="BZ797" s="277"/>
      <c r="CA797" s="277"/>
      <c r="CB797" s="277"/>
      <c r="CC797" s="277"/>
      <c r="CD797" s="277"/>
      <c r="CE797" s="277"/>
    </row>
    <row r="798" spans="1:83" ht="12.65" customHeight="1" x14ac:dyDescent="0.35">
      <c r="A798" s="209" t="str">
        <f>RIGHT($C$83,3)&amp;"*"&amp;RIGHT($C$82,4)&amp;"*"&amp;BO$55&amp;"*"&amp;"A"</f>
        <v>164*2021*8620*A</v>
      </c>
      <c r="B798" s="276"/>
      <c r="C798" s="278">
        <f>ROUND(BO60,2)</f>
        <v>8.99</v>
      </c>
      <c r="D798" s="276">
        <f>ROUND(BO61,0)</f>
        <v>1100318</v>
      </c>
      <c r="E798" s="276">
        <f>ROUND(BO62,0)</f>
        <v>224641</v>
      </c>
      <c r="F798" s="276">
        <f>ROUND(BO63,0)</f>
        <v>390</v>
      </c>
      <c r="G798" s="276">
        <f>ROUND(BO64,0)</f>
        <v>144753</v>
      </c>
      <c r="H798" s="276">
        <f>ROUND(BO65,0)</f>
        <v>0</v>
      </c>
      <c r="I798" s="276">
        <f>ROUND(BO66,0)</f>
        <v>56475</v>
      </c>
      <c r="J798" s="276">
        <f>ROUND(BO67,0)</f>
        <v>52088</v>
      </c>
      <c r="K798" s="276">
        <f>ROUND(BO68,0)</f>
        <v>0</v>
      </c>
      <c r="L798" s="276">
        <f>ROUND(BO69,0)</f>
        <v>1136</v>
      </c>
      <c r="M798" s="276">
        <f>ROUND(BO70,0)</f>
        <v>20</v>
      </c>
      <c r="N798" s="276"/>
      <c r="O798" s="276"/>
      <c r="P798" s="276">
        <f>IF(BO76&gt;0,ROUND(BO76,0),0)</f>
        <v>2082</v>
      </c>
      <c r="Q798" s="276">
        <f>IF(BO77&gt;0,ROUND(BO77,0),0)</f>
        <v>0</v>
      </c>
      <c r="R798" s="276">
        <f>IF(BO78&gt;0,ROUND(BO78,0),0)</f>
        <v>0</v>
      </c>
      <c r="S798" s="276">
        <f>IF(BO79&gt;0,ROUND(BO79,0),0)</f>
        <v>0</v>
      </c>
      <c r="T798" s="278">
        <f>IF(BO80&gt;0,ROUND(BO80,2),0)</f>
        <v>0</v>
      </c>
      <c r="U798" s="276"/>
      <c r="V798" s="277"/>
      <c r="W798" s="276"/>
      <c r="X798" s="276"/>
      <c r="Y798" s="276"/>
      <c r="Z798" s="277"/>
      <c r="AA798" s="277"/>
      <c r="AB798" s="277"/>
      <c r="AC798" s="277"/>
      <c r="AD798" s="277"/>
      <c r="AE798" s="277"/>
      <c r="AF798" s="277"/>
      <c r="AG798" s="277"/>
      <c r="AH798" s="277"/>
      <c r="AI798" s="277"/>
      <c r="AJ798" s="277"/>
      <c r="AK798" s="277"/>
      <c r="AL798" s="277"/>
      <c r="AM798" s="277"/>
      <c r="AN798" s="277"/>
      <c r="AO798" s="277"/>
      <c r="AP798" s="277"/>
      <c r="AQ798" s="277"/>
      <c r="AR798" s="277"/>
      <c r="AS798" s="277"/>
      <c r="AT798" s="277"/>
      <c r="AU798" s="277"/>
      <c r="AV798" s="277"/>
      <c r="AW798" s="277"/>
      <c r="AX798" s="277"/>
      <c r="AY798" s="277"/>
      <c r="AZ798" s="277"/>
      <c r="BA798" s="277"/>
      <c r="BB798" s="277"/>
      <c r="BC798" s="277"/>
      <c r="BD798" s="277"/>
      <c r="BE798" s="277"/>
      <c r="BF798" s="277"/>
      <c r="BG798" s="277"/>
      <c r="BH798" s="277"/>
      <c r="BI798" s="277"/>
      <c r="BJ798" s="277"/>
      <c r="BK798" s="277"/>
      <c r="BL798" s="277"/>
      <c r="BM798" s="277"/>
      <c r="BN798" s="277"/>
      <c r="BO798" s="277"/>
      <c r="BP798" s="277"/>
      <c r="BQ798" s="277"/>
      <c r="BR798" s="277"/>
      <c r="BS798" s="277"/>
      <c r="BT798" s="277"/>
      <c r="BU798" s="277"/>
      <c r="BV798" s="277"/>
      <c r="BW798" s="277"/>
      <c r="BX798" s="277"/>
      <c r="BY798" s="277"/>
      <c r="BZ798" s="277"/>
      <c r="CA798" s="277"/>
      <c r="CB798" s="277"/>
      <c r="CC798" s="277"/>
      <c r="CD798" s="277"/>
      <c r="CE798" s="277"/>
    </row>
    <row r="799" spans="1:83" ht="12.65" customHeight="1" x14ac:dyDescent="0.35">
      <c r="A799" s="209" t="str">
        <f>RIGHT($C$83,3)&amp;"*"&amp;RIGHT($C$82,4)&amp;"*"&amp;BP$55&amp;"*"&amp;"A"</f>
        <v>164*2021*8630*A</v>
      </c>
      <c r="B799" s="276"/>
      <c r="C799" s="278">
        <f>ROUND(BP60,2)</f>
        <v>8.5500000000000007</v>
      </c>
      <c r="D799" s="276">
        <f>ROUND(BP61,0)</f>
        <v>979634</v>
      </c>
      <c r="E799" s="276">
        <f>ROUND(BP62,0)</f>
        <v>264144</v>
      </c>
      <c r="F799" s="276">
        <f>ROUND(BP63,0)</f>
        <v>-25060</v>
      </c>
      <c r="G799" s="276">
        <f>ROUND(BP64,0)</f>
        <v>64178</v>
      </c>
      <c r="H799" s="276">
        <f>ROUND(BP65,0)</f>
        <v>1201</v>
      </c>
      <c r="I799" s="276">
        <f>ROUND(BP66,0)</f>
        <v>5797251</v>
      </c>
      <c r="J799" s="276">
        <f>ROUND(BP67,0)</f>
        <v>75126</v>
      </c>
      <c r="K799" s="276">
        <f>ROUND(BP68,0)</f>
        <v>0</v>
      </c>
      <c r="L799" s="276">
        <f>ROUND(BP69,0)</f>
        <v>4673</v>
      </c>
      <c r="M799" s="276">
        <f>ROUND(BP70,0)</f>
        <v>0</v>
      </c>
      <c r="N799" s="276"/>
      <c r="O799" s="276"/>
      <c r="P799" s="276">
        <f>IF(BP76&gt;0,ROUND(BP76,0),0)</f>
        <v>1894</v>
      </c>
      <c r="Q799" s="276">
        <f>IF(BP77&gt;0,ROUND(BP77,0),0)</f>
        <v>0</v>
      </c>
      <c r="R799" s="276">
        <f>IF(BP78&gt;0,ROUND(BP78,0),0)</f>
        <v>0</v>
      </c>
      <c r="S799" s="276">
        <f>IF(BP79&gt;0,ROUND(BP79,0),0)</f>
        <v>0</v>
      </c>
      <c r="T799" s="278">
        <f>IF(BP80&gt;0,ROUND(BP80,2),0)</f>
        <v>0</v>
      </c>
      <c r="U799" s="276"/>
      <c r="V799" s="277"/>
      <c r="W799" s="276"/>
      <c r="X799" s="276"/>
      <c r="Y799" s="276"/>
      <c r="Z799" s="277"/>
      <c r="AA799" s="277"/>
      <c r="AB799" s="277"/>
      <c r="AC799" s="277"/>
      <c r="AD799" s="277"/>
      <c r="AE799" s="277"/>
      <c r="AF799" s="277"/>
      <c r="AG799" s="277"/>
      <c r="AH799" s="277"/>
      <c r="AI799" s="277"/>
      <c r="AJ799" s="277"/>
      <c r="AK799" s="277"/>
      <c r="AL799" s="277"/>
      <c r="AM799" s="277"/>
      <c r="AN799" s="277"/>
      <c r="AO799" s="277"/>
      <c r="AP799" s="277"/>
      <c r="AQ799" s="277"/>
      <c r="AR799" s="277"/>
      <c r="AS799" s="277"/>
      <c r="AT799" s="277"/>
      <c r="AU799" s="277"/>
      <c r="AV799" s="277"/>
      <c r="AW799" s="277"/>
      <c r="AX799" s="277"/>
      <c r="AY799" s="277"/>
      <c r="AZ799" s="277"/>
      <c r="BA799" s="277"/>
      <c r="BB799" s="277"/>
      <c r="BC799" s="277"/>
      <c r="BD799" s="277"/>
      <c r="BE799" s="277"/>
      <c r="BF799" s="277"/>
      <c r="BG799" s="277"/>
      <c r="BH799" s="277"/>
      <c r="BI799" s="277"/>
      <c r="BJ799" s="277"/>
      <c r="BK799" s="277"/>
      <c r="BL799" s="277"/>
      <c r="BM799" s="277"/>
      <c r="BN799" s="277"/>
      <c r="BO799" s="277"/>
      <c r="BP799" s="277"/>
      <c r="BQ799" s="277"/>
      <c r="BR799" s="277"/>
      <c r="BS799" s="277"/>
      <c r="BT799" s="277"/>
      <c r="BU799" s="277"/>
      <c r="BV799" s="277"/>
      <c r="BW799" s="277"/>
      <c r="BX799" s="277"/>
      <c r="BY799" s="277"/>
      <c r="BZ799" s="277"/>
      <c r="CA799" s="277"/>
      <c r="CB799" s="277"/>
      <c r="CC799" s="277"/>
      <c r="CD799" s="277"/>
      <c r="CE799" s="277"/>
    </row>
    <row r="800" spans="1:83" ht="12.65" customHeight="1" x14ac:dyDescent="0.35">
      <c r="A800" s="209" t="str">
        <f>RIGHT($C$83,3)&amp;"*"&amp;RIGHT($C$82,4)&amp;"*"&amp;BQ$55&amp;"*"&amp;"A"</f>
        <v>164*2021*8640*A</v>
      </c>
      <c r="B800" s="276"/>
      <c r="C800" s="278">
        <f>ROUND(BQ60,2)</f>
        <v>4.41</v>
      </c>
      <c r="D800" s="276">
        <f>ROUND(BQ61,0)</f>
        <v>545708</v>
      </c>
      <c r="E800" s="276">
        <f>ROUND(BQ62,0)</f>
        <v>126636</v>
      </c>
      <c r="F800" s="276">
        <f>ROUND(BQ63,0)</f>
        <v>0</v>
      </c>
      <c r="G800" s="276">
        <f>ROUND(BQ64,0)</f>
        <v>1559</v>
      </c>
      <c r="H800" s="276">
        <f>ROUND(BQ65,0)</f>
        <v>0</v>
      </c>
      <c r="I800" s="276">
        <f>ROUND(BQ66,0)</f>
        <v>1449</v>
      </c>
      <c r="J800" s="276">
        <f>ROUND(BQ67,0)</f>
        <v>3222</v>
      </c>
      <c r="K800" s="276">
        <f>ROUND(BQ68,0)</f>
        <v>0</v>
      </c>
      <c r="L800" s="276">
        <f>ROUND(BQ69,0)</f>
        <v>0</v>
      </c>
      <c r="M800" s="276">
        <f>ROUND(BQ70,0)</f>
        <v>0</v>
      </c>
      <c r="N800" s="276"/>
      <c r="O800" s="276"/>
      <c r="P800" s="276">
        <f>IF(BQ76&gt;0,ROUND(BQ76,0),0)</f>
        <v>1677</v>
      </c>
      <c r="Q800" s="276">
        <f>IF(BQ77&gt;0,ROUND(BQ77,0),0)</f>
        <v>0</v>
      </c>
      <c r="R800" s="276">
        <f>IF(BQ78&gt;0,ROUND(BQ78,0),0)</f>
        <v>0</v>
      </c>
      <c r="S800" s="276">
        <f>IF(BQ79&gt;0,ROUND(BQ79,0),0)</f>
        <v>0</v>
      </c>
      <c r="T800" s="278">
        <f>IF(BQ80&gt;0,ROUND(BQ80,2),0)</f>
        <v>0</v>
      </c>
      <c r="U800" s="276"/>
      <c r="V800" s="277"/>
      <c r="W800" s="276"/>
      <c r="X800" s="276"/>
      <c r="Y800" s="276"/>
      <c r="Z800" s="277"/>
      <c r="AA800" s="277"/>
      <c r="AB800" s="277"/>
      <c r="AC800" s="277"/>
      <c r="AD800" s="277"/>
      <c r="AE800" s="277"/>
      <c r="AF800" s="277"/>
      <c r="AG800" s="277"/>
      <c r="AH800" s="277"/>
      <c r="AI800" s="277"/>
      <c r="AJ800" s="277"/>
      <c r="AK800" s="277"/>
      <c r="AL800" s="277"/>
      <c r="AM800" s="277"/>
      <c r="AN800" s="277"/>
      <c r="AO800" s="277"/>
      <c r="AP800" s="277"/>
      <c r="AQ800" s="277"/>
      <c r="AR800" s="277"/>
      <c r="AS800" s="277"/>
      <c r="AT800" s="277"/>
      <c r="AU800" s="277"/>
      <c r="AV800" s="277"/>
      <c r="AW800" s="277"/>
      <c r="AX800" s="277"/>
      <c r="AY800" s="277"/>
      <c r="AZ800" s="277"/>
      <c r="BA800" s="277"/>
      <c r="BB800" s="277"/>
      <c r="BC800" s="277"/>
      <c r="BD800" s="277"/>
      <c r="BE800" s="277"/>
      <c r="BF800" s="277"/>
      <c r="BG800" s="277"/>
      <c r="BH800" s="277"/>
      <c r="BI800" s="277"/>
      <c r="BJ800" s="277"/>
      <c r="BK800" s="277"/>
      <c r="BL800" s="277"/>
      <c r="BM800" s="277"/>
      <c r="BN800" s="277"/>
      <c r="BO800" s="277"/>
      <c r="BP800" s="277"/>
      <c r="BQ800" s="277"/>
      <c r="BR800" s="277"/>
      <c r="BS800" s="277"/>
      <c r="BT800" s="277"/>
      <c r="BU800" s="277"/>
      <c r="BV800" s="277"/>
      <c r="BW800" s="277"/>
      <c r="BX800" s="277"/>
      <c r="BY800" s="277"/>
      <c r="BZ800" s="277"/>
      <c r="CA800" s="277"/>
      <c r="CB800" s="277"/>
      <c r="CC800" s="277"/>
      <c r="CD800" s="277"/>
      <c r="CE800" s="277"/>
    </row>
    <row r="801" spans="1:83" ht="12.65" customHeight="1" x14ac:dyDescent="0.35">
      <c r="A801" s="209" t="str">
        <f>RIGHT($C$83,3)&amp;"*"&amp;RIGHT($C$82,4)&amp;"*"&amp;BR$55&amp;"*"&amp;"A"</f>
        <v>164*2021*8650*A</v>
      </c>
      <c r="B801" s="276"/>
      <c r="C801" s="278">
        <f>ROUND(BR60,2)</f>
        <v>32.49</v>
      </c>
      <c r="D801" s="276">
        <f>ROUND(BR61,0)</f>
        <v>2439004</v>
      </c>
      <c r="E801" s="276">
        <f>ROUND(BR62,0)</f>
        <v>7497196</v>
      </c>
      <c r="F801" s="276">
        <f>ROUND(BR63,0)</f>
        <v>1702946</v>
      </c>
      <c r="G801" s="276">
        <f>ROUND(BR64,0)</f>
        <v>54235</v>
      </c>
      <c r="H801" s="276">
        <f>ROUND(BR65,0)</f>
        <v>0</v>
      </c>
      <c r="I801" s="276">
        <f>ROUND(BR66,0)</f>
        <v>917917</v>
      </c>
      <c r="J801" s="276">
        <f>ROUND(BR67,0)</f>
        <v>6971</v>
      </c>
      <c r="K801" s="276">
        <f>ROUND(BR68,0)</f>
        <v>300</v>
      </c>
      <c r="L801" s="276">
        <f>ROUND(BR69,0)</f>
        <v>8412</v>
      </c>
      <c r="M801" s="276">
        <f>ROUND(BR70,0)</f>
        <v>94</v>
      </c>
      <c r="N801" s="276"/>
      <c r="O801" s="276"/>
      <c r="P801" s="276">
        <f>IF(BR76&gt;0,ROUND(BR76,0),0)</f>
        <v>3400</v>
      </c>
      <c r="Q801" s="276">
        <f>IF(BR77&gt;0,ROUND(BR77,0),0)</f>
        <v>0</v>
      </c>
      <c r="R801" s="276">
        <f>IF(BR78&gt;0,ROUND(BR78,0),0)</f>
        <v>0</v>
      </c>
      <c r="S801" s="276">
        <f>IF(BR79&gt;0,ROUND(BR79,0),0)</f>
        <v>0</v>
      </c>
      <c r="T801" s="278">
        <f>IF(BR80&gt;0,ROUND(BR80,2),0)</f>
        <v>0</v>
      </c>
      <c r="U801" s="276"/>
      <c r="V801" s="277"/>
      <c r="W801" s="276"/>
      <c r="X801" s="276"/>
      <c r="Y801" s="276"/>
      <c r="Z801" s="277"/>
      <c r="AA801" s="277"/>
      <c r="AB801" s="277"/>
      <c r="AC801" s="277"/>
      <c r="AD801" s="277"/>
      <c r="AE801" s="277"/>
      <c r="AF801" s="277"/>
      <c r="AG801" s="277"/>
      <c r="AH801" s="277"/>
      <c r="AI801" s="277"/>
      <c r="AJ801" s="277"/>
      <c r="AK801" s="277"/>
      <c r="AL801" s="277"/>
      <c r="AM801" s="277"/>
      <c r="AN801" s="277"/>
      <c r="AO801" s="277"/>
      <c r="AP801" s="277"/>
      <c r="AQ801" s="277"/>
      <c r="AR801" s="277"/>
      <c r="AS801" s="277"/>
      <c r="AT801" s="277"/>
      <c r="AU801" s="277"/>
      <c r="AV801" s="277"/>
      <c r="AW801" s="277"/>
      <c r="AX801" s="277"/>
      <c r="AY801" s="277"/>
      <c r="AZ801" s="277"/>
      <c r="BA801" s="277"/>
      <c r="BB801" s="277"/>
      <c r="BC801" s="277"/>
      <c r="BD801" s="277"/>
      <c r="BE801" s="277"/>
      <c r="BF801" s="277"/>
      <c r="BG801" s="277"/>
      <c r="BH801" s="277"/>
      <c r="BI801" s="277"/>
      <c r="BJ801" s="277"/>
      <c r="BK801" s="277"/>
      <c r="BL801" s="277"/>
      <c r="BM801" s="277"/>
      <c r="BN801" s="277"/>
      <c r="BO801" s="277"/>
      <c r="BP801" s="277"/>
      <c r="BQ801" s="277"/>
      <c r="BR801" s="277"/>
      <c r="BS801" s="277"/>
      <c r="BT801" s="277"/>
      <c r="BU801" s="277"/>
      <c r="BV801" s="277"/>
      <c r="BW801" s="277"/>
      <c r="BX801" s="277"/>
      <c r="BY801" s="277"/>
      <c r="BZ801" s="277"/>
      <c r="CA801" s="277"/>
      <c r="CB801" s="277"/>
      <c r="CC801" s="277"/>
      <c r="CD801" s="277"/>
      <c r="CE801" s="277"/>
    </row>
    <row r="802" spans="1:83" ht="12.65" customHeight="1" x14ac:dyDescent="0.35">
      <c r="A802" s="209" t="str">
        <f>RIGHT($C$83,3)&amp;"*"&amp;RIGHT($C$82,4)&amp;"*"&amp;BS$55&amp;"*"&amp;"A"</f>
        <v>164*2021*8660*A</v>
      </c>
      <c r="B802" s="276"/>
      <c r="C802" s="278">
        <f>ROUND(BS60,2)</f>
        <v>3.94</v>
      </c>
      <c r="D802" s="276">
        <f>ROUND(BS61,0)</f>
        <v>253109</v>
      </c>
      <c r="E802" s="276">
        <f>ROUND(BS62,0)</f>
        <v>82167</v>
      </c>
      <c r="F802" s="276">
        <f>ROUND(BS63,0)</f>
        <v>318</v>
      </c>
      <c r="G802" s="276">
        <f>ROUND(BS64,0)</f>
        <v>257119</v>
      </c>
      <c r="H802" s="276">
        <f>ROUND(BS65,0)</f>
        <v>1089</v>
      </c>
      <c r="I802" s="276">
        <f>ROUND(BS66,0)</f>
        <v>9082</v>
      </c>
      <c r="J802" s="276">
        <f>ROUND(BS67,0)</f>
        <v>19557</v>
      </c>
      <c r="K802" s="276">
        <f>ROUND(BS68,0)</f>
        <v>0</v>
      </c>
      <c r="L802" s="276">
        <f>ROUND(BS69,0)</f>
        <v>3406</v>
      </c>
      <c r="M802" s="276">
        <f>ROUND(BS70,0)</f>
        <v>423082</v>
      </c>
      <c r="N802" s="276"/>
      <c r="O802" s="276"/>
      <c r="P802" s="276">
        <f>IF(BS76&gt;0,ROUND(BS76,0),0)</f>
        <v>5109</v>
      </c>
      <c r="Q802" s="276">
        <f>IF(BS77&gt;0,ROUND(BS77,0),0)</f>
        <v>0</v>
      </c>
      <c r="R802" s="276">
        <f>IF(BS78&gt;0,ROUND(BS78,0),0)</f>
        <v>651</v>
      </c>
      <c r="S802" s="276">
        <f>IF(BS79&gt;0,ROUND(BS79,0),0)</f>
        <v>0</v>
      </c>
      <c r="T802" s="278">
        <f>IF(BS80&gt;0,ROUND(BS80,2),0)</f>
        <v>0</v>
      </c>
      <c r="U802" s="276"/>
      <c r="V802" s="277"/>
      <c r="W802" s="276"/>
      <c r="X802" s="276"/>
      <c r="Y802" s="276"/>
      <c r="Z802" s="277"/>
      <c r="AA802" s="277"/>
      <c r="AB802" s="277"/>
      <c r="AC802" s="277"/>
      <c r="AD802" s="277"/>
      <c r="AE802" s="277"/>
      <c r="AF802" s="277"/>
      <c r="AG802" s="277"/>
      <c r="AH802" s="277"/>
      <c r="AI802" s="277"/>
      <c r="AJ802" s="277"/>
      <c r="AK802" s="277"/>
      <c r="AL802" s="277"/>
      <c r="AM802" s="277"/>
      <c r="AN802" s="277"/>
      <c r="AO802" s="277"/>
      <c r="AP802" s="277"/>
      <c r="AQ802" s="277"/>
      <c r="AR802" s="277"/>
      <c r="AS802" s="277"/>
      <c r="AT802" s="277"/>
      <c r="AU802" s="277"/>
      <c r="AV802" s="277"/>
      <c r="AW802" s="277"/>
      <c r="AX802" s="277"/>
      <c r="AY802" s="277"/>
      <c r="AZ802" s="277"/>
      <c r="BA802" s="277"/>
      <c r="BB802" s="277"/>
      <c r="BC802" s="277"/>
      <c r="BD802" s="277"/>
      <c r="BE802" s="277"/>
      <c r="BF802" s="277"/>
      <c r="BG802" s="277"/>
      <c r="BH802" s="277"/>
      <c r="BI802" s="277"/>
      <c r="BJ802" s="277"/>
      <c r="BK802" s="277"/>
      <c r="BL802" s="277"/>
      <c r="BM802" s="277"/>
      <c r="BN802" s="277"/>
      <c r="BO802" s="277"/>
      <c r="BP802" s="277"/>
      <c r="BQ802" s="277"/>
      <c r="BR802" s="277"/>
      <c r="BS802" s="277"/>
      <c r="BT802" s="277"/>
      <c r="BU802" s="277"/>
      <c r="BV802" s="277"/>
      <c r="BW802" s="277"/>
      <c r="BX802" s="277"/>
      <c r="BY802" s="277"/>
      <c r="BZ802" s="277"/>
      <c r="CA802" s="277"/>
      <c r="CB802" s="277"/>
      <c r="CC802" s="277"/>
      <c r="CD802" s="277"/>
      <c r="CE802" s="277"/>
    </row>
    <row r="803" spans="1:83" ht="12.65" customHeight="1" x14ac:dyDescent="0.35">
      <c r="A803" s="209" t="str">
        <f>RIGHT($C$83,3)&amp;"*"&amp;RIGHT($C$82,4)&amp;"*"&amp;BT$55&amp;"*"&amp;"A"</f>
        <v>164*2021*8670*A</v>
      </c>
      <c r="B803" s="276"/>
      <c r="C803" s="278">
        <f>ROUND(BT60,2)</f>
        <v>1.59</v>
      </c>
      <c r="D803" s="276">
        <f>ROUND(BT61,0)</f>
        <v>117835</v>
      </c>
      <c r="E803" s="276">
        <f>ROUND(BT62,0)</f>
        <v>52807</v>
      </c>
      <c r="F803" s="276">
        <f>ROUND(BT63,0)</f>
        <v>0</v>
      </c>
      <c r="G803" s="276">
        <f>ROUND(BT64,0)</f>
        <v>637</v>
      </c>
      <c r="H803" s="276">
        <f>ROUND(BT65,0)</f>
        <v>3179</v>
      </c>
      <c r="I803" s="276">
        <f>ROUND(BT66,0)</f>
        <v>232</v>
      </c>
      <c r="J803" s="276">
        <f>ROUND(BT67,0)</f>
        <v>20704</v>
      </c>
      <c r="K803" s="276">
        <f>ROUND(BT68,0)</f>
        <v>0</v>
      </c>
      <c r="L803" s="276">
        <f>ROUND(BT69,0)</f>
        <v>0</v>
      </c>
      <c r="M803" s="276">
        <f>ROUND(BT70,0)</f>
        <v>50</v>
      </c>
      <c r="N803" s="276"/>
      <c r="O803" s="276"/>
      <c r="P803" s="276">
        <f>IF(BT76&gt;0,ROUND(BT76,0),0)</f>
        <v>947</v>
      </c>
      <c r="Q803" s="276">
        <f>IF(BT77&gt;0,ROUND(BT77,0),0)</f>
        <v>0</v>
      </c>
      <c r="R803" s="276">
        <f>IF(BT78&gt;0,ROUND(BT78,0),0)</f>
        <v>121</v>
      </c>
      <c r="S803" s="276">
        <f>IF(BT79&gt;0,ROUND(BT79,0),0)</f>
        <v>0</v>
      </c>
      <c r="T803" s="278">
        <f>IF(BT80&gt;0,ROUND(BT80,2),0)</f>
        <v>0</v>
      </c>
      <c r="U803" s="276"/>
      <c r="V803" s="277"/>
      <c r="W803" s="276"/>
      <c r="X803" s="276"/>
      <c r="Y803" s="276"/>
      <c r="Z803" s="277"/>
      <c r="AA803" s="277"/>
      <c r="AB803" s="277"/>
      <c r="AC803" s="277"/>
      <c r="AD803" s="277"/>
      <c r="AE803" s="277"/>
      <c r="AF803" s="277"/>
      <c r="AG803" s="277"/>
      <c r="AH803" s="277"/>
      <c r="AI803" s="277"/>
      <c r="AJ803" s="277"/>
      <c r="AK803" s="277"/>
      <c r="AL803" s="277"/>
      <c r="AM803" s="277"/>
      <c r="AN803" s="277"/>
      <c r="AO803" s="277"/>
      <c r="AP803" s="277"/>
      <c r="AQ803" s="277"/>
      <c r="AR803" s="277"/>
      <c r="AS803" s="277"/>
      <c r="AT803" s="277"/>
      <c r="AU803" s="277"/>
      <c r="AV803" s="277"/>
      <c r="AW803" s="277"/>
      <c r="AX803" s="277"/>
      <c r="AY803" s="277"/>
      <c r="AZ803" s="277"/>
      <c r="BA803" s="277"/>
      <c r="BB803" s="277"/>
      <c r="BC803" s="277"/>
      <c r="BD803" s="277"/>
      <c r="BE803" s="277"/>
      <c r="BF803" s="277"/>
      <c r="BG803" s="277"/>
      <c r="BH803" s="277"/>
      <c r="BI803" s="277"/>
      <c r="BJ803" s="277"/>
      <c r="BK803" s="277"/>
      <c r="BL803" s="277"/>
      <c r="BM803" s="277"/>
      <c r="BN803" s="277"/>
      <c r="BO803" s="277"/>
      <c r="BP803" s="277"/>
      <c r="BQ803" s="277"/>
      <c r="BR803" s="277"/>
      <c r="BS803" s="277"/>
      <c r="BT803" s="277"/>
      <c r="BU803" s="277"/>
      <c r="BV803" s="277"/>
      <c r="BW803" s="277"/>
      <c r="BX803" s="277"/>
      <c r="BY803" s="277"/>
      <c r="BZ803" s="277"/>
      <c r="CA803" s="277"/>
      <c r="CB803" s="277"/>
      <c r="CC803" s="277"/>
      <c r="CD803" s="277"/>
      <c r="CE803" s="277"/>
    </row>
    <row r="804" spans="1:83" ht="12.65" customHeight="1" x14ac:dyDescent="0.35">
      <c r="A804" s="209" t="str">
        <f>RIGHT($C$83,3)&amp;"*"&amp;RIGHT($C$82,4)&amp;"*"&amp;BU$55&amp;"*"&amp;"A"</f>
        <v>164*2021*8680*A</v>
      </c>
      <c r="B804" s="276"/>
      <c r="C804" s="278">
        <f>ROUND(BU60,2)</f>
        <v>0</v>
      </c>
      <c r="D804" s="276">
        <f>ROUND(BU61,0)</f>
        <v>0</v>
      </c>
      <c r="E804" s="276">
        <f>ROUND(BU62,0)</f>
        <v>0</v>
      </c>
      <c r="F804" s="276">
        <f>ROUND(BU63,0)</f>
        <v>0</v>
      </c>
      <c r="G804" s="276">
        <f>ROUND(BU64,0)</f>
        <v>0</v>
      </c>
      <c r="H804" s="276">
        <f>ROUND(BU65,0)</f>
        <v>0</v>
      </c>
      <c r="I804" s="276">
        <f>ROUND(BU66,0)</f>
        <v>0</v>
      </c>
      <c r="J804" s="276">
        <f>ROUND(BU67,0)</f>
        <v>0</v>
      </c>
      <c r="K804" s="276">
        <f>ROUND(BU68,0)</f>
        <v>0</v>
      </c>
      <c r="L804" s="276">
        <f>ROUND(BU69,0)</f>
        <v>246033</v>
      </c>
      <c r="M804" s="276">
        <f>ROUND(BU70,0)</f>
        <v>15000</v>
      </c>
      <c r="N804" s="276"/>
      <c r="O804" s="276"/>
      <c r="P804" s="276">
        <f>IF(BU76&gt;0,ROUND(BU76,0),0)</f>
        <v>0</v>
      </c>
      <c r="Q804" s="276">
        <f>IF(BU77&gt;0,ROUND(BU77,0),0)</f>
        <v>0</v>
      </c>
      <c r="R804" s="276">
        <f>IF(BU78&gt;0,ROUND(BU78,0),0)</f>
        <v>0</v>
      </c>
      <c r="S804" s="276">
        <f>IF(BU79&gt;0,ROUND(BU79,0),0)</f>
        <v>0</v>
      </c>
      <c r="T804" s="278">
        <f>IF(BU80&gt;0,ROUND(BU80,2),0)</f>
        <v>0</v>
      </c>
      <c r="U804" s="276"/>
      <c r="V804" s="277"/>
      <c r="W804" s="276"/>
      <c r="X804" s="276"/>
      <c r="Y804" s="276"/>
      <c r="Z804" s="277"/>
      <c r="AA804" s="277"/>
      <c r="AB804" s="277"/>
      <c r="AC804" s="277"/>
      <c r="AD804" s="277"/>
      <c r="AE804" s="277"/>
      <c r="AF804" s="277"/>
      <c r="AG804" s="277"/>
      <c r="AH804" s="277"/>
      <c r="AI804" s="277"/>
      <c r="AJ804" s="277"/>
      <c r="AK804" s="277"/>
      <c r="AL804" s="277"/>
      <c r="AM804" s="277"/>
      <c r="AN804" s="277"/>
      <c r="AO804" s="277"/>
      <c r="AP804" s="277"/>
      <c r="AQ804" s="277"/>
      <c r="AR804" s="277"/>
      <c r="AS804" s="277"/>
      <c r="AT804" s="277"/>
      <c r="AU804" s="277"/>
      <c r="AV804" s="277"/>
      <c r="AW804" s="277"/>
      <c r="AX804" s="277"/>
      <c r="AY804" s="277"/>
      <c r="AZ804" s="277"/>
      <c r="BA804" s="277"/>
      <c r="BB804" s="277"/>
      <c r="BC804" s="277"/>
      <c r="BD804" s="277"/>
      <c r="BE804" s="277"/>
      <c r="BF804" s="277"/>
      <c r="BG804" s="277"/>
      <c r="BH804" s="277"/>
      <c r="BI804" s="277"/>
      <c r="BJ804" s="277"/>
      <c r="BK804" s="277"/>
      <c r="BL804" s="277"/>
      <c r="BM804" s="277"/>
      <c r="BN804" s="277"/>
      <c r="BO804" s="277"/>
      <c r="BP804" s="277"/>
      <c r="BQ804" s="277"/>
      <c r="BR804" s="277"/>
      <c r="BS804" s="277"/>
      <c r="BT804" s="277"/>
      <c r="BU804" s="277"/>
      <c r="BV804" s="277"/>
      <c r="BW804" s="277"/>
      <c r="BX804" s="277"/>
      <c r="BY804" s="277"/>
      <c r="BZ804" s="277"/>
      <c r="CA804" s="277"/>
      <c r="CB804" s="277"/>
      <c r="CC804" s="277"/>
      <c r="CD804" s="277"/>
      <c r="CE804" s="277"/>
    </row>
    <row r="805" spans="1:83" ht="12.65" customHeight="1" x14ac:dyDescent="0.35">
      <c r="A805" s="209" t="str">
        <f>RIGHT($C$83,3)&amp;"*"&amp;RIGHT($C$82,4)&amp;"*"&amp;BV$55&amp;"*"&amp;"A"</f>
        <v>164*2021*8690*A</v>
      </c>
      <c r="B805" s="276"/>
      <c r="C805" s="278">
        <f>ROUND(BV60,2)</f>
        <v>53.41</v>
      </c>
      <c r="D805" s="276">
        <f>ROUND(BV61,0)</f>
        <v>3616524</v>
      </c>
      <c r="E805" s="276">
        <f>ROUND(BV62,0)</f>
        <v>1112558</v>
      </c>
      <c r="F805" s="276">
        <f>ROUND(BV63,0)</f>
        <v>0</v>
      </c>
      <c r="G805" s="276">
        <f>ROUND(BV64,0)</f>
        <v>19387</v>
      </c>
      <c r="H805" s="276">
        <f>ROUND(BV65,0)</f>
        <v>0</v>
      </c>
      <c r="I805" s="276">
        <f>ROUND(BV66,0)</f>
        <v>1602568</v>
      </c>
      <c r="J805" s="276">
        <f>ROUND(BV67,0)</f>
        <v>61475</v>
      </c>
      <c r="K805" s="276">
        <f>ROUND(BV68,0)</f>
        <v>88418</v>
      </c>
      <c r="L805" s="276">
        <f>ROUND(BV69,0)</f>
        <v>3928</v>
      </c>
      <c r="M805" s="276">
        <f>ROUND(BV70,0)</f>
        <v>2753</v>
      </c>
      <c r="N805" s="276"/>
      <c r="O805" s="276"/>
      <c r="P805" s="276">
        <f>IF(BV76&gt;0,ROUND(BV76,0),0)</f>
        <v>17194</v>
      </c>
      <c r="Q805" s="276">
        <f>IF(BV77&gt;0,ROUND(BV77,0),0)</f>
        <v>0</v>
      </c>
      <c r="R805" s="276">
        <f>IF(BV78&gt;0,ROUND(BV78,0),0)</f>
        <v>2190</v>
      </c>
      <c r="S805" s="276">
        <f>IF(BV79&gt;0,ROUND(BV79,0),0)</f>
        <v>0</v>
      </c>
      <c r="T805" s="278">
        <f>IF(BV80&gt;0,ROUND(BV80,2),0)</f>
        <v>0</v>
      </c>
      <c r="U805" s="276"/>
      <c r="V805" s="277"/>
      <c r="W805" s="276"/>
      <c r="X805" s="276"/>
      <c r="Y805" s="276"/>
      <c r="Z805" s="277"/>
      <c r="AA805" s="277"/>
      <c r="AB805" s="277"/>
      <c r="AC805" s="277"/>
      <c r="AD805" s="277"/>
      <c r="AE805" s="277"/>
      <c r="AF805" s="277"/>
      <c r="AG805" s="277"/>
      <c r="AH805" s="277"/>
      <c r="AI805" s="277"/>
      <c r="AJ805" s="277"/>
      <c r="AK805" s="277"/>
      <c r="AL805" s="277"/>
      <c r="AM805" s="277"/>
      <c r="AN805" s="277"/>
      <c r="AO805" s="277"/>
      <c r="AP805" s="277"/>
      <c r="AQ805" s="277"/>
      <c r="AR805" s="277"/>
      <c r="AS805" s="277"/>
      <c r="AT805" s="277"/>
      <c r="AU805" s="277"/>
      <c r="AV805" s="277"/>
      <c r="AW805" s="277"/>
      <c r="AX805" s="277"/>
      <c r="AY805" s="277"/>
      <c r="AZ805" s="277"/>
      <c r="BA805" s="277"/>
      <c r="BB805" s="277"/>
      <c r="BC805" s="277"/>
      <c r="BD805" s="277"/>
      <c r="BE805" s="277"/>
      <c r="BF805" s="277"/>
      <c r="BG805" s="277"/>
      <c r="BH805" s="277"/>
      <c r="BI805" s="277"/>
      <c r="BJ805" s="277"/>
      <c r="BK805" s="277"/>
      <c r="BL805" s="277"/>
      <c r="BM805" s="277"/>
      <c r="BN805" s="277"/>
      <c r="BO805" s="277"/>
      <c r="BP805" s="277"/>
      <c r="BQ805" s="277"/>
      <c r="BR805" s="277"/>
      <c r="BS805" s="277"/>
      <c r="BT805" s="277"/>
      <c r="BU805" s="277"/>
      <c r="BV805" s="277"/>
      <c r="BW805" s="277"/>
      <c r="BX805" s="277"/>
      <c r="BY805" s="277"/>
      <c r="BZ805" s="277"/>
      <c r="CA805" s="277"/>
      <c r="CB805" s="277"/>
      <c r="CC805" s="277"/>
      <c r="CD805" s="277"/>
      <c r="CE805" s="277"/>
    </row>
    <row r="806" spans="1:83" ht="12.65" customHeight="1" x14ac:dyDescent="0.35">
      <c r="A806" s="209" t="str">
        <f>RIGHT($C$83,3)&amp;"*"&amp;RIGHT($C$82,4)&amp;"*"&amp;BW$55&amp;"*"&amp;"A"</f>
        <v>164*2021*8700*A</v>
      </c>
      <c r="B806" s="276"/>
      <c r="C806" s="278">
        <f>ROUND(BW60,2)</f>
        <v>7.81</v>
      </c>
      <c r="D806" s="276">
        <f>ROUND(BW61,0)</f>
        <v>1576254</v>
      </c>
      <c r="E806" s="276">
        <f>ROUND(BW62,0)</f>
        <v>171927</v>
      </c>
      <c r="F806" s="276">
        <f>ROUND(BW63,0)</f>
        <v>1822690</v>
      </c>
      <c r="G806" s="276">
        <f>ROUND(BW64,0)</f>
        <v>5053</v>
      </c>
      <c r="H806" s="276">
        <f>ROUND(BW65,0)</f>
        <v>0</v>
      </c>
      <c r="I806" s="276">
        <f>ROUND(BW66,0)</f>
        <v>167370</v>
      </c>
      <c r="J806" s="276">
        <f>ROUND(BW67,0)</f>
        <v>24100</v>
      </c>
      <c r="K806" s="276">
        <f>ROUND(BW68,0)</f>
        <v>0</v>
      </c>
      <c r="L806" s="276">
        <f>ROUND(BW69,0)</f>
        <v>6945</v>
      </c>
      <c r="M806" s="276">
        <f>ROUND(BW70,0)</f>
        <v>111799</v>
      </c>
      <c r="N806" s="276"/>
      <c r="O806" s="276"/>
      <c r="P806" s="276">
        <f>IF(BW76&gt;0,ROUND(BW76,0),0)</f>
        <v>3446</v>
      </c>
      <c r="Q806" s="276">
        <f>IF(BW77&gt;0,ROUND(BW77,0),0)</f>
        <v>0</v>
      </c>
      <c r="R806" s="276">
        <f>IF(BW78&gt;0,ROUND(BW78,0),0)</f>
        <v>439</v>
      </c>
      <c r="S806" s="276">
        <f>IF(BW79&gt;0,ROUND(BW79,0),0)</f>
        <v>0</v>
      </c>
      <c r="T806" s="278">
        <f>IF(BW80&gt;0,ROUND(BW80,2),0)</f>
        <v>0</v>
      </c>
      <c r="U806" s="276"/>
      <c r="V806" s="277"/>
      <c r="W806" s="276"/>
      <c r="X806" s="276"/>
      <c r="Y806" s="276"/>
      <c r="Z806" s="277"/>
      <c r="AA806" s="277"/>
      <c r="AB806" s="277"/>
      <c r="AC806" s="277"/>
      <c r="AD806" s="277"/>
      <c r="AE806" s="277"/>
      <c r="AF806" s="277"/>
      <c r="AG806" s="277"/>
      <c r="AH806" s="277"/>
      <c r="AI806" s="277"/>
      <c r="AJ806" s="277"/>
      <c r="AK806" s="277"/>
      <c r="AL806" s="277"/>
      <c r="AM806" s="277"/>
      <c r="AN806" s="277"/>
      <c r="AO806" s="277"/>
      <c r="AP806" s="277"/>
      <c r="AQ806" s="277"/>
      <c r="AR806" s="277"/>
      <c r="AS806" s="277"/>
      <c r="AT806" s="277"/>
      <c r="AU806" s="277"/>
      <c r="AV806" s="277"/>
      <c r="AW806" s="277"/>
      <c r="AX806" s="277"/>
      <c r="AY806" s="277"/>
      <c r="AZ806" s="277"/>
      <c r="BA806" s="277"/>
      <c r="BB806" s="277"/>
      <c r="BC806" s="277"/>
      <c r="BD806" s="277"/>
      <c r="BE806" s="277"/>
      <c r="BF806" s="277"/>
      <c r="BG806" s="277"/>
      <c r="BH806" s="277"/>
      <c r="BI806" s="277"/>
      <c r="BJ806" s="277"/>
      <c r="BK806" s="277"/>
      <c r="BL806" s="277"/>
      <c r="BM806" s="277"/>
      <c r="BN806" s="277"/>
      <c r="BO806" s="277"/>
      <c r="BP806" s="277"/>
      <c r="BQ806" s="277"/>
      <c r="BR806" s="277"/>
      <c r="BS806" s="277"/>
      <c r="BT806" s="277"/>
      <c r="BU806" s="277"/>
      <c r="BV806" s="277"/>
      <c r="BW806" s="277"/>
      <c r="BX806" s="277"/>
      <c r="BY806" s="277"/>
      <c r="BZ806" s="277"/>
      <c r="CA806" s="277"/>
      <c r="CB806" s="277"/>
      <c r="CC806" s="277"/>
      <c r="CD806" s="277"/>
      <c r="CE806" s="277"/>
    </row>
    <row r="807" spans="1:83" ht="12.65" customHeight="1" x14ac:dyDescent="0.35">
      <c r="A807" s="209" t="str">
        <f>RIGHT($C$83,3)&amp;"*"&amp;RIGHT($C$82,4)&amp;"*"&amp;BX$55&amp;"*"&amp;"A"</f>
        <v>164*2021*8710*A</v>
      </c>
      <c r="B807" s="276"/>
      <c r="C807" s="278">
        <f>ROUND(BX60,2)</f>
        <v>53</v>
      </c>
      <c r="D807" s="276">
        <f>ROUND(BX61,0)</f>
        <v>6108592</v>
      </c>
      <c r="E807" s="276">
        <f>ROUND(BX62,0)</f>
        <v>1327961</v>
      </c>
      <c r="F807" s="276">
        <f>ROUND(BX63,0)</f>
        <v>116420</v>
      </c>
      <c r="G807" s="276">
        <f>ROUND(BX64,0)</f>
        <v>32729</v>
      </c>
      <c r="H807" s="276">
        <f>ROUND(BX65,0)</f>
        <v>5391</v>
      </c>
      <c r="I807" s="276">
        <f>ROUND(BX66,0)</f>
        <v>802901</v>
      </c>
      <c r="J807" s="276">
        <f>ROUND(BX67,0)</f>
        <v>41263</v>
      </c>
      <c r="K807" s="276">
        <f>ROUND(BX68,0)</f>
        <v>0</v>
      </c>
      <c r="L807" s="276">
        <f>ROUND(BX69,0)</f>
        <v>18580</v>
      </c>
      <c r="M807" s="276">
        <f>ROUND(BX70,0)</f>
        <v>1081442</v>
      </c>
      <c r="N807" s="276"/>
      <c r="O807" s="276"/>
      <c r="P807" s="276">
        <f>IF(BX76&gt;0,ROUND(BX76,0),0)</f>
        <v>3549</v>
      </c>
      <c r="Q807" s="276">
        <f>IF(BX77&gt;0,ROUND(BX77,0),0)</f>
        <v>0</v>
      </c>
      <c r="R807" s="276">
        <f>IF(BX78&gt;0,ROUND(BX78,0),0)</f>
        <v>452</v>
      </c>
      <c r="S807" s="276">
        <f>IF(BX79&gt;0,ROUND(BX79,0),0)</f>
        <v>0</v>
      </c>
      <c r="T807" s="278">
        <f>IF(BX80&gt;0,ROUND(BX80,2),0)</f>
        <v>0</v>
      </c>
      <c r="U807" s="276"/>
      <c r="V807" s="277"/>
      <c r="W807" s="276"/>
      <c r="X807" s="276"/>
      <c r="Y807" s="276"/>
      <c r="Z807" s="277"/>
      <c r="AA807" s="277"/>
      <c r="AB807" s="277"/>
      <c r="AC807" s="277"/>
      <c r="AD807" s="277"/>
      <c r="AE807" s="277"/>
      <c r="AF807" s="277"/>
      <c r="AG807" s="277"/>
      <c r="AH807" s="277"/>
      <c r="AI807" s="277"/>
      <c r="AJ807" s="277"/>
      <c r="AK807" s="277"/>
      <c r="AL807" s="277"/>
      <c r="AM807" s="277"/>
      <c r="AN807" s="277"/>
      <c r="AO807" s="277"/>
      <c r="AP807" s="277"/>
      <c r="AQ807" s="277"/>
      <c r="AR807" s="277"/>
      <c r="AS807" s="277"/>
      <c r="AT807" s="277"/>
      <c r="AU807" s="277"/>
      <c r="AV807" s="277"/>
      <c r="AW807" s="277"/>
      <c r="AX807" s="277"/>
      <c r="AY807" s="277"/>
      <c r="AZ807" s="277"/>
      <c r="BA807" s="277"/>
      <c r="BB807" s="277"/>
      <c r="BC807" s="277"/>
      <c r="BD807" s="277"/>
      <c r="BE807" s="277"/>
      <c r="BF807" s="277"/>
      <c r="BG807" s="277"/>
      <c r="BH807" s="277"/>
      <c r="BI807" s="277"/>
      <c r="BJ807" s="277"/>
      <c r="BK807" s="277"/>
      <c r="BL807" s="277"/>
      <c r="BM807" s="277"/>
      <c r="BN807" s="277"/>
      <c r="BO807" s="277"/>
      <c r="BP807" s="277"/>
      <c r="BQ807" s="277"/>
      <c r="BR807" s="277"/>
      <c r="BS807" s="277"/>
      <c r="BT807" s="277"/>
      <c r="BU807" s="277"/>
      <c r="BV807" s="277"/>
      <c r="BW807" s="277"/>
      <c r="BX807" s="277"/>
      <c r="BY807" s="277"/>
      <c r="BZ807" s="277"/>
      <c r="CA807" s="277"/>
      <c r="CB807" s="277"/>
      <c r="CC807" s="277"/>
      <c r="CD807" s="277"/>
      <c r="CE807" s="277"/>
    </row>
    <row r="808" spans="1:83" ht="12.65" customHeight="1" x14ac:dyDescent="0.35">
      <c r="A808" s="209" t="str">
        <f>RIGHT($C$83,3)&amp;"*"&amp;RIGHT($C$82,4)&amp;"*"&amp;BY$55&amp;"*"&amp;"A"</f>
        <v>164*2021*8720*A</v>
      </c>
      <c r="B808" s="276"/>
      <c r="C808" s="278">
        <f>ROUND(BY60,2)</f>
        <v>12.74</v>
      </c>
      <c r="D808" s="276">
        <f>ROUND(BY61,0)</f>
        <v>1477629</v>
      </c>
      <c r="E808" s="276">
        <f>ROUND(BY62,0)</f>
        <v>327799</v>
      </c>
      <c r="F808" s="276">
        <f>ROUND(BY63,0)</f>
        <v>0</v>
      </c>
      <c r="G808" s="276">
        <f>ROUND(BY64,0)</f>
        <v>4419</v>
      </c>
      <c r="H808" s="276">
        <f>ROUND(BY65,0)</f>
        <v>1805</v>
      </c>
      <c r="I808" s="276">
        <f>ROUND(BY66,0)</f>
        <v>12674</v>
      </c>
      <c r="J808" s="276">
        <f>ROUND(BY67,0)</f>
        <v>225720</v>
      </c>
      <c r="K808" s="276">
        <f>ROUND(BY68,0)</f>
        <v>0</v>
      </c>
      <c r="L808" s="276">
        <f>ROUND(BY69,0)</f>
        <v>21557</v>
      </c>
      <c r="M808" s="276">
        <f>ROUND(BY70,0)</f>
        <v>658</v>
      </c>
      <c r="N808" s="276"/>
      <c r="O808" s="276"/>
      <c r="P808" s="276">
        <f>IF(BY76&gt;0,ROUND(BY76,0),0)</f>
        <v>1319</v>
      </c>
      <c r="Q808" s="276">
        <f>IF(BY77&gt;0,ROUND(BY77,0),0)</f>
        <v>0</v>
      </c>
      <c r="R808" s="276">
        <f>IF(BY78&gt;0,ROUND(BY78,0),0)</f>
        <v>168</v>
      </c>
      <c r="S808" s="276">
        <f>IF(BY79&gt;0,ROUND(BY79,0),0)</f>
        <v>0</v>
      </c>
      <c r="T808" s="278">
        <f>IF(BY80&gt;0,ROUND(BY80,2),0)</f>
        <v>0</v>
      </c>
      <c r="U808" s="276"/>
      <c r="V808" s="277"/>
      <c r="W808" s="276"/>
      <c r="X808" s="276"/>
      <c r="Y808" s="276"/>
      <c r="Z808" s="277"/>
      <c r="AA808" s="277"/>
      <c r="AB808" s="277"/>
      <c r="AC808" s="277"/>
      <c r="AD808" s="277"/>
      <c r="AE808" s="277"/>
      <c r="AF808" s="277"/>
      <c r="AG808" s="277"/>
      <c r="AH808" s="277"/>
      <c r="AI808" s="277"/>
      <c r="AJ808" s="277"/>
      <c r="AK808" s="277"/>
      <c r="AL808" s="277"/>
      <c r="AM808" s="277"/>
      <c r="AN808" s="277"/>
      <c r="AO808" s="277"/>
      <c r="AP808" s="277"/>
      <c r="AQ808" s="277"/>
      <c r="AR808" s="277"/>
      <c r="AS808" s="277"/>
      <c r="AT808" s="277"/>
      <c r="AU808" s="277"/>
      <c r="AV808" s="277"/>
      <c r="AW808" s="277"/>
      <c r="AX808" s="277"/>
      <c r="AY808" s="277"/>
      <c r="AZ808" s="277"/>
      <c r="BA808" s="277"/>
      <c r="BB808" s="277"/>
      <c r="BC808" s="277"/>
      <c r="BD808" s="277"/>
      <c r="BE808" s="277"/>
      <c r="BF808" s="277"/>
      <c r="BG808" s="277"/>
      <c r="BH808" s="277"/>
      <c r="BI808" s="277"/>
      <c r="BJ808" s="277"/>
      <c r="BK808" s="277"/>
      <c r="BL808" s="277"/>
      <c r="BM808" s="277"/>
      <c r="BN808" s="277"/>
      <c r="BO808" s="277"/>
      <c r="BP808" s="277"/>
      <c r="BQ808" s="277"/>
      <c r="BR808" s="277"/>
      <c r="BS808" s="277"/>
      <c r="BT808" s="277"/>
      <c r="BU808" s="277"/>
      <c r="BV808" s="277"/>
      <c r="BW808" s="277"/>
      <c r="BX808" s="277"/>
      <c r="BY808" s="277"/>
      <c r="BZ808" s="277"/>
      <c r="CA808" s="277"/>
      <c r="CB808" s="277"/>
      <c r="CC808" s="277"/>
      <c r="CD808" s="277"/>
      <c r="CE808" s="277"/>
    </row>
    <row r="809" spans="1:83" ht="12.65" customHeight="1" x14ac:dyDescent="0.35">
      <c r="A809" s="209" t="str">
        <f>RIGHT($C$83,3)&amp;"*"&amp;RIGHT($C$82,4)&amp;"*"&amp;BZ$55&amp;"*"&amp;"A"</f>
        <v>164*2021*8730*A</v>
      </c>
      <c r="B809" s="276"/>
      <c r="C809" s="278">
        <f>ROUND(BZ60,2)</f>
        <v>44.59</v>
      </c>
      <c r="D809" s="276">
        <f>ROUND(BZ61,0)</f>
        <v>3777894</v>
      </c>
      <c r="E809" s="276">
        <f>ROUND(BZ62,0)</f>
        <v>1176965</v>
      </c>
      <c r="F809" s="276">
        <f>ROUND(BZ63,0)</f>
        <v>0</v>
      </c>
      <c r="G809" s="276">
        <f>ROUND(BZ64,0)</f>
        <v>1712</v>
      </c>
      <c r="H809" s="276">
        <f>ROUND(BZ65,0)</f>
        <v>0</v>
      </c>
      <c r="I809" s="276">
        <f>ROUND(BZ66,0)</f>
        <v>379</v>
      </c>
      <c r="J809" s="276">
        <f>ROUND(BZ67,0)</f>
        <v>6140</v>
      </c>
      <c r="K809" s="276">
        <f>ROUND(BZ68,0)</f>
        <v>0</v>
      </c>
      <c r="L809" s="276">
        <f>ROUND(BZ69,0)</f>
        <v>515</v>
      </c>
      <c r="M809" s="276">
        <f>ROUND(BZ70,0)</f>
        <v>0</v>
      </c>
      <c r="N809" s="276"/>
      <c r="O809" s="276"/>
      <c r="P809" s="276">
        <f>IF(BZ76&gt;0,ROUND(BZ76,0),0)</f>
        <v>0</v>
      </c>
      <c r="Q809" s="276">
        <f>IF(BZ77&gt;0,ROUND(BZ77,0),0)</f>
        <v>0</v>
      </c>
      <c r="R809" s="276">
        <f>IF(BZ78&gt;0,ROUND(BZ78,0),0)</f>
        <v>0</v>
      </c>
      <c r="S809" s="276">
        <f>IF(BZ79&gt;0,ROUND(BZ79,0),0)</f>
        <v>0</v>
      </c>
      <c r="T809" s="278">
        <f>IF(BZ80&gt;0,ROUND(BZ80,2),0)</f>
        <v>0</v>
      </c>
      <c r="U809" s="276"/>
      <c r="V809" s="277"/>
      <c r="W809" s="276"/>
      <c r="X809" s="276"/>
      <c r="Y809" s="276"/>
      <c r="Z809" s="277"/>
      <c r="AA809" s="277"/>
      <c r="AB809" s="277"/>
      <c r="AC809" s="277"/>
      <c r="AD809" s="277"/>
      <c r="AE809" s="277"/>
      <c r="AF809" s="277"/>
      <c r="AG809" s="277"/>
      <c r="AH809" s="277"/>
      <c r="AI809" s="277"/>
      <c r="AJ809" s="277"/>
      <c r="AK809" s="277"/>
      <c r="AL809" s="277"/>
      <c r="AM809" s="277"/>
      <c r="AN809" s="277"/>
      <c r="AO809" s="277"/>
      <c r="AP809" s="277"/>
      <c r="AQ809" s="277"/>
      <c r="AR809" s="277"/>
      <c r="AS809" s="277"/>
      <c r="AT809" s="277"/>
      <c r="AU809" s="277"/>
      <c r="AV809" s="277"/>
      <c r="AW809" s="277"/>
      <c r="AX809" s="277"/>
      <c r="AY809" s="277"/>
      <c r="AZ809" s="277"/>
      <c r="BA809" s="277"/>
      <c r="BB809" s="277"/>
      <c r="BC809" s="277"/>
      <c r="BD809" s="277"/>
      <c r="BE809" s="277"/>
      <c r="BF809" s="277"/>
      <c r="BG809" s="277"/>
      <c r="BH809" s="277"/>
      <c r="BI809" s="277"/>
      <c r="BJ809" s="277"/>
      <c r="BK809" s="277"/>
      <c r="BL809" s="277"/>
      <c r="BM809" s="277"/>
      <c r="BN809" s="277"/>
      <c r="BO809" s="277"/>
      <c r="BP809" s="277"/>
      <c r="BQ809" s="277"/>
      <c r="BR809" s="277"/>
      <c r="BS809" s="277"/>
      <c r="BT809" s="277"/>
      <c r="BU809" s="277"/>
      <c r="BV809" s="277"/>
      <c r="BW809" s="277"/>
      <c r="BX809" s="277"/>
      <c r="BY809" s="277"/>
      <c r="BZ809" s="277"/>
      <c r="CA809" s="277"/>
      <c r="CB809" s="277"/>
      <c r="CC809" s="277"/>
      <c r="CD809" s="277"/>
      <c r="CE809" s="277"/>
    </row>
    <row r="810" spans="1:83" ht="12.65" customHeight="1" x14ac:dyDescent="0.35">
      <c r="A810" s="209" t="str">
        <f>RIGHT($C$83,3)&amp;"*"&amp;RIGHT($C$82,4)&amp;"*"&amp;CA$55&amp;"*"&amp;"A"</f>
        <v>164*2021*8740*A</v>
      </c>
      <c r="B810" s="276"/>
      <c r="C810" s="278">
        <f>ROUND(CA60,2)</f>
        <v>15.33</v>
      </c>
      <c r="D810" s="276">
        <f>ROUND(CA61,0)</f>
        <v>1664042</v>
      </c>
      <c r="E810" s="276">
        <f>ROUND(CA62,0)</f>
        <v>384857</v>
      </c>
      <c r="F810" s="276">
        <f>ROUND(CA63,0)</f>
        <v>3781</v>
      </c>
      <c r="G810" s="276">
        <f>ROUND(CA64,0)</f>
        <v>266292</v>
      </c>
      <c r="H810" s="276">
        <f>ROUND(CA65,0)</f>
        <v>0</v>
      </c>
      <c r="I810" s="276">
        <f>ROUND(CA66,0)</f>
        <v>235874</v>
      </c>
      <c r="J810" s="276">
        <f>ROUND(CA67,0)</f>
        <v>9539</v>
      </c>
      <c r="K810" s="276">
        <f>ROUND(CA68,0)</f>
        <v>0</v>
      </c>
      <c r="L810" s="276">
        <f>ROUND(CA69,0)</f>
        <v>350816</v>
      </c>
      <c r="M810" s="276">
        <f>ROUND(CA70,0)</f>
        <v>0</v>
      </c>
      <c r="N810" s="276"/>
      <c r="O810" s="276"/>
      <c r="P810" s="276">
        <f>IF(CA76&gt;0,ROUND(CA76,0),0)</f>
        <v>5571</v>
      </c>
      <c r="Q810" s="276">
        <f>IF(CA77&gt;0,ROUND(CA77,0),0)</f>
        <v>0</v>
      </c>
      <c r="R810" s="276">
        <f>IF(CA78&gt;0,ROUND(CA78,0),0)</f>
        <v>709</v>
      </c>
      <c r="S810" s="276">
        <f>IF(CA79&gt;0,ROUND(CA79,0),0)</f>
        <v>0</v>
      </c>
      <c r="T810" s="278">
        <f>IF(CA80&gt;0,ROUND(CA80,2),0)</f>
        <v>0</v>
      </c>
      <c r="U810" s="276"/>
      <c r="V810" s="277"/>
      <c r="W810" s="276"/>
      <c r="X810" s="276"/>
      <c r="Y810" s="276"/>
      <c r="Z810" s="277"/>
      <c r="AA810" s="277"/>
      <c r="AB810" s="277"/>
      <c r="AC810" s="277"/>
      <c r="AD810" s="277"/>
      <c r="AE810" s="277"/>
      <c r="AF810" s="277"/>
      <c r="AG810" s="277"/>
      <c r="AH810" s="277"/>
      <c r="AI810" s="277"/>
      <c r="AJ810" s="277"/>
      <c r="AK810" s="277"/>
      <c r="AL810" s="277"/>
      <c r="AM810" s="277"/>
      <c r="AN810" s="277"/>
      <c r="AO810" s="277"/>
      <c r="AP810" s="277"/>
      <c r="AQ810" s="277"/>
      <c r="AR810" s="277"/>
      <c r="AS810" s="277"/>
      <c r="AT810" s="277"/>
      <c r="AU810" s="277"/>
      <c r="AV810" s="277"/>
      <c r="AW810" s="277"/>
      <c r="AX810" s="277"/>
      <c r="AY810" s="277"/>
      <c r="AZ810" s="277"/>
      <c r="BA810" s="277"/>
      <c r="BB810" s="277"/>
      <c r="BC810" s="277"/>
      <c r="BD810" s="277"/>
      <c r="BE810" s="277"/>
      <c r="BF810" s="277"/>
      <c r="BG810" s="277"/>
      <c r="BH810" s="277"/>
      <c r="BI810" s="277"/>
      <c r="BJ810" s="277"/>
      <c r="BK810" s="277"/>
      <c r="BL810" s="277"/>
      <c r="BM810" s="277"/>
      <c r="BN810" s="277"/>
      <c r="BO810" s="277"/>
      <c r="BP810" s="277"/>
      <c r="BQ810" s="277"/>
      <c r="BR810" s="277"/>
      <c r="BS810" s="277"/>
      <c r="BT810" s="277"/>
      <c r="BU810" s="277"/>
      <c r="BV810" s="277"/>
      <c r="BW810" s="277"/>
      <c r="BX810" s="277"/>
      <c r="BY810" s="277"/>
      <c r="BZ810" s="277"/>
      <c r="CA810" s="277"/>
      <c r="CB810" s="277"/>
      <c r="CC810" s="277"/>
      <c r="CD810" s="277"/>
      <c r="CE810" s="277"/>
    </row>
    <row r="811" spans="1:83" ht="12.65" customHeight="1" x14ac:dyDescent="0.35">
      <c r="A811" s="209" t="str">
        <f>RIGHT($C$83,3)&amp;"*"&amp;RIGHT($C$82,4)&amp;"*"&amp;CB$55&amp;"*"&amp;"A"</f>
        <v>164*2021*8770*A</v>
      </c>
      <c r="B811" s="276"/>
      <c r="C811" s="278">
        <f>ROUND(CB60,2)</f>
        <v>74.989999999999995</v>
      </c>
      <c r="D811" s="276">
        <f>ROUND(CB61,0)</f>
        <v>5962214</v>
      </c>
      <c r="E811" s="276">
        <f>ROUND(CB62,0)</f>
        <v>1516188</v>
      </c>
      <c r="F811" s="276">
        <f>ROUND(CB63,0)</f>
        <v>668</v>
      </c>
      <c r="G811" s="276">
        <f>ROUND(CB64,0)</f>
        <v>32688</v>
      </c>
      <c r="H811" s="276">
        <f>ROUND(CB65,0)</f>
        <v>8188</v>
      </c>
      <c r="I811" s="276">
        <f>ROUND(CB66,0)</f>
        <v>87454</v>
      </c>
      <c r="J811" s="276">
        <f>ROUND(CB67,0)</f>
        <v>33687</v>
      </c>
      <c r="K811" s="276">
        <f>ROUND(CB68,0)</f>
        <v>219070</v>
      </c>
      <c r="L811" s="276">
        <f>ROUND(CB69,0)</f>
        <v>1903</v>
      </c>
      <c r="M811" s="276">
        <f>ROUND(CB70,0)</f>
        <v>1302787</v>
      </c>
      <c r="N811" s="276"/>
      <c r="O811" s="276"/>
      <c r="P811" s="276">
        <f>IF(CB76&gt;0,ROUND(CB76,0),0)</f>
        <v>4031</v>
      </c>
      <c r="Q811" s="276">
        <f>IF(CB77&gt;0,ROUND(CB77,0),0)</f>
        <v>0</v>
      </c>
      <c r="R811" s="276">
        <f>IF(CB78&gt;0,ROUND(CB78,0),0)</f>
        <v>513</v>
      </c>
      <c r="S811" s="276">
        <f>IF(CB79&gt;0,ROUND(CB79,0),0)</f>
        <v>0</v>
      </c>
      <c r="T811" s="278">
        <f>IF(CB80&gt;0,ROUND(CB80,2),0)</f>
        <v>0</v>
      </c>
      <c r="U811" s="276"/>
      <c r="V811" s="277"/>
      <c r="W811" s="276"/>
      <c r="X811" s="276"/>
      <c r="Y811" s="276"/>
      <c r="Z811" s="277"/>
      <c r="AA811" s="277"/>
      <c r="AB811" s="277"/>
      <c r="AC811" s="277"/>
      <c r="AD811" s="277"/>
      <c r="AE811" s="277"/>
      <c r="AF811" s="277"/>
      <c r="AG811" s="277"/>
      <c r="AH811" s="277"/>
      <c r="AI811" s="277"/>
      <c r="AJ811" s="277"/>
      <c r="AK811" s="277"/>
      <c r="AL811" s="277"/>
      <c r="AM811" s="277"/>
      <c r="AN811" s="277"/>
      <c r="AO811" s="277"/>
      <c r="AP811" s="277"/>
      <c r="AQ811" s="277"/>
      <c r="AR811" s="277"/>
      <c r="AS811" s="277"/>
      <c r="AT811" s="277"/>
      <c r="AU811" s="277"/>
      <c r="AV811" s="277"/>
      <c r="AW811" s="277"/>
      <c r="AX811" s="277"/>
      <c r="AY811" s="277"/>
      <c r="AZ811" s="277"/>
      <c r="BA811" s="277"/>
      <c r="BB811" s="277"/>
      <c r="BC811" s="277"/>
      <c r="BD811" s="277"/>
      <c r="BE811" s="277"/>
      <c r="BF811" s="277"/>
      <c r="BG811" s="277"/>
      <c r="BH811" s="277"/>
      <c r="BI811" s="277"/>
      <c r="BJ811" s="277"/>
      <c r="BK811" s="277"/>
      <c r="BL811" s="277"/>
      <c r="BM811" s="277"/>
      <c r="BN811" s="277"/>
      <c r="BO811" s="277"/>
      <c r="BP811" s="277"/>
      <c r="BQ811" s="277"/>
      <c r="BR811" s="277"/>
      <c r="BS811" s="277"/>
      <c r="BT811" s="277"/>
      <c r="BU811" s="277"/>
      <c r="BV811" s="277"/>
      <c r="BW811" s="277"/>
      <c r="BX811" s="277"/>
      <c r="BY811" s="277"/>
      <c r="BZ811" s="277"/>
      <c r="CA811" s="277"/>
      <c r="CB811" s="277"/>
      <c r="CC811" s="277"/>
      <c r="CD811" s="277"/>
      <c r="CE811" s="277"/>
    </row>
    <row r="812" spans="1:83" ht="12.65" customHeight="1" x14ac:dyDescent="0.35">
      <c r="A812" s="209" t="str">
        <f>RIGHT($C$83,3)&amp;"*"&amp;RIGHT($C$82,4)&amp;"*"&amp;CC$55&amp;"*"&amp;"A"</f>
        <v>164*2021*8790*A</v>
      </c>
      <c r="B812" s="276"/>
      <c r="C812" s="278">
        <f>ROUND(CC60,2)</f>
        <v>47.77</v>
      </c>
      <c r="D812" s="276">
        <f>ROUND(CC61,0)</f>
        <v>10734326</v>
      </c>
      <c r="E812" s="276">
        <f>ROUND(CC62,0)</f>
        <v>1269309</v>
      </c>
      <c r="F812" s="276">
        <f>ROUND(CC63,0)</f>
        <v>313988</v>
      </c>
      <c r="G812" s="276">
        <f>ROUND(CC64,0)</f>
        <v>-1314223</v>
      </c>
      <c r="H812" s="276">
        <f>ROUND(CC65,0)</f>
        <v>46885</v>
      </c>
      <c r="I812" s="276">
        <f>ROUND(CC66,0)</f>
        <v>4337916</v>
      </c>
      <c r="J812" s="276">
        <f>ROUND(CC67,0)</f>
        <v>68281</v>
      </c>
      <c r="K812" s="276">
        <f>ROUND(CC68,0)</f>
        <v>4145</v>
      </c>
      <c r="L812" s="276">
        <f>ROUND(CC69,0)</f>
        <v>5560240</v>
      </c>
      <c r="M812" s="276">
        <f>ROUND(CC70,0)</f>
        <v>14736508</v>
      </c>
      <c r="N812" s="276"/>
      <c r="O812" s="276"/>
      <c r="P812" s="276">
        <f>IF(CC76&gt;0,ROUND(CC76,0),0)</f>
        <v>7876</v>
      </c>
      <c r="Q812" s="276">
        <f>IF(CC77&gt;0,ROUND(CC77,0),0)</f>
        <v>0</v>
      </c>
      <c r="R812" s="276">
        <f>IF(CC78&gt;0,ROUND(CC78,0),0)</f>
        <v>0</v>
      </c>
      <c r="S812" s="276">
        <f>IF(CC79&gt;0,ROUND(CC79,0),0)</f>
        <v>0</v>
      </c>
      <c r="T812" s="278">
        <f>IF(CC80&gt;0,ROUND(CC80,2),0)</f>
        <v>0</v>
      </c>
      <c r="U812" s="276"/>
      <c r="V812" s="277"/>
      <c r="W812" s="276"/>
      <c r="X812" s="276"/>
      <c r="Y812" s="276"/>
      <c r="Z812" s="277"/>
      <c r="AA812" s="277"/>
      <c r="AB812" s="277"/>
      <c r="AC812" s="277"/>
      <c r="AD812" s="277"/>
      <c r="AE812" s="277"/>
      <c r="AF812" s="277"/>
      <c r="AG812" s="277"/>
      <c r="AH812" s="277"/>
      <c r="AI812" s="277"/>
      <c r="AJ812" s="277"/>
      <c r="AK812" s="277"/>
      <c r="AL812" s="277"/>
      <c r="AM812" s="277"/>
      <c r="AN812" s="277"/>
      <c r="AO812" s="277"/>
      <c r="AP812" s="277"/>
      <c r="AQ812" s="277"/>
      <c r="AR812" s="277"/>
      <c r="AS812" s="277"/>
      <c r="AT812" s="277"/>
      <c r="AU812" s="277"/>
      <c r="AV812" s="277"/>
      <c r="AW812" s="277"/>
      <c r="AX812" s="277"/>
      <c r="AY812" s="277"/>
      <c r="AZ812" s="277"/>
      <c r="BA812" s="277"/>
      <c r="BB812" s="277"/>
      <c r="BC812" s="277"/>
      <c r="BD812" s="277"/>
      <c r="BE812" s="277"/>
      <c r="BF812" s="277"/>
      <c r="BG812" s="277"/>
      <c r="BH812" s="277"/>
      <c r="BI812" s="277"/>
      <c r="BJ812" s="277"/>
      <c r="BK812" s="277"/>
      <c r="BL812" s="277"/>
      <c r="BM812" s="277"/>
      <c r="BN812" s="277"/>
      <c r="BO812" s="277"/>
      <c r="BP812" s="277"/>
      <c r="BQ812" s="277"/>
      <c r="BR812" s="277"/>
      <c r="BS812" s="277"/>
      <c r="BT812" s="277"/>
      <c r="BU812" s="277"/>
      <c r="BV812" s="277"/>
      <c r="BW812" s="277"/>
      <c r="BX812" s="277"/>
      <c r="BY812" s="277"/>
      <c r="BZ812" s="277"/>
      <c r="CA812" s="277"/>
      <c r="CB812" s="277"/>
      <c r="CC812" s="277"/>
      <c r="CD812" s="277"/>
      <c r="CE812" s="277"/>
    </row>
    <row r="813" spans="1:83" ht="12.65" customHeight="1" x14ac:dyDescent="0.35">
      <c r="A813" s="209" t="str">
        <f>RIGHT($C$83,3)&amp;"*"&amp;RIGHT($C$82,4)&amp;"*"&amp;"9000"&amp;"*"&amp;"A"</f>
        <v>164*2021*9000*A</v>
      </c>
      <c r="B813" s="276"/>
      <c r="C813" s="279"/>
      <c r="D813" s="276"/>
      <c r="E813" s="276"/>
      <c r="F813" s="276"/>
      <c r="G813" s="276"/>
      <c r="H813" s="276"/>
      <c r="I813" s="276"/>
      <c r="J813" s="276"/>
      <c r="K813" s="276"/>
      <c r="L813" s="276"/>
      <c r="M813" s="276"/>
      <c r="N813" s="276"/>
      <c r="O813" s="276"/>
      <c r="P813" s="276"/>
      <c r="Q813" s="276"/>
      <c r="R813" s="276"/>
      <c r="S813" s="276"/>
      <c r="T813" s="279"/>
      <c r="U813" s="276">
        <f>ROUND(CD69,0)</f>
        <v>9869834</v>
      </c>
      <c r="V813" s="277">
        <f>ROUND(CD70,0)</f>
        <v>731326</v>
      </c>
      <c r="W813" s="276">
        <f>ROUND(CE72,0)</f>
        <v>0</v>
      </c>
      <c r="X813" s="276">
        <f>ROUND(C131,0)</f>
        <v>0</v>
      </c>
      <c r="Y813" s="276"/>
      <c r="Z813" s="277"/>
      <c r="AA813" s="277"/>
      <c r="AB813" s="277"/>
      <c r="AC813" s="277"/>
      <c r="AD813" s="277"/>
      <c r="AE813" s="277"/>
      <c r="AF813" s="277"/>
      <c r="AG813" s="277"/>
      <c r="AH813" s="277"/>
      <c r="AI813" s="277"/>
      <c r="AJ813" s="277"/>
      <c r="AK813" s="277"/>
      <c r="AL813" s="277"/>
      <c r="AM813" s="277"/>
      <c r="AN813" s="277"/>
      <c r="AO813" s="277"/>
      <c r="AP813" s="277"/>
      <c r="AQ813" s="277"/>
      <c r="AR813" s="277"/>
      <c r="AS813" s="277"/>
      <c r="AT813" s="277"/>
      <c r="AU813" s="277"/>
      <c r="AV813" s="277"/>
      <c r="AW813" s="277"/>
      <c r="AX813" s="277"/>
      <c r="AY813" s="277"/>
      <c r="AZ813" s="277"/>
      <c r="BA813" s="277"/>
      <c r="BB813" s="277"/>
      <c r="BC813" s="277"/>
      <c r="BD813" s="277"/>
      <c r="BE813" s="277"/>
      <c r="BF813" s="277"/>
      <c r="BG813" s="277"/>
      <c r="BH813" s="277"/>
      <c r="BI813" s="277"/>
      <c r="BJ813" s="277"/>
      <c r="BK813" s="277"/>
      <c r="BL813" s="277"/>
      <c r="BM813" s="277"/>
      <c r="BN813" s="277"/>
      <c r="BO813" s="277"/>
      <c r="BP813" s="277"/>
      <c r="BQ813" s="277"/>
      <c r="BR813" s="277"/>
      <c r="BS813" s="277"/>
      <c r="BT813" s="277"/>
      <c r="BU813" s="277"/>
      <c r="BV813" s="277"/>
      <c r="BW813" s="277"/>
      <c r="BX813" s="277"/>
      <c r="BY813" s="277"/>
      <c r="BZ813" s="277"/>
      <c r="CA813" s="277"/>
      <c r="CB813" s="277"/>
      <c r="CC813" s="277"/>
      <c r="CD813" s="277"/>
      <c r="CE813" s="277"/>
    </row>
    <row r="814" spans="1:83" ht="12.65" customHeight="1" x14ac:dyDescent="0.35">
      <c r="B814" s="277"/>
      <c r="C814" s="277"/>
      <c r="D814" s="277"/>
      <c r="E814" s="277"/>
      <c r="F814" s="277"/>
      <c r="G814" s="277"/>
      <c r="H814" s="277"/>
      <c r="I814" s="277"/>
      <c r="J814" s="277"/>
      <c r="K814" s="277"/>
      <c r="L814" s="277"/>
      <c r="M814" s="277"/>
      <c r="N814" s="277"/>
      <c r="O814" s="277"/>
      <c r="P814" s="277"/>
      <c r="Q814" s="277"/>
      <c r="R814" s="277"/>
      <c r="S814" s="277"/>
      <c r="T814" s="277"/>
      <c r="U814" s="277"/>
      <c r="V814" s="277"/>
      <c r="W814" s="277"/>
      <c r="X814" s="277"/>
      <c r="Y814" s="277"/>
      <c r="Z814" s="277"/>
      <c r="AA814" s="277"/>
      <c r="AB814" s="277"/>
      <c r="AC814" s="277"/>
      <c r="AD814" s="277"/>
      <c r="AE814" s="277"/>
      <c r="AF814" s="277"/>
      <c r="AG814" s="277"/>
      <c r="AH814" s="277"/>
      <c r="AI814" s="277"/>
      <c r="AJ814" s="277"/>
      <c r="AK814" s="277"/>
      <c r="AL814" s="277"/>
      <c r="AM814" s="277"/>
      <c r="AN814" s="277"/>
      <c r="AO814" s="277"/>
      <c r="AP814" s="277"/>
      <c r="AQ814" s="277"/>
      <c r="AR814" s="277"/>
      <c r="AS814" s="277"/>
      <c r="AT814" s="277"/>
      <c r="AU814" s="277"/>
      <c r="AV814" s="277"/>
      <c r="AW814" s="277"/>
      <c r="AX814" s="277"/>
      <c r="AY814" s="277"/>
      <c r="AZ814" s="277"/>
      <c r="BA814" s="277"/>
      <c r="BB814" s="277"/>
      <c r="BC814" s="277"/>
      <c r="BD814" s="277"/>
      <c r="BE814" s="277"/>
      <c r="BF814" s="277"/>
      <c r="BG814" s="277"/>
      <c r="BH814" s="277"/>
      <c r="BI814" s="277"/>
      <c r="BJ814" s="277"/>
      <c r="BK814" s="277"/>
      <c r="BL814" s="277"/>
      <c r="BM814" s="277"/>
      <c r="BN814" s="277"/>
      <c r="BO814" s="277"/>
      <c r="BP814" s="277"/>
      <c r="BQ814" s="277"/>
      <c r="BR814" s="277"/>
      <c r="BS814" s="277"/>
      <c r="BT814" s="277"/>
      <c r="BU814" s="277"/>
      <c r="BV814" s="277"/>
      <c r="BW814" s="277"/>
      <c r="BX814" s="277"/>
      <c r="BY814" s="277"/>
      <c r="BZ814" s="277"/>
      <c r="CA814" s="277"/>
      <c r="CB814" s="277"/>
      <c r="CC814" s="277"/>
      <c r="CD814" s="277"/>
      <c r="CE814" s="277"/>
    </row>
    <row r="815" spans="1:83" ht="12.65" customHeight="1" x14ac:dyDescent="0.35">
      <c r="B815" s="280" t="s">
        <v>1004</v>
      </c>
      <c r="C815" s="281">
        <f t="shared" ref="C815:K815" si="22">SUM(C734:C813)</f>
        <v>3994.1499999999992</v>
      </c>
      <c r="D815" s="277">
        <f t="shared" si="22"/>
        <v>454782941</v>
      </c>
      <c r="E815" s="277">
        <f t="shared" si="22"/>
        <v>102427736</v>
      </c>
      <c r="F815" s="277">
        <f t="shared" si="22"/>
        <v>19523453</v>
      </c>
      <c r="G815" s="277">
        <f t="shared" si="22"/>
        <v>109418063</v>
      </c>
      <c r="H815" s="277">
        <f t="shared" si="22"/>
        <v>6832969</v>
      </c>
      <c r="I815" s="277">
        <f t="shared" si="22"/>
        <v>64778714</v>
      </c>
      <c r="J815" s="277">
        <f t="shared" si="22"/>
        <v>37830757</v>
      </c>
      <c r="K815" s="277">
        <f t="shared" si="22"/>
        <v>16779793</v>
      </c>
      <c r="L815" s="277">
        <f>SUM(L734:L813)+SUM(U734:U813)</f>
        <v>21701070</v>
      </c>
      <c r="M815" s="277">
        <f>SUM(M734:M813)+SUM(V734:V813)</f>
        <v>52999501</v>
      </c>
      <c r="N815" s="277">
        <f t="shared" ref="N815:Y815" si="23">SUM(N734:N813)</f>
        <v>2101009877</v>
      </c>
      <c r="O815" s="277">
        <f t="shared" si="23"/>
        <v>847495316</v>
      </c>
      <c r="P815" s="277">
        <f t="shared" si="23"/>
        <v>1605304</v>
      </c>
      <c r="Q815" s="277">
        <f t="shared" si="23"/>
        <v>213376</v>
      </c>
      <c r="R815" s="277">
        <f t="shared" si="23"/>
        <v>107387</v>
      </c>
      <c r="S815" s="277">
        <f t="shared" si="23"/>
        <v>2452817</v>
      </c>
      <c r="T815" s="281">
        <f t="shared" si="23"/>
        <v>991.1099999999999</v>
      </c>
      <c r="U815" s="277">
        <f t="shared" si="23"/>
        <v>9869834</v>
      </c>
      <c r="V815" s="277">
        <f t="shared" si="23"/>
        <v>731326</v>
      </c>
      <c r="W815" s="277">
        <f t="shared" si="23"/>
        <v>0</v>
      </c>
      <c r="X815" s="277">
        <f t="shared" si="23"/>
        <v>0</v>
      </c>
      <c r="Y815" s="277">
        <f t="shared" si="23"/>
        <v>193184766</v>
      </c>
      <c r="Z815" s="277"/>
      <c r="AA815" s="277"/>
      <c r="AB815" s="277"/>
      <c r="AC815" s="277"/>
      <c r="AD815" s="277"/>
      <c r="AE815" s="277"/>
      <c r="AF815" s="277"/>
      <c r="AG815" s="277"/>
      <c r="AH815" s="277"/>
      <c r="AI815" s="277"/>
      <c r="AJ815" s="277"/>
      <c r="AK815" s="277"/>
      <c r="AL815" s="277"/>
      <c r="AM815" s="277"/>
      <c r="AN815" s="277"/>
      <c r="AO815" s="277"/>
      <c r="AP815" s="277"/>
      <c r="AQ815" s="277"/>
      <c r="AR815" s="277"/>
      <c r="AS815" s="277"/>
      <c r="AT815" s="277"/>
      <c r="AU815" s="277"/>
      <c r="AV815" s="277"/>
      <c r="AW815" s="277"/>
      <c r="AX815" s="277"/>
      <c r="AY815" s="277"/>
      <c r="AZ815" s="277"/>
      <c r="BA815" s="277"/>
      <c r="BB815" s="277"/>
      <c r="BC815" s="277"/>
      <c r="BD815" s="277"/>
      <c r="BE815" s="277"/>
      <c r="BF815" s="277"/>
      <c r="BG815" s="277"/>
      <c r="BH815" s="277"/>
      <c r="BI815" s="277"/>
      <c r="BJ815" s="277"/>
      <c r="BK815" s="277"/>
      <c r="BL815" s="277"/>
      <c r="BM815" s="277"/>
      <c r="BN815" s="277"/>
      <c r="BO815" s="277"/>
      <c r="BP815" s="277"/>
      <c r="BQ815" s="277"/>
      <c r="BR815" s="277"/>
      <c r="BS815" s="277"/>
      <c r="BT815" s="277"/>
      <c r="BU815" s="277"/>
      <c r="BV815" s="277"/>
      <c r="BW815" s="277"/>
      <c r="BX815" s="277"/>
      <c r="BY815" s="277"/>
      <c r="BZ815" s="277"/>
      <c r="CA815" s="277"/>
      <c r="CB815" s="277"/>
      <c r="CC815" s="277"/>
      <c r="CD815" s="277"/>
      <c r="CE815" s="277"/>
    </row>
    <row r="816" spans="1:83" ht="12.65" customHeight="1" x14ac:dyDescent="0.35">
      <c r="B816" s="277" t="s">
        <v>1005</v>
      </c>
      <c r="C816" s="281">
        <f>CE60</f>
        <v>3994.1727548076929</v>
      </c>
      <c r="D816" s="277">
        <f>CE61</f>
        <v>454782940.53999984</v>
      </c>
      <c r="E816" s="277">
        <f>CE62</f>
        <v>102427736</v>
      </c>
      <c r="F816" s="277">
        <f>CE63</f>
        <v>19523451.43</v>
      </c>
      <c r="G816" s="277">
        <f>CE64</f>
        <v>109418061.00000006</v>
      </c>
      <c r="H816" s="280">
        <f>CE65</f>
        <v>6832969.1799999997</v>
      </c>
      <c r="I816" s="280">
        <f>CE66</f>
        <v>64778714.180000007</v>
      </c>
      <c r="J816" s="280">
        <f>CE67</f>
        <v>37830757</v>
      </c>
      <c r="K816" s="280">
        <f>CE68</f>
        <v>16779791.100000001</v>
      </c>
      <c r="L816" s="280">
        <f>CE69</f>
        <v>21701066.390000001</v>
      </c>
      <c r="M816" s="280">
        <f>CE70</f>
        <v>52999500.090000004</v>
      </c>
      <c r="N816" s="277">
        <f>CE75</f>
        <v>2101009876.5799999</v>
      </c>
      <c r="O816" s="277">
        <f>CE73</f>
        <v>847495316.96999991</v>
      </c>
      <c r="P816" s="277">
        <f>CE76</f>
        <v>1605304</v>
      </c>
      <c r="Q816" s="277">
        <f>CE77</f>
        <v>213376</v>
      </c>
      <c r="R816" s="277">
        <f>CE78</f>
        <v>107387</v>
      </c>
      <c r="S816" s="277">
        <f>CE79</f>
        <v>2452817.1000000006</v>
      </c>
      <c r="T816" s="281">
        <f>CE80</f>
        <v>991.11932211538465</v>
      </c>
      <c r="U816" s="277" t="s">
        <v>1006</v>
      </c>
      <c r="V816" s="277" t="s">
        <v>1006</v>
      </c>
      <c r="W816" s="277" t="s">
        <v>1006</v>
      </c>
      <c r="X816" s="277" t="s">
        <v>1006</v>
      </c>
      <c r="Y816" s="277">
        <f>M716</f>
        <v>193184763.26000002</v>
      </c>
      <c r="Z816" s="277"/>
      <c r="AA816" s="277"/>
      <c r="AB816" s="277"/>
      <c r="AC816" s="277"/>
      <c r="AD816" s="277"/>
      <c r="AE816" s="277"/>
      <c r="AF816" s="277"/>
      <c r="AG816" s="277"/>
      <c r="AH816" s="277"/>
      <c r="AI816" s="277"/>
      <c r="AJ816" s="277"/>
      <c r="AK816" s="277"/>
      <c r="AL816" s="277"/>
      <c r="AM816" s="277"/>
      <c r="AN816" s="277"/>
      <c r="AO816" s="277"/>
      <c r="AP816" s="277"/>
      <c r="AQ816" s="277"/>
      <c r="AR816" s="277"/>
      <c r="AS816" s="277"/>
      <c r="AT816" s="277"/>
      <c r="AU816" s="277"/>
      <c r="AV816" s="277"/>
      <c r="AW816" s="277"/>
      <c r="AX816" s="277"/>
      <c r="AY816" s="277"/>
      <c r="AZ816" s="277"/>
      <c r="BA816" s="277"/>
      <c r="BB816" s="277"/>
      <c r="BC816" s="277"/>
      <c r="BD816" s="277"/>
      <c r="BE816" s="277"/>
      <c r="BF816" s="277"/>
      <c r="BG816" s="277"/>
      <c r="BH816" s="277"/>
      <c r="BI816" s="277"/>
      <c r="BJ816" s="277"/>
      <c r="BK816" s="277"/>
      <c r="BL816" s="277"/>
      <c r="BM816" s="277"/>
      <c r="BN816" s="277"/>
      <c r="BO816" s="277"/>
      <c r="BP816" s="277"/>
      <c r="BQ816" s="277"/>
      <c r="BR816" s="277"/>
      <c r="BS816" s="277"/>
      <c r="BT816" s="277"/>
      <c r="BU816" s="277"/>
      <c r="BV816" s="277"/>
      <c r="BW816" s="277"/>
      <c r="BX816" s="277"/>
      <c r="BY816" s="277"/>
      <c r="BZ816" s="277"/>
      <c r="CA816" s="277"/>
      <c r="CB816" s="277"/>
      <c r="CC816" s="277"/>
      <c r="CD816" s="277"/>
      <c r="CE816" s="277"/>
    </row>
    <row r="817" spans="2:15" ht="12.65" customHeight="1" x14ac:dyDescent="0.35">
      <c r="B817" s="180" t="s">
        <v>471</v>
      </c>
      <c r="C817" s="199" t="s">
        <v>1007</v>
      </c>
      <c r="D817" s="180">
        <f>C378</f>
        <v>454782941</v>
      </c>
      <c r="E817" s="180">
        <f>C379</f>
        <v>102427735</v>
      </c>
      <c r="F817" s="180">
        <f>C380</f>
        <v>19523451</v>
      </c>
      <c r="G817" s="240">
        <f>C381</f>
        <v>109418061</v>
      </c>
      <c r="H817" s="240">
        <f>C382</f>
        <v>6832969</v>
      </c>
      <c r="I817" s="240">
        <f>C383</f>
        <v>64778714</v>
      </c>
      <c r="J817" s="240">
        <f>C384</f>
        <v>37830757</v>
      </c>
      <c r="K817" s="240">
        <f>C385</f>
        <v>16779791</v>
      </c>
      <c r="L817" s="240">
        <f>C386+C387+C388+C389</f>
        <v>30782227</v>
      </c>
      <c r="M817" s="240">
        <f>C370</f>
        <v>52999500</v>
      </c>
      <c r="N817" s="180">
        <f>D361</f>
        <v>2101009877</v>
      </c>
      <c r="O817" s="180">
        <f>C359</f>
        <v>847495317</v>
      </c>
    </row>
  </sheetData>
  <sheetProtection algorithmName="SHA-512" hashValue="39xM+yV71d6qQF8EjNcKa9aKiPHbvc318dJOP9f6/dCokz0N4uYuajfm3VUuTOHw19fusQKeJuVKN3BgdWnlWg==" saltValue="vFYFPncK28lQAONCHA4fZA==" spinCount="100000" sheet="1" objects="1" scenarios="1"/>
  <mergeCells count="1">
    <mergeCell ref="B220:C220"/>
  </mergeCells>
  <phoneticPr fontId="0" type="noConversion"/>
  <hyperlinks>
    <hyperlink ref="A16" r:id="rId1" xr:uid="{05EB9215-1A2E-4AE7-93B7-5E850A934578}"/>
    <hyperlink ref="A17" r:id="rId2" xr:uid="{34A96F33-741F-4DB2-B4CF-70601991F2B6}"/>
  </hyperlinks>
  <printOptions horizontalCentered="1" gridLinesSet="0"/>
  <pageMargins left="0.25" right="0.25" top="0.5" bottom="0.5" header="0.5" footer="0.5"/>
  <pageSetup scale="63" fitToWidth="8" orientation="landscape" r:id="rId3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syncVertical="1" syncRef="A73" transitionEvaluation="1" transitionEntry="1" codeName="Sheet10">
    <pageSetUpPr autoPageBreaks="0" fitToPage="1"/>
  </sheetPr>
  <dimension ref="A1:CF816"/>
  <sheetViews>
    <sheetView showGridLines="0" topLeftCell="A73" zoomScale="75" workbookViewId="0">
      <selection activeCell="C82" sqref="C82:C83"/>
    </sheetView>
  </sheetViews>
  <sheetFormatPr defaultColWidth="11.75" defaultRowHeight="12.65" customHeight="1" x14ac:dyDescent="0.35"/>
  <cols>
    <col min="1" max="1" width="29.5625" style="180" customWidth="1"/>
    <col min="2" max="2" width="15.5625" style="180" customWidth="1"/>
    <col min="3" max="3" width="14.75" style="180" customWidth="1"/>
    <col min="4" max="4" width="11.3125" style="180" customWidth="1"/>
    <col min="5" max="16384" width="11.75" style="180"/>
  </cols>
  <sheetData>
    <row r="1" spans="1:6" ht="12.75" customHeight="1" x14ac:dyDescent="0.35">
      <c r="A1" s="232" t="s">
        <v>1231</v>
      </c>
      <c r="B1" s="233"/>
      <c r="C1" s="233"/>
      <c r="D1" s="233"/>
      <c r="E1" s="233"/>
      <c r="F1" s="233"/>
    </row>
    <row r="2" spans="1:6" ht="12.75" customHeight="1" x14ac:dyDescent="0.35">
      <c r="A2" s="233" t="s">
        <v>1232</v>
      </c>
      <c r="B2" s="233"/>
      <c r="C2" s="234"/>
      <c r="D2" s="233"/>
      <c r="E2" s="233"/>
      <c r="F2" s="233"/>
    </row>
    <row r="3" spans="1:6" ht="12.75" customHeight="1" x14ac:dyDescent="0.35">
      <c r="A3" s="199"/>
      <c r="C3" s="235"/>
    </row>
    <row r="4" spans="1:6" ht="12.75" customHeight="1" x14ac:dyDescent="0.35">
      <c r="C4" s="235"/>
    </row>
    <row r="5" spans="1:6" ht="12.75" customHeight="1" x14ac:dyDescent="0.35">
      <c r="A5" s="199" t="s">
        <v>1258</v>
      </c>
      <c r="C5" s="235"/>
    </row>
    <row r="6" spans="1:6" ht="12.75" customHeight="1" x14ac:dyDescent="0.35">
      <c r="A6" s="199" t="s">
        <v>0</v>
      </c>
      <c r="C6" s="235"/>
    </row>
    <row r="7" spans="1:6" ht="12.75" customHeight="1" x14ac:dyDescent="0.35">
      <c r="A7" s="199" t="s">
        <v>1</v>
      </c>
      <c r="C7" s="235"/>
    </row>
    <row r="8" spans="1:6" ht="12.75" customHeight="1" x14ac:dyDescent="0.35">
      <c r="C8" s="235"/>
    </row>
    <row r="9" spans="1:6" ht="12.75" customHeight="1" x14ac:dyDescent="0.35">
      <c r="C9" s="235"/>
    </row>
    <row r="10" spans="1:6" ht="12.75" customHeight="1" x14ac:dyDescent="0.35">
      <c r="A10" s="198" t="s">
        <v>1228</v>
      </c>
      <c r="C10" s="235"/>
    </row>
    <row r="11" spans="1:6" ht="12.75" customHeight="1" x14ac:dyDescent="0.35">
      <c r="A11" s="198" t="s">
        <v>1230</v>
      </c>
      <c r="C11" s="235"/>
    </row>
    <row r="12" spans="1:6" ht="12.75" customHeight="1" x14ac:dyDescent="0.35">
      <c r="C12" s="235"/>
    </row>
    <row r="13" spans="1:6" ht="12.75" customHeight="1" x14ac:dyDescent="0.35">
      <c r="C13" s="235"/>
    </row>
    <row r="14" spans="1:6" ht="12.75" customHeight="1" x14ac:dyDescent="0.35">
      <c r="A14" s="199" t="s">
        <v>2</v>
      </c>
      <c r="C14" s="235"/>
    </row>
    <row r="15" spans="1:6" ht="12.75" customHeight="1" x14ac:dyDescent="0.35">
      <c r="A15" s="199"/>
      <c r="C15" s="235"/>
    </row>
    <row r="16" spans="1:6" ht="12.75" customHeight="1" x14ac:dyDescent="0.35">
      <c r="A16" s="292" t="s">
        <v>1265</v>
      </c>
      <c r="C16" s="235"/>
    </row>
    <row r="17" spans="1:7" ht="12.75" customHeight="1" x14ac:dyDescent="0.35">
      <c r="A17" s="292" t="s">
        <v>1264</v>
      </c>
      <c r="C17" s="287"/>
      <c r="F17" s="236"/>
    </row>
    <row r="18" spans="1:7" ht="12.75" customHeight="1" x14ac:dyDescent="0.35">
      <c r="A18" s="290"/>
      <c r="C18" s="235"/>
    </row>
    <row r="19" spans="1:7" ht="12.75" customHeight="1" x14ac:dyDescent="0.35">
      <c r="C19" s="235"/>
    </row>
    <row r="20" spans="1:7" ht="12.75" customHeight="1" x14ac:dyDescent="0.35">
      <c r="A20" s="273" t="s">
        <v>1233</v>
      </c>
      <c r="B20" s="273"/>
      <c r="C20" s="288"/>
      <c r="D20" s="273"/>
      <c r="E20" s="273"/>
      <c r="F20" s="273"/>
      <c r="G20" s="273"/>
    </row>
    <row r="21" spans="1:7" ht="22.5" customHeight="1" x14ac:dyDescent="0.35">
      <c r="A21" s="199"/>
      <c r="C21" s="235"/>
    </row>
    <row r="22" spans="1:7" ht="12.65" customHeight="1" x14ac:dyDescent="0.35">
      <c r="A22" s="273" t="s">
        <v>1253</v>
      </c>
      <c r="B22" s="291"/>
      <c r="C22" s="288"/>
      <c r="D22" s="273"/>
      <c r="E22" s="273"/>
      <c r="F22" s="273"/>
    </row>
    <row r="23" spans="1:7" ht="12.65" customHeight="1" x14ac:dyDescent="0.35">
      <c r="B23" s="199"/>
      <c r="C23" s="235"/>
    </row>
    <row r="24" spans="1:7" ht="12.65" customHeight="1" x14ac:dyDescent="0.35">
      <c r="A24" s="240" t="s">
        <v>3</v>
      </c>
      <c r="C24" s="235"/>
    </row>
    <row r="25" spans="1:7" ht="12.65" customHeight="1" x14ac:dyDescent="0.35">
      <c r="A25" s="198" t="s">
        <v>1234</v>
      </c>
      <c r="C25" s="235"/>
    </row>
    <row r="26" spans="1:7" ht="12.65" customHeight="1" x14ac:dyDescent="0.35">
      <c r="A26" s="199" t="s">
        <v>4</v>
      </c>
      <c r="C26" s="235"/>
    </row>
    <row r="27" spans="1:7" ht="12.65" customHeight="1" x14ac:dyDescent="0.35">
      <c r="A27" s="198" t="s">
        <v>1235</v>
      </c>
      <c r="C27" s="235"/>
    </row>
    <row r="28" spans="1:7" ht="12.65" customHeight="1" x14ac:dyDescent="0.35">
      <c r="A28" s="199" t="s">
        <v>5</v>
      </c>
      <c r="C28" s="235"/>
    </row>
    <row r="29" spans="1:7" ht="12.65" customHeight="1" x14ac:dyDescent="0.35">
      <c r="A29" s="198"/>
      <c r="C29" s="235"/>
    </row>
    <row r="30" spans="1:7" ht="12.65" customHeight="1" x14ac:dyDescent="0.35">
      <c r="A30" s="180" t="s">
        <v>6</v>
      </c>
      <c r="C30" s="235"/>
    </row>
    <row r="31" spans="1:7" ht="12.65" customHeight="1" x14ac:dyDescent="0.35">
      <c r="A31" s="199" t="s">
        <v>7</v>
      </c>
      <c r="C31" s="235"/>
    </row>
    <row r="32" spans="1:7" ht="12.65" customHeight="1" x14ac:dyDescent="0.35">
      <c r="A32" s="199" t="s">
        <v>8</v>
      </c>
      <c r="C32" s="235"/>
    </row>
    <row r="33" spans="1:84" ht="12.65" customHeight="1" x14ac:dyDescent="0.35">
      <c r="A33" s="198" t="s">
        <v>1236</v>
      </c>
      <c r="C33" s="235"/>
    </row>
    <row r="34" spans="1:84" ht="12.65" customHeight="1" x14ac:dyDescent="0.35">
      <c r="A34" s="199" t="s">
        <v>9</v>
      </c>
      <c r="C34" s="235"/>
    </row>
    <row r="35" spans="1:84" ht="12.65" customHeight="1" x14ac:dyDescent="0.35">
      <c r="A35" s="199"/>
      <c r="C35" s="235"/>
    </row>
    <row r="36" spans="1:84" ht="12.65" customHeight="1" x14ac:dyDescent="0.35">
      <c r="A36" s="198" t="s">
        <v>1237</v>
      </c>
      <c r="C36" s="235"/>
    </row>
    <row r="37" spans="1:84" ht="12.65" customHeight="1" x14ac:dyDescent="0.35">
      <c r="A37" s="199" t="s">
        <v>1229</v>
      </c>
      <c r="C37" s="235"/>
    </row>
    <row r="38" spans="1:84" ht="12" customHeight="1" x14ac:dyDescent="0.35">
      <c r="A38" s="198"/>
      <c r="C38" s="235"/>
    </row>
    <row r="39" spans="1:84" ht="12.65" customHeight="1" x14ac:dyDescent="0.35">
      <c r="A39" s="199"/>
      <c r="C39" s="235"/>
    </row>
    <row r="40" spans="1:84" ht="12" customHeight="1" x14ac:dyDescent="0.35">
      <c r="A40" s="199"/>
      <c r="C40" s="235"/>
    </row>
    <row r="41" spans="1:84" ht="12" customHeight="1" x14ac:dyDescent="0.35">
      <c r="A41" s="199"/>
      <c r="C41" s="241"/>
      <c r="D41" s="242"/>
      <c r="E41" s="241"/>
      <c r="F41" s="241"/>
      <c r="G41" s="241"/>
      <c r="H41" s="241"/>
      <c r="I41" s="241"/>
      <c r="J41" s="241"/>
      <c r="K41" s="241"/>
      <c r="L41" s="241"/>
      <c r="M41" s="241"/>
      <c r="N41" s="241"/>
      <c r="O41" s="241"/>
      <c r="P41" s="241"/>
      <c r="Q41" s="241"/>
      <c r="R41" s="241"/>
      <c r="S41" s="241"/>
      <c r="T41" s="241"/>
      <c r="U41" s="241"/>
      <c r="V41" s="241"/>
      <c r="W41" s="241"/>
      <c r="X41" s="241"/>
      <c r="Y41" s="241"/>
      <c r="Z41" s="241"/>
      <c r="AA41" s="241"/>
      <c r="AB41" s="241"/>
      <c r="AC41" s="241"/>
      <c r="AD41" s="241"/>
      <c r="AE41" s="241"/>
      <c r="AF41" s="241"/>
      <c r="AG41" s="241"/>
      <c r="AH41" s="241"/>
      <c r="AI41" s="241"/>
      <c r="AJ41" s="241"/>
      <c r="AK41" s="241"/>
      <c r="AL41" s="241"/>
      <c r="AM41" s="241"/>
      <c r="AN41" s="241"/>
      <c r="AO41" s="241"/>
      <c r="AP41" s="241"/>
      <c r="AQ41" s="241"/>
      <c r="AR41" s="241"/>
      <c r="AS41" s="241"/>
      <c r="AT41" s="241"/>
      <c r="AU41" s="241"/>
      <c r="AV41" s="241"/>
      <c r="AW41" s="241"/>
      <c r="AX41" s="241"/>
      <c r="AY41" s="241"/>
      <c r="AZ41" s="241"/>
      <c r="BA41" s="241"/>
      <c r="BB41" s="241"/>
      <c r="BC41" s="241"/>
      <c r="BD41" s="241"/>
      <c r="BE41" s="241"/>
      <c r="BF41" s="241"/>
      <c r="BG41" s="241"/>
      <c r="BH41" s="241"/>
      <c r="BI41" s="241"/>
      <c r="BJ41" s="241"/>
      <c r="BK41" s="241"/>
      <c r="BL41" s="241"/>
      <c r="BM41" s="241"/>
      <c r="BN41" s="241"/>
      <c r="BO41" s="241"/>
      <c r="BP41" s="241"/>
      <c r="BQ41" s="241"/>
      <c r="BR41" s="241"/>
      <c r="BS41" s="241"/>
      <c r="BT41" s="241"/>
      <c r="BU41" s="241"/>
      <c r="BV41" s="241"/>
      <c r="BW41" s="241"/>
      <c r="BX41" s="241"/>
      <c r="BY41" s="241"/>
      <c r="BZ41" s="241"/>
      <c r="CA41" s="241"/>
      <c r="CB41" s="241"/>
      <c r="CC41" s="241"/>
    </row>
    <row r="42" spans="1:84" ht="12" customHeight="1" x14ac:dyDescent="0.35">
      <c r="A42" s="199"/>
      <c r="C42" s="241"/>
      <c r="D42" s="242"/>
      <c r="E42" s="241"/>
      <c r="F42" s="241"/>
      <c r="G42" s="241"/>
      <c r="H42" s="241"/>
      <c r="I42" s="241"/>
      <c r="J42" s="241"/>
      <c r="K42" s="241"/>
      <c r="L42" s="241"/>
      <c r="M42" s="241"/>
      <c r="N42" s="241"/>
      <c r="O42" s="241"/>
      <c r="P42" s="241"/>
      <c r="Q42" s="241"/>
      <c r="R42" s="241"/>
      <c r="S42" s="241"/>
      <c r="T42" s="241"/>
      <c r="U42" s="241"/>
      <c r="V42" s="241"/>
      <c r="W42" s="241"/>
      <c r="X42" s="241"/>
      <c r="Y42" s="241"/>
      <c r="Z42" s="241"/>
      <c r="AA42" s="241"/>
      <c r="AB42" s="241"/>
      <c r="AC42" s="241"/>
      <c r="AD42" s="241"/>
      <c r="AE42" s="241"/>
      <c r="AF42" s="241"/>
      <c r="AG42" s="241"/>
      <c r="AH42" s="241"/>
      <c r="AI42" s="241"/>
      <c r="AJ42" s="241"/>
      <c r="AK42" s="241"/>
      <c r="AL42" s="241"/>
      <c r="AM42" s="241"/>
      <c r="AN42" s="241"/>
      <c r="AO42" s="241"/>
      <c r="AP42" s="241"/>
      <c r="AQ42" s="241"/>
      <c r="AR42" s="241"/>
      <c r="AS42" s="241"/>
      <c r="AT42" s="241"/>
      <c r="AU42" s="241"/>
      <c r="AV42" s="241"/>
      <c r="AW42" s="241"/>
      <c r="AX42" s="241"/>
      <c r="AY42" s="241"/>
      <c r="AZ42" s="241"/>
      <c r="BA42" s="241"/>
      <c r="BB42" s="241"/>
      <c r="BC42" s="241"/>
      <c r="BD42" s="241"/>
      <c r="BE42" s="241"/>
      <c r="BF42" s="241"/>
      <c r="BG42" s="241"/>
      <c r="BH42" s="241"/>
      <c r="BI42" s="241"/>
      <c r="BJ42" s="241"/>
      <c r="BK42" s="241"/>
      <c r="BL42" s="241"/>
      <c r="BM42" s="241"/>
      <c r="BN42" s="241"/>
      <c r="BO42" s="241"/>
      <c r="BP42" s="241"/>
      <c r="BQ42" s="241"/>
      <c r="BR42" s="241"/>
      <c r="BS42" s="241"/>
      <c r="BT42" s="241"/>
      <c r="BU42" s="241"/>
      <c r="BV42" s="241"/>
      <c r="BW42" s="241"/>
      <c r="BX42" s="241"/>
      <c r="BY42" s="241"/>
      <c r="BZ42" s="241"/>
      <c r="CA42" s="241"/>
      <c r="CB42" s="241"/>
      <c r="CC42" s="241"/>
      <c r="CD42" s="243"/>
    </row>
    <row r="43" spans="1:84" ht="12" customHeight="1" x14ac:dyDescent="0.35">
      <c r="A43" s="199"/>
      <c r="C43" s="235"/>
      <c r="F43" s="181"/>
    </row>
    <row r="44" spans="1:84" ht="12" customHeight="1" x14ac:dyDescent="0.35">
      <c r="A44" s="295"/>
      <c r="B44" s="295"/>
      <c r="C44" s="296" t="s">
        <v>10</v>
      </c>
      <c r="D44" s="297" t="s">
        <v>11</v>
      </c>
      <c r="E44" s="297" t="s">
        <v>12</v>
      </c>
      <c r="F44" s="297" t="s">
        <v>13</v>
      </c>
      <c r="G44" s="297" t="s">
        <v>14</v>
      </c>
      <c r="H44" s="297" t="s">
        <v>15</v>
      </c>
      <c r="I44" s="297" t="s">
        <v>16</v>
      </c>
      <c r="J44" s="297" t="s">
        <v>17</v>
      </c>
      <c r="K44" s="297" t="s">
        <v>18</v>
      </c>
      <c r="L44" s="297" t="s">
        <v>19</v>
      </c>
      <c r="M44" s="297" t="s">
        <v>20</v>
      </c>
      <c r="N44" s="297" t="s">
        <v>21</v>
      </c>
      <c r="O44" s="297" t="s">
        <v>22</v>
      </c>
      <c r="P44" s="297" t="s">
        <v>23</v>
      </c>
      <c r="Q44" s="297" t="s">
        <v>24</v>
      </c>
      <c r="R44" s="297" t="s">
        <v>25</v>
      </c>
      <c r="S44" s="297" t="s">
        <v>26</v>
      </c>
      <c r="T44" s="297" t="s">
        <v>27</v>
      </c>
      <c r="U44" s="297" t="s">
        <v>28</v>
      </c>
      <c r="V44" s="297" t="s">
        <v>29</v>
      </c>
      <c r="W44" s="297" t="s">
        <v>30</v>
      </c>
      <c r="X44" s="297" t="s">
        <v>31</v>
      </c>
      <c r="Y44" s="297" t="s">
        <v>32</v>
      </c>
      <c r="Z44" s="297" t="s">
        <v>33</v>
      </c>
      <c r="AA44" s="297" t="s">
        <v>34</v>
      </c>
      <c r="AB44" s="297" t="s">
        <v>35</v>
      </c>
      <c r="AC44" s="297" t="s">
        <v>36</v>
      </c>
      <c r="AD44" s="297" t="s">
        <v>37</v>
      </c>
      <c r="AE44" s="297" t="s">
        <v>38</v>
      </c>
      <c r="AF44" s="297" t="s">
        <v>39</v>
      </c>
      <c r="AG44" s="297" t="s">
        <v>40</v>
      </c>
      <c r="AH44" s="297" t="s">
        <v>41</v>
      </c>
      <c r="AI44" s="297" t="s">
        <v>42</v>
      </c>
      <c r="AJ44" s="297" t="s">
        <v>43</v>
      </c>
      <c r="AK44" s="297" t="s">
        <v>44</v>
      </c>
      <c r="AL44" s="297" t="s">
        <v>45</v>
      </c>
      <c r="AM44" s="297" t="s">
        <v>46</v>
      </c>
      <c r="AN44" s="297" t="s">
        <v>47</v>
      </c>
      <c r="AO44" s="297" t="s">
        <v>48</v>
      </c>
      <c r="AP44" s="297" t="s">
        <v>49</v>
      </c>
      <c r="AQ44" s="297" t="s">
        <v>50</v>
      </c>
      <c r="AR44" s="297" t="s">
        <v>51</v>
      </c>
      <c r="AS44" s="297" t="s">
        <v>52</v>
      </c>
      <c r="AT44" s="297" t="s">
        <v>53</v>
      </c>
      <c r="AU44" s="297" t="s">
        <v>54</v>
      </c>
      <c r="AV44" s="297" t="s">
        <v>55</v>
      </c>
      <c r="AW44" s="297" t="s">
        <v>56</v>
      </c>
      <c r="AX44" s="297" t="s">
        <v>57</v>
      </c>
      <c r="AY44" s="297" t="s">
        <v>58</v>
      </c>
      <c r="AZ44" s="297" t="s">
        <v>59</v>
      </c>
      <c r="BA44" s="297" t="s">
        <v>60</v>
      </c>
      <c r="BB44" s="297" t="s">
        <v>61</v>
      </c>
      <c r="BC44" s="297" t="s">
        <v>62</v>
      </c>
      <c r="BD44" s="297" t="s">
        <v>63</v>
      </c>
      <c r="BE44" s="297" t="s">
        <v>64</v>
      </c>
      <c r="BF44" s="297" t="s">
        <v>65</v>
      </c>
      <c r="BG44" s="297" t="s">
        <v>66</v>
      </c>
      <c r="BH44" s="297" t="s">
        <v>67</v>
      </c>
      <c r="BI44" s="297" t="s">
        <v>68</v>
      </c>
      <c r="BJ44" s="297" t="s">
        <v>69</v>
      </c>
      <c r="BK44" s="297" t="s">
        <v>70</v>
      </c>
      <c r="BL44" s="297" t="s">
        <v>71</v>
      </c>
      <c r="BM44" s="297" t="s">
        <v>72</v>
      </c>
      <c r="BN44" s="297" t="s">
        <v>73</v>
      </c>
      <c r="BO44" s="297" t="s">
        <v>74</v>
      </c>
      <c r="BP44" s="297" t="s">
        <v>75</v>
      </c>
      <c r="BQ44" s="297" t="s">
        <v>76</v>
      </c>
      <c r="BR44" s="297" t="s">
        <v>77</v>
      </c>
      <c r="BS44" s="297" t="s">
        <v>78</v>
      </c>
      <c r="BT44" s="297" t="s">
        <v>79</v>
      </c>
      <c r="BU44" s="297" t="s">
        <v>80</v>
      </c>
      <c r="BV44" s="297" t="s">
        <v>81</v>
      </c>
      <c r="BW44" s="297" t="s">
        <v>82</v>
      </c>
      <c r="BX44" s="297" t="s">
        <v>83</v>
      </c>
      <c r="BY44" s="297" t="s">
        <v>84</v>
      </c>
      <c r="BZ44" s="297" t="s">
        <v>85</v>
      </c>
      <c r="CA44" s="297" t="s">
        <v>86</v>
      </c>
      <c r="CB44" s="297" t="s">
        <v>87</v>
      </c>
      <c r="CC44" s="297" t="s">
        <v>88</v>
      </c>
      <c r="CD44" s="297" t="s">
        <v>89</v>
      </c>
      <c r="CE44" s="297" t="s">
        <v>90</v>
      </c>
      <c r="CF44" s="2"/>
    </row>
    <row r="45" spans="1:84" ht="12" customHeight="1" x14ac:dyDescent="0.35">
      <c r="A45" s="295"/>
      <c r="B45" s="298" t="s">
        <v>91</v>
      </c>
      <c r="C45" s="296" t="s">
        <v>92</v>
      </c>
      <c r="D45" s="297" t="s">
        <v>93</v>
      </c>
      <c r="E45" s="297" t="s">
        <v>94</v>
      </c>
      <c r="F45" s="297" t="s">
        <v>95</v>
      </c>
      <c r="G45" s="297" t="s">
        <v>96</v>
      </c>
      <c r="H45" s="297" t="s">
        <v>97</v>
      </c>
      <c r="I45" s="297" t="s">
        <v>98</v>
      </c>
      <c r="J45" s="297" t="s">
        <v>99</v>
      </c>
      <c r="K45" s="297" t="s">
        <v>100</v>
      </c>
      <c r="L45" s="297" t="s">
        <v>101</v>
      </c>
      <c r="M45" s="297" t="s">
        <v>102</v>
      </c>
      <c r="N45" s="297" t="s">
        <v>103</v>
      </c>
      <c r="O45" s="297" t="s">
        <v>104</v>
      </c>
      <c r="P45" s="297" t="s">
        <v>105</v>
      </c>
      <c r="Q45" s="297" t="s">
        <v>106</v>
      </c>
      <c r="R45" s="297" t="s">
        <v>107</v>
      </c>
      <c r="S45" s="297" t="s">
        <v>108</v>
      </c>
      <c r="T45" s="297" t="s">
        <v>1194</v>
      </c>
      <c r="U45" s="297" t="s">
        <v>109</v>
      </c>
      <c r="V45" s="297" t="s">
        <v>110</v>
      </c>
      <c r="W45" s="297" t="s">
        <v>111</v>
      </c>
      <c r="X45" s="297" t="s">
        <v>112</v>
      </c>
      <c r="Y45" s="297" t="s">
        <v>113</v>
      </c>
      <c r="Z45" s="297" t="s">
        <v>113</v>
      </c>
      <c r="AA45" s="297" t="s">
        <v>114</v>
      </c>
      <c r="AB45" s="297" t="s">
        <v>115</v>
      </c>
      <c r="AC45" s="297" t="s">
        <v>116</v>
      </c>
      <c r="AD45" s="297" t="s">
        <v>117</v>
      </c>
      <c r="AE45" s="297" t="s">
        <v>96</v>
      </c>
      <c r="AF45" s="297" t="s">
        <v>97</v>
      </c>
      <c r="AG45" s="297" t="s">
        <v>118</v>
      </c>
      <c r="AH45" s="297" t="s">
        <v>119</v>
      </c>
      <c r="AI45" s="297" t="s">
        <v>120</v>
      </c>
      <c r="AJ45" s="297" t="s">
        <v>121</v>
      </c>
      <c r="AK45" s="297" t="s">
        <v>122</v>
      </c>
      <c r="AL45" s="297" t="s">
        <v>123</v>
      </c>
      <c r="AM45" s="297" t="s">
        <v>124</v>
      </c>
      <c r="AN45" s="297" t="s">
        <v>110</v>
      </c>
      <c r="AO45" s="297" t="s">
        <v>125</v>
      </c>
      <c r="AP45" s="297" t="s">
        <v>126</v>
      </c>
      <c r="AQ45" s="297" t="s">
        <v>127</v>
      </c>
      <c r="AR45" s="297" t="s">
        <v>128</v>
      </c>
      <c r="AS45" s="297" t="s">
        <v>129</v>
      </c>
      <c r="AT45" s="297" t="s">
        <v>130</v>
      </c>
      <c r="AU45" s="297" t="s">
        <v>131</v>
      </c>
      <c r="AV45" s="297" t="s">
        <v>132</v>
      </c>
      <c r="AW45" s="297" t="s">
        <v>133</v>
      </c>
      <c r="AX45" s="297" t="s">
        <v>134</v>
      </c>
      <c r="AY45" s="297" t="s">
        <v>135</v>
      </c>
      <c r="AZ45" s="297" t="s">
        <v>136</v>
      </c>
      <c r="BA45" s="297" t="s">
        <v>137</v>
      </c>
      <c r="BB45" s="297" t="s">
        <v>138</v>
      </c>
      <c r="BC45" s="297" t="s">
        <v>108</v>
      </c>
      <c r="BD45" s="297" t="s">
        <v>139</v>
      </c>
      <c r="BE45" s="297" t="s">
        <v>140</v>
      </c>
      <c r="BF45" s="297" t="s">
        <v>141</v>
      </c>
      <c r="BG45" s="297" t="s">
        <v>142</v>
      </c>
      <c r="BH45" s="297" t="s">
        <v>143</v>
      </c>
      <c r="BI45" s="297" t="s">
        <v>144</v>
      </c>
      <c r="BJ45" s="297" t="s">
        <v>145</v>
      </c>
      <c r="BK45" s="297" t="s">
        <v>146</v>
      </c>
      <c r="BL45" s="297" t="s">
        <v>147</v>
      </c>
      <c r="BM45" s="297" t="s">
        <v>132</v>
      </c>
      <c r="BN45" s="297" t="s">
        <v>148</v>
      </c>
      <c r="BO45" s="297" t="s">
        <v>149</v>
      </c>
      <c r="BP45" s="297" t="s">
        <v>150</v>
      </c>
      <c r="BQ45" s="297" t="s">
        <v>151</v>
      </c>
      <c r="BR45" s="297" t="s">
        <v>152</v>
      </c>
      <c r="BS45" s="297" t="s">
        <v>153</v>
      </c>
      <c r="BT45" s="297" t="s">
        <v>154</v>
      </c>
      <c r="BU45" s="297" t="s">
        <v>155</v>
      </c>
      <c r="BV45" s="297" t="s">
        <v>155</v>
      </c>
      <c r="BW45" s="297" t="s">
        <v>155</v>
      </c>
      <c r="BX45" s="297" t="s">
        <v>156</v>
      </c>
      <c r="BY45" s="297" t="s">
        <v>157</v>
      </c>
      <c r="BZ45" s="297" t="s">
        <v>158</v>
      </c>
      <c r="CA45" s="297" t="s">
        <v>159</v>
      </c>
      <c r="CB45" s="297" t="s">
        <v>160</v>
      </c>
      <c r="CC45" s="297" t="s">
        <v>132</v>
      </c>
      <c r="CD45" s="297"/>
      <c r="CE45" s="297" t="s">
        <v>161</v>
      </c>
      <c r="CF45" s="2"/>
    </row>
    <row r="46" spans="1:84" ht="12.65" customHeight="1" x14ac:dyDescent="0.35">
      <c r="A46" s="295" t="s">
        <v>3</v>
      </c>
      <c r="B46" s="297" t="s">
        <v>162</v>
      </c>
      <c r="C46" s="296" t="s">
        <v>163</v>
      </c>
      <c r="D46" s="297" t="s">
        <v>163</v>
      </c>
      <c r="E46" s="297" t="s">
        <v>163</v>
      </c>
      <c r="F46" s="297" t="s">
        <v>164</v>
      </c>
      <c r="G46" s="297" t="s">
        <v>165</v>
      </c>
      <c r="H46" s="297" t="s">
        <v>163</v>
      </c>
      <c r="I46" s="297" t="s">
        <v>166</v>
      </c>
      <c r="J46" s="297"/>
      <c r="K46" s="297" t="s">
        <v>157</v>
      </c>
      <c r="L46" s="297" t="s">
        <v>167</v>
      </c>
      <c r="M46" s="297" t="s">
        <v>168</v>
      </c>
      <c r="N46" s="297" t="s">
        <v>169</v>
      </c>
      <c r="O46" s="297" t="s">
        <v>170</v>
      </c>
      <c r="P46" s="297" t="s">
        <v>169</v>
      </c>
      <c r="Q46" s="297" t="s">
        <v>171</v>
      </c>
      <c r="R46" s="297"/>
      <c r="S46" s="297" t="s">
        <v>169</v>
      </c>
      <c r="T46" s="297" t="s">
        <v>172</v>
      </c>
      <c r="U46" s="297"/>
      <c r="V46" s="297" t="s">
        <v>173</v>
      </c>
      <c r="W46" s="297" t="s">
        <v>174</v>
      </c>
      <c r="X46" s="297" t="s">
        <v>175</v>
      </c>
      <c r="Y46" s="297" t="s">
        <v>176</v>
      </c>
      <c r="Z46" s="297" t="s">
        <v>177</v>
      </c>
      <c r="AA46" s="297" t="s">
        <v>178</v>
      </c>
      <c r="AB46" s="297"/>
      <c r="AC46" s="297" t="s">
        <v>172</v>
      </c>
      <c r="AD46" s="297"/>
      <c r="AE46" s="297" t="s">
        <v>172</v>
      </c>
      <c r="AF46" s="297" t="s">
        <v>179</v>
      </c>
      <c r="AG46" s="297" t="s">
        <v>171</v>
      </c>
      <c r="AH46" s="297"/>
      <c r="AI46" s="297" t="s">
        <v>180</v>
      </c>
      <c r="AJ46" s="297"/>
      <c r="AK46" s="297" t="s">
        <v>172</v>
      </c>
      <c r="AL46" s="297" t="s">
        <v>172</v>
      </c>
      <c r="AM46" s="297" t="s">
        <v>172</v>
      </c>
      <c r="AN46" s="297" t="s">
        <v>181</v>
      </c>
      <c r="AO46" s="297" t="s">
        <v>182</v>
      </c>
      <c r="AP46" s="297" t="s">
        <v>121</v>
      </c>
      <c r="AQ46" s="297" t="s">
        <v>183</v>
      </c>
      <c r="AR46" s="297" t="s">
        <v>169</v>
      </c>
      <c r="AS46" s="297"/>
      <c r="AT46" s="297" t="s">
        <v>184</v>
      </c>
      <c r="AU46" s="297" t="s">
        <v>185</v>
      </c>
      <c r="AV46" s="297" t="s">
        <v>186</v>
      </c>
      <c r="AW46" s="297" t="s">
        <v>187</v>
      </c>
      <c r="AX46" s="297" t="s">
        <v>188</v>
      </c>
      <c r="AY46" s="297"/>
      <c r="AZ46" s="297"/>
      <c r="BA46" s="297" t="s">
        <v>189</v>
      </c>
      <c r="BB46" s="297" t="s">
        <v>169</v>
      </c>
      <c r="BC46" s="297" t="s">
        <v>183</v>
      </c>
      <c r="BD46" s="297"/>
      <c r="BE46" s="297"/>
      <c r="BF46" s="297"/>
      <c r="BG46" s="297"/>
      <c r="BH46" s="297" t="s">
        <v>190</v>
      </c>
      <c r="BI46" s="297" t="s">
        <v>169</v>
      </c>
      <c r="BJ46" s="297"/>
      <c r="BK46" s="297" t="s">
        <v>191</v>
      </c>
      <c r="BL46" s="297"/>
      <c r="BM46" s="297" t="s">
        <v>192</v>
      </c>
      <c r="BN46" s="297" t="s">
        <v>193</v>
      </c>
      <c r="BO46" s="297" t="s">
        <v>194</v>
      </c>
      <c r="BP46" s="297" t="s">
        <v>195</v>
      </c>
      <c r="BQ46" s="297" t="s">
        <v>196</v>
      </c>
      <c r="BR46" s="297"/>
      <c r="BS46" s="297" t="s">
        <v>197</v>
      </c>
      <c r="BT46" s="297" t="s">
        <v>169</v>
      </c>
      <c r="BU46" s="297" t="s">
        <v>198</v>
      </c>
      <c r="BV46" s="297" t="s">
        <v>199</v>
      </c>
      <c r="BW46" s="297" t="s">
        <v>200</v>
      </c>
      <c r="BX46" s="297" t="s">
        <v>151</v>
      </c>
      <c r="BY46" s="297" t="s">
        <v>193</v>
      </c>
      <c r="BZ46" s="297" t="s">
        <v>152</v>
      </c>
      <c r="CA46" s="297" t="s">
        <v>201</v>
      </c>
      <c r="CB46" s="297" t="s">
        <v>201</v>
      </c>
      <c r="CC46" s="297" t="s">
        <v>202</v>
      </c>
      <c r="CD46" s="297"/>
      <c r="CE46" s="297" t="s">
        <v>203</v>
      </c>
      <c r="CF46" s="2"/>
    </row>
    <row r="47" spans="1:84" ht="12.65" customHeight="1" x14ac:dyDescent="0.35">
      <c r="A47" s="295" t="s">
        <v>204</v>
      </c>
      <c r="B47" s="299"/>
      <c r="C47" s="300">
        <v>3288102.9699999997</v>
      </c>
      <c r="D47" s="300">
        <v>1600618.77</v>
      </c>
      <c r="E47" s="300">
        <v>5156004.04</v>
      </c>
      <c r="F47" s="300">
        <v>165642.13</v>
      </c>
      <c r="G47" s="300">
        <v>477338.73</v>
      </c>
      <c r="H47" s="300"/>
      <c r="I47" s="300"/>
      <c r="J47" s="300"/>
      <c r="K47" s="300"/>
      <c r="L47" s="300"/>
      <c r="M47" s="300">
        <f>1040236.77+212492</f>
        <v>1252728.77</v>
      </c>
      <c r="N47" s="300">
        <v>2772751.91</v>
      </c>
      <c r="O47" s="300">
        <v>4421023.2699999996</v>
      </c>
      <c r="P47" s="300">
        <v>2271689.7799999998</v>
      </c>
      <c r="Q47" s="300">
        <v>1485546.24</v>
      </c>
      <c r="R47" s="300">
        <v>130977.53</v>
      </c>
      <c r="S47" s="300">
        <v>302559.38</v>
      </c>
      <c r="T47" s="300">
        <v>0</v>
      </c>
      <c r="U47" s="300">
        <v>1543836.8</v>
      </c>
      <c r="V47" s="300">
        <v>40156.399999999994</v>
      </c>
      <c r="W47" s="300">
        <v>128126</v>
      </c>
      <c r="X47" s="300">
        <v>269026.37999999995</v>
      </c>
      <c r="Y47" s="300">
        <v>3308639.68</v>
      </c>
      <c r="Z47" s="300">
        <v>714784.3899999999</v>
      </c>
      <c r="AA47" s="300">
        <v>79950.179999999993</v>
      </c>
      <c r="AB47" s="300">
        <v>1361835.74</v>
      </c>
      <c r="AC47" s="300">
        <v>580148.8600000001</v>
      </c>
      <c r="AD47" s="300">
        <v>0</v>
      </c>
      <c r="AE47" s="300">
        <v>1233555.6000000001</v>
      </c>
      <c r="AF47" s="300"/>
      <c r="AG47" s="300">
        <v>2589662.54</v>
      </c>
      <c r="AH47" s="300">
        <v>0</v>
      </c>
      <c r="AI47" s="300">
        <v>0</v>
      </c>
      <c r="AJ47" s="300">
        <v>13459315.960000001</v>
      </c>
      <c r="AK47" s="300"/>
      <c r="AL47" s="300"/>
      <c r="AM47" s="300"/>
      <c r="AN47" s="300"/>
      <c r="AO47" s="300"/>
      <c r="AP47" s="300">
        <v>9838402.8000000007</v>
      </c>
      <c r="AQ47" s="300"/>
      <c r="AR47" s="300">
        <f>9347105.48+1912430</f>
        <v>11259535.48</v>
      </c>
      <c r="AS47" s="300">
        <v>0</v>
      </c>
      <c r="AT47" s="300"/>
      <c r="AU47" s="300"/>
      <c r="AV47" s="300">
        <v>569247.58000000007</v>
      </c>
      <c r="AW47" s="300">
        <v>267099.71000000002</v>
      </c>
      <c r="AX47" s="300">
        <v>0</v>
      </c>
      <c r="AY47" s="300"/>
      <c r="AZ47" s="300">
        <v>959883.87000000011</v>
      </c>
      <c r="BA47" s="300">
        <v>99159.73</v>
      </c>
      <c r="BB47" s="300">
        <v>0</v>
      </c>
      <c r="BC47" s="300">
        <v>62754.729999999996</v>
      </c>
      <c r="BD47" s="300">
        <v>670298.25</v>
      </c>
      <c r="BE47" s="300">
        <v>972365.07999999984</v>
      </c>
      <c r="BF47" s="300">
        <v>1611246.91</v>
      </c>
      <c r="BG47" s="300">
        <v>310741.91000000003</v>
      </c>
      <c r="BH47" s="300">
        <v>2911016.1700000004</v>
      </c>
      <c r="BI47" s="300">
        <v>436088.64</v>
      </c>
      <c r="BJ47" s="300">
        <v>386281.22</v>
      </c>
      <c r="BK47" s="300">
        <v>1528602.68</v>
      </c>
      <c r="BL47" s="300">
        <v>1306572.29</v>
      </c>
      <c r="BM47" s="300">
        <v>893767.62</v>
      </c>
      <c r="BN47" s="300">
        <v>1016450.32</v>
      </c>
      <c r="BO47" s="300">
        <v>176257.79</v>
      </c>
      <c r="BP47" s="300">
        <v>304715.88</v>
      </c>
      <c r="BQ47" s="300">
        <v>117533.15</v>
      </c>
      <c r="BR47" s="300">
        <f>673901.84+131613.91</f>
        <v>805515.75</v>
      </c>
      <c r="BS47" s="300">
        <v>81636.850000000006</v>
      </c>
      <c r="BT47" s="300">
        <v>53255.72</v>
      </c>
      <c r="BU47" s="300">
        <v>0</v>
      </c>
      <c r="BV47" s="300">
        <v>1116111.01</v>
      </c>
      <c r="BW47" s="300">
        <v>153925.51999999999</v>
      </c>
      <c r="BX47" s="300">
        <v>1305347.94</v>
      </c>
      <c r="BY47" s="300">
        <v>345927.12</v>
      </c>
      <c r="BZ47" s="300">
        <v>1404739.06</v>
      </c>
      <c r="CA47" s="300">
        <v>362051.16000000003</v>
      </c>
      <c r="CB47" s="300">
        <v>1514611.41</v>
      </c>
      <c r="CC47" s="300">
        <f>1171903.35-147994.38</f>
        <v>1023908.9700000001</v>
      </c>
      <c r="CD47" s="295"/>
      <c r="CE47" s="295">
        <f>SUM(C47:CC47)</f>
        <v>92499074.37000002</v>
      </c>
      <c r="CF47" s="2"/>
    </row>
    <row r="48" spans="1:84" ht="12.65" customHeight="1" x14ac:dyDescent="0.35">
      <c r="A48" s="295" t="s">
        <v>205</v>
      </c>
      <c r="B48" s="299"/>
      <c r="C48" s="301">
        <f>ROUND(((B48/CE61)*C61),0)</f>
        <v>0</v>
      </c>
      <c r="D48" s="301">
        <f>ROUND(((B48/CE61)*D61),0)</f>
        <v>0</v>
      </c>
      <c r="E48" s="295">
        <f>ROUND(((B48/CE61)*E61),0)</f>
        <v>0</v>
      </c>
      <c r="F48" s="295">
        <f>ROUND(((B48/CE61)*F61),0)</f>
        <v>0</v>
      </c>
      <c r="G48" s="295">
        <f>ROUND(((B48/CE61)*G61),0)</f>
        <v>0</v>
      </c>
      <c r="H48" s="295">
        <f>ROUND(((B48/CE61)*H61),0)</f>
        <v>0</v>
      </c>
      <c r="I48" s="295">
        <f>ROUND(((B48/CE61)*I61),0)</f>
        <v>0</v>
      </c>
      <c r="J48" s="295">
        <f>ROUND(((B48/CE61)*J61),0)</f>
        <v>0</v>
      </c>
      <c r="K48" s="295">
        <f>ROUND(((B48/CE61)*K61),0)</f>
        <v>0</v>
      </c>
      <c r="L48" s="295">
        <f>ROUND(((B48/CE61)*L61),0)</f>
        <v>0</v>
      </c>
      <c r="M48" s="295">
        <f>ROUND(((B48/CE61)*M61),0)</f>
        <v>0</v>
      </c>
      <c r="N48" s="295">
        <f>ROUND(((B48/CE61)*N61),0)</f>
        <v>0</v>
      </c>
      <c r="O48" s="295">
        <f>ROUND(((B48/CE61)*O61),0)</f>
        <v>0</v>
      </c>
      <c r="P48" s="295">
        <f>ROUND(((B48/CE61)*P61),0)</f>
        <v>0</v>
      </c>
      <c r="Q48" s="295">
        <f>ROUND(((B48/CE61)*Q61),0)</f>
        <v>0</v>
      </c>
      <c r="R48" s="295">
        <f>ROUND(((B48/CE61)*R61),0)</f>
        <v>0</v>
      </c>
      <c r="S48" s="295">
        <f>ROUND(((B48/CE61)*S61),0)</f>
        <v>0</v>
      </c>
      <c r="T48" s="295">
        <f>ROUND(((B48/CE61)*T61),0)</f>
        <v>0</v>
      </c>
      <c r="U48" s="295">
        <f>ROUND(((B48/CE61)*U61),0)</f>
        <v>0</v>
      </c>
      <c r="V48" s="295">
        <f>ROUND(((B48/CE61)*V61),0)</f>
        <v>0</v>
      </c>
      <c r="W48" s="295">
        <f>ROUND(((B48/CE61)*W61),0)</f>
        <v>0</v>
      </c>
      <c r="X48" s="295">
        <f>ROUND(((B48/CE61)*X61),0)</f>
        <v>0</v>
      </c>
      <c r="Y48" s="295">
        <f>ROUND(((B48/CE61)*Y61),0)</f>
        <v>0</v>
      </c>
      <c r="Z48" s="295">
        <f>ROUND(((B48/CE61)*Z61),0)</f>
        <v>0</v>
      </c>
      <c r="AA48" s="295">
        <f>ROUND(((B48/CE61)*AA61),0)</f>
        <v>0</v>
      </c>
      <c r="AB48" s="295">
        <f>ROUND(((B48/CE61)*AB61),0)</f>
        <v>0</v>
      </c>
      <c r="AC48" s="295">
        <f>ROUND(((B48/CE61)*AC61),0)</f>
        <v>0</v>
      </c>
      <c r="AD48" s="295">
        <f>ROUND(((B48/CE61)*AD61),0)</f>
        <v>0</v>
      </c>
      <c r="AE48" s="295">
        <f>ROUND(((B48/CE61)*AE61),0)</f>
        <v>0</v>
      </c>
      <c r="AF48" s="295">
        <f>ROUND(((B48/CE61)*AF61),0)</f>
        <v>0</v>
      </c>
      <c r="AG48" s="295">
        <f>ROUND(((B48/CE61)*AG61),0)</f>
        <v>0</v>
      </c>
      <c r="AH48" s="295">
        <f>ROUND(((B48/CE61)*AH61),0)</f>
        <v>0</v>
      </c>
      <c r="AI48" s="295">
        <f>ROUND(((B48/CE61)*AI61),0)</f>
        <v>0</v>
      </c>
      <c r="AJ48" s="295">
        <f>ROUND(((B48/CE61)*AJ61),0)</f>
        <v>0</v>
      </c>
      <c r="AK48" s="295">
        <f>ROUND(((B48/CE61)*AK61),0)</f>
        <v>0</v>
      </c>
      <c r="AL48" s="295">
        <f>ROUND(((B48/CE61)*AL61),0)</f>
        <v>0</v>
      </c>
      <c r="AM48" s="295">
        <f>ROUND(((B48/CE61)*AM61),0)</f>
        <v>0</v>
      </c>
      <c r="AN48" s="295">
        <f>ROUND(((B48/CE61)*AN61),0)</f>
        <v>0</v>
      </c>
      <c r="AO48" s="295">
        <f>ROUND(((B48/CE61)*AO61),0)</f>
        <v>0</v>
      </c>
      <c r="AP48" s="295">
        <f>ROUND(((B48/CE61)*AP61),0)</f>
        <v>0</v>
      </c>
      <c r="AQ48" s="295">
        <f>ROUND(((B48/CE61)*AQ61),0)</f>
        <v>0</v>
      </c>
      <c r="AR48" s="295">
        <f>ROUND(((B48/CE61)*AR61),0)</f>
        <v>0</v>
      </c>
      <c r="AS48" s="295">
        <f>ROUND(((B48/CE61)*AS61),0)</f>
        <v>0</v>
      </c>
      <c r="AT48" s="295">
        <f>ROUND(((B48/CE61)*AT61),0)</f>
        <v>0</v>
      </c>
      <c r="AU48" s="295">
        <f>ROUND(((B48/CE61)*AU61),0)</f>
        <v>0</v>
      </c>
      <c r="AV48" s="295">
        <f>ROUND(((B48/CE61)*AV61),0)</f>
        <v>0</v>
      </c>
      <c r="AW48" s="295">
        <f>ROUND(((B48/CE61)*AW61),0)</f>
        <v>0</v>
      </c>
      <c r="AX48" s="295">
        <f>ROUND(((B48/CE61)*AX61),0)</f>
        <v>0</v>
      </c>
      <c r="AY48" s="295">
        <f>ROUND(((B48/CE61)*AY61),0)</f>
        <v>0</v>
      </c>
      <c r="AZ48" s="295">
        <f>ROUND(((B48/CE61)*AZ61),0)</f>
        <v>0</v>
      </c>
      <c r="BA48" s="295">
        <f>ROUND(((B48/CE61)*BA61),0)</f>
        <v>0</v>
      </c>
      <c r="BB48" s="295">
        <f>ROUND(((B48/CE61)*BB61),0)</f>
        <v>0</v>
      </c>
      <c r="BC48" s="295">
        <f>ROUND(((B48/CE61)*BC61),0)</f>
        <v>0</v>
      </c>
      <c r="BD48" s="295">
        <f>ROUND(((B48/CE61)*BD61),0)</f>
        <v>0</v>
      </c>
      <c r="BE48" s="295">
        <f>ROUND(((B48/CE61)*BE61),0)</f>
        <v>0</v>
      </c>
      <c r="BF48" s="295">
        <f>ROUND(((B48/CE61)*BF61),0)</f>
        <v>0</v>
      </c>
      <c r="BG48" s="295">
        <f>ROUND(((B48/CE61)*BG61),0)</f>
        <v>0</v>
      </c>
      <c r="BH48" s="295">
        <f>ROUND(((B48/CE61)*BH61),0)</f>
        <v>0</v>
      </c>
      <c r="BI48" s="295">
        <f>ROUND(((B48/CE61)*BI61),0)</f>
        <v>0</v>
      </c>
      <c r="BJ48" s="295">
        <f>ROUND(((B48/CE61)*BJ61),0)</f>
        <v>0</v>
      </c>
      <c r="BK48" s="295">
        <f>ROUND(((B48/CE61)*BK61),0)</f>
        <v>0</v>
      </c>
      <c r="BL48" s="295">
        <f>ROUND(((B48/CE61)*BL61),0)</f>
        <v>0</v>
      </c>
      <c r="BM48" s="295">
        <f>ROUND(((B48/CE61)*BM61),0)</f>
        <v>0</v>
      </c>
      <c r="BN48" s="295">
        <f>ROUND(((B48/CE61)*BN61),0)</f>
        <v>0</v>
      </c>
      <c r="BO48" s="295">
        <f>ROUND(((B48/CE61)*BO61),0)</f>
        <v>0</v>
      </c>
      <c r="BP48" s="295">
        <f>ROUND(((B48/CE61)*BP61),0)</f>
        <v>0</v>
      </c>
      <c r="BQ48" s="295">
        <f>ROUND(((B48/CE61)*BQ61),0)</f>
        <v>0</v>
      </c>
      <c r="BR48" s="295">
        <f>ROUND(((B48/CE61)*BR61),0)</f>
        <v>0</v>
      </c>
      <c r="BS48" s="295">
        <f>ROUND(((B48/CE61)*BS61),0)</f>
        <v>0</v>
      </c>
      <c r="BT48" s="295">
        <f>ROUND(((B48/CE61)*BT61),0)</f>
        <v>0</v>
      </c>
      <c r="BU48" s="295">
        <f>ROUND(((B48/CE61)*BU61),0)</f>
        <v>0</v>
      </c>
      <c r="BV48" s="295">
        <f>ROUND(((B48/CE61)*BV61),0)</f>
        <v>0</v>
      </c>
      <c r="BW48" s="295">
        <f>ROUND(((B48/CE61)*BW61),0)</f>
        <v>0</v>
      </c>
      <c r="BX48" s="295">
        <f>ROUND(((B48/CE61)*BX61),0)</f>
        <v>0</v>
      </c>
      <c r="BY48" s="295">
        <f>ROUND(((B48/CE61)*BY61),0)</f>
        <v>0</v>
      </c>
      <c r="BZ48" s="295">
        <f>ROUND(((B48/CE61)*BZ61),0)</f>
        <v>0</v>
      </c>
      <c r="CA48" s="295">
        <f>ROUND(((B48/CE61)*CA61),0)</f>
        <v>0</v>
      </c>
      <c r="CB48" s="295">
        <f>ROUND(((B48/CE61)*CB61),0)</f>
        <v>0</v>
      </c>
      <c r="CC48" s="295">
        <f>ROUND(((B48/CE61)*CC61),0)</f>
        <v>0</v>
      </c>
      <c r="CD48" s="295"/>
      <c r="CE48" s="295">
        <f>SUM(C48:CD48)</f>
        <v>0</v>
      </c>
      <c r="CF48" s="2"/>
    </row>
    <row r="49" spans="1:84" ht="12.65" customHeight="1" x14ac:dyDescent="0.35">
      <c r="A49" s="295" t="s">
        <v>206</v>
      </c>
      <c r="B49" s="295">
        <f>B47+B48</f>
        <v>0</v>
      </c>
      <c r="C49" s="295"/>
      <c r="D49" s="295"/>
      <c r="E49" s="295"/>
      <c r="F49" s="295"/>
      <c r="G49" s="295"/>
      <c r="H49" s="295"/>
      <c r="I49" s="295"/>
      <c r="J49" s="295"/>
      <c r="K49" s="295"/>
      <c r="L49" s="295"/>
      <c r="M49" s="295"/>
      <c r="N49" s="295"/>
      <c r="O49" s="295"/>
      <c r="P49" s="295"/>
      <c r="Q49" s="295"/>
      <c r="R49" s="295"/>
      <c r="S49" s="295"/>
      <c r="T49" s="295"/>
      <c r="U49" s="295"/>
      <c r="V49" s="295"/>
      <c r="W49" s="295"/>
      <c r="X49" s="295"/>
      <c r="Y49" s="295"/>
      <c r="Z49" s="295"/>
      <c r="AA49" s="295"/>
      <c r="AB49" s="295"/>
      <c r="AC49" s="295"/>
      <c r="AD49" s="295"/>
      <c r="AE49" s="295"/>
      <c r="AF49" s="295"/>
      <c r="AG49" s="295"/>
      <c r="AH49" s="295"/>
      <c r="AI49" s="295"/>
      <c r="AJ49" s="295"/>
      <c r="AK49" s="295"/>
      <c r="AL49" s="295"/>
      <c r="AM49" s="295"/>
      <c r="AN49" s="295"/>
      <c r="AO49" s="295"/>
      <c r="AP49" s="295"/>
      <c r="AQ49" s="295"/>
      <c r="AR49" s="295"/>
      <c r="AS49" s="295"/>
      <c r="AT49" s="295"/>
      <c r="AU49" s="295"/>
      <c r="AV49" s="295"/>
      <c r="AW49" s="295"/>
      <c r="AX49" s="295"/>
      <c r="AY49" s="295"/>
      <c r="AZ49" s="295"/>
      <c r="BA49" s="295"/>
      <c r="BB49" s="295"/>
      <c r="BC49" s="295"/>
      <c r="BD49" s="295"/>
      <c r="BE49" s="295"/>
      <c r="BF49" s="295"/>
      <c r="BG49" s="295"/>
      <c r="BH49" s="295"/>
      <c r="BI49" s="295"/>
      <c r="BJ49" s="295"/>
      <c r="BK49" s="295"/>
      <c r="BL49" s="295"/>
      <c r="BM49" s="295"/>
      <c r="BN49" s="295"/>
      <c r="BO49" s="295"/>
      <c r="BP49" s="295"/>
      <c r="BQ49" s="295"/>
      <c r="BR49" s="295"/>
      <c r="BS49" s="295"/>
      <c r="BT49" s="295"/>
      <c r="BU49" s="295"/>
      <c r="BV49" s="295"/>
      <c r="BW49" s="295"/>
      <c r="BX49" s="295"/>
      <c r="BY49" s="295"/>
      <c r="BZ49" s="295"/>
      <c r="CA49" s="295"/>
      <c r="CB49" s="295"/>
      <c r="CC49" s="295"/>
      <c r="CD49" s="295"/>
      <c r="CE49" s="295"/>
      <c r="CF49" s="2"/>
    </row>
    <row r="50" spans="1:84" ht="12.65" customHeight="1" x14ac:dyDescent="0.35">
      <c r="A50" s="295" t="s">
        <v>6</v>
      </c>
      <c r="B50" s="295"/>
      <c r="C50" s="295"/>
      <c r="D50" s="295"/>
      <c r="E50" s="295"/>
      <c r="F50" s="295"/>
      <c r="G50" s="295"/>
      <c r="H50" s="295"/>
      <c r="I50" s="295"/>
      <c r="J50" s="295"/>
      <c r="K50" s="295"/>
      <c r="L50" s="295"/>
      <c r="M50" s="295"/>
      <c r="N50" s="295"/>
      <c r="O50" s="295"/>
      <c r="P50" s="295"/>
      <c r="Q50" s="295"/>
      <c r="R50" s="295"/>
      <c r="S50" s="295"/>
      <c r="T50" s="295"/>
      <c r="U50" s="295"/>
      <c r="V50" s="295"/>
      <c r="W50" s="295"/>
      <c r="X50" s="295"/>
      <c r="Y50" s="295"/>
      <c r="Z50" s="295"/>
      <c r="AA50" s="295"/>
      <c r="AB50" s="295"/>
      <c r="AC50" s="295"/>
      <c r="AD50" s="295"/>
      <c r="AE50" s="295"/>
      <c r="AF50" s="295"/>
      <c r="AG50" s="295"/>
      <c r="AH50" s="295"/>
      <c r="AI50" s="295"/>
      <c r="AJ50" s="295"/>
      <c r="AK50" s="295"/>
      <c r="AL50" s="295"/>
      <c r="AM50" s="295"/>
      <c r="AN50" s="295"/>
      <c r="AO50" s="295"/>
      <c r="AP50" s="295"/>
      <c r="AQ50" s="295"/>
      <c r="AR50" s="295"/>
      <c r="AS50" s="295"/>
      <c r="AT50" s="295"/>
      <c r="AU50" s="295"/>
      <c r="AV50" s="295"/>
      <c r="AW50" s="295"/>
      <c r="AX50" s="295"/>
      <c r="AY50" s="295"/>
      <c r="AZ50" s="295"/>
      <c r="BA50" s="295"/>
      <c r="BB50" s="295"/>
      <c r="BC50" s="295"/>
      <c r="BD50" s="295"/>
      <c r="BE50" s="295"/>
      <c r="BF50" s="295"/>
      <c r="BG50" s="295"/>
      <c r="BH50" s="295"/>
      <c r="BI50" s="295"/>
      <c r="BJ50" s="295"/>
      <c r="BK50" s="295"/>
      <c r="BL50" s="295"/>
      <c r="BM50" s="295"/>
      <c r="BN50" s="295"/>
      <c r="BO50" s="295"/>
      <c r="BP50" s="295"/>
      <c r="BQ50" s="295"/>
      <c r="BR50" s="295"/>
      <c r="BS50" s="295"/>
      <c r="BT50" s="295"/>
      <c r="BU50" s="295"/>
      <c r="BV50" s="295"/>
      <c r="BW50" s="295"/>
      <c r="BX50" s="295"/>
      <c r="BY50" s="295"/>
      <c r="BZ50" s="295"/>
      <c r="CA50" s="295"/>
      <c r="CB50" s="295"/>
      <c r="CC50" s="295"/>
      <c r="CD50" s="295"/>
      <c r="CE50" s="295"/>
      <c r="CF50" s="2"/>
    </row>
    <row r="51" spans="1:84" ht="12.65" customHeight="1" x14ac:dyDescent="0.35">
      <c r="A51" s="302" t="s">
        <v>207</v>
      </c>
      <c r="B51" s="300"/>
      <c r="C51" s="300">
        <v>368068.93000000005</v>
      </c>
      <c r="D51" s="300">
        <v>1567883.6099999999</v>
      </c>
      <c r="E51" s="300">
        <v>2298275.62</v>
      </c>
      <c r="F51" s="300">
        <v>0</v>
      </c>
      <c r="G51" s="300">
        <v>101730.62</v>
      </c>
      <c r="H51" s="300"/>
      <c r="I51" s="300"/>
      <c r="J51" s="300"/>
      <c r="K51" s="300"/>
      <c r="L51" s="300"/>
      <c r="M51" s="300">
        <f>103559.69+10882.32</f>
        <v>114442.01000000001</v>
      </c>
      <c r="N51" s="300">
        <v>5655.2</v>
      </c>
      <c r="O51" s="300">
        <v>770240.47</v>
      </c>
      <c r="P51" s="300">
        <v>2677039.5299999998</v>
      </c>
      <c r="Q51" s="300">
        <v>94818.540000000008</v>
      </c>
      <c r="R51" s="300">
        <v>134226.60999999999</v>
      </c>
      <c r="S51" s="300">
        <v>335392.57999999996</v>
      </c>
      <c r="T51" s="300">
        <v>0</v>
      </c>
      <c r="U51" s="300">
        <v>415414.88</v>
      </c>
      <c r="V51" s="300">
        <v>8294.2999999999993</v>
      </c>
      <c r="W51" s="300">
        <v>221522.91</v>
      </c>
      <c r="X51" s="300">
        <v>121137.1</v>
      </c>
      <c r="Y51" s="300">
        <v>2982585.2199999997</v>
      </c>
      <c r="Z51" s="300">
        <v>1241999.3899999999</v>
      </c>
      <c r="AA51" s="300">
        <v>164490.75</v>
      </c>
      <c r="AB51" s="300">
        <v>223023.27000000002</v>
      </c>
      <c r="AC51" s="300">
        <v>78846.490000000005</v>
      </c>
      <c r="AD51" s="300">
        <v>0</v>
      </c>
      <c r="AE51" s="300">
        <v>190643.07</v>
      </c>
      <c r="AF51" s="300"/>
      <c r="AG51" s="300">
        <v>1055602.29</v>
      </c>
      <c r="AH51" s="300">
        <v>0</v>
      </c>
      <c r="AI51" s="300">
        <v>0</v>
      </c>
      <c r="AJ51" s="300">
        <v>3170361.45</v>
      </c>
      <c r="AK51" s="300"/>
      <c r="AL51" s="300"/>
      <c r="AM51" s="300"/>
      <c r="AN51" s="300"/>
      <c r="AO51" s="300"/>
      <c r="AP51" s="300">
        <v>3097008.66</v>
      </c>
      <c r="AQ51" s="300"/>
      <c r="AR51" s="300">
        <v>97940.85</v>
      </c>
      <c r="AS51" s="300"/>
      <c r="AT51" s="300"/>
      <c r="AU51" s="300"/>
      <c r="AV51" s="300">
        <v>228823.02000000002</v>
      </c>
      <c r="AW51" s="300">
        <v>26637.19</v>
      </c>
      <c r="AX51" s="300"/>
      <c r="AY51" s="300"/>
      <c r="AZ51" s="300">
        <v>777133.45</v>
      </c>
      <c r="BA51" s="300">
        <v>7348.47</v>
      </c>
      <c r="BB51" s="300">
        <v>0</v>
      </c>
      <c r="BC51" s="300">
        <v>16370.51</v>
      </c>
      <c r="BD51" s="300">
        <v>75347.59</v>
      </c>
      <c r="BE51" s="300">
        <f>6066107.52+22169.5+139685.42</f>
        <v>6227962.4399999995</v>
      </c>
      <c r="BF51" s="300">
        <v>61560.549999999996</v>
      </c>
      <c r="BG51" s="300">
        <v>25437.510000000002</v>
      </c>
      <c r="BH51" s="300">
        <v>5630223.6600000001</v>
      </c>
      <c r="BI51" s="300">
        <v>188524.79999999999</v>
      </c>
      <c r="BJ51" s="300">
        <v>20639.82</v>
      </c>
      <c r="BK51" s="300">
        <v>59335.099999999991</v>
      </c>
      <c r="BL51" s="300">
        <v>28351.279999999999</v>
      </c>
      <c r="BM51" s="300">
        <v>18004.2</v>
      </c>
      <c r="BN51" s="300">
        <v>228751.97</v>
      </c>
      <c r="BO51" s="300">
        <v>46835.37</v>
      </c>
      <c r="BP51" s="300">
        <v>75168.460000000006</v>
      </c>
      <c r="BQ51" s="300">
        <v>4094.94</v>
      </c>
      <c r="BR51" s="300">
        <v>11446.8</v>
      </c>
      <c r="BS51" s="300">
        <v>16971.84</v>
      </c>
      <c r="BT51" s="300">
        <v>20494.09</v>
      </c>
      <c r="BU51" s="300">
        <v>0</v>
      </c>
      <c r="BV51" s="300">
        <v>69022.05</v>
      </c>
      <c r="BW51" s="300">
        <v>23860.739999999998</v>
      </c>
      <c r="BX51" s="300">
        <v>16059.39</v>
      </c>
      <c r="BY51" s="300">
        <v>269177</v>
      </c>
      <c r="BZ51" s="300">
        <v>10051.69</v>
      </c>
      <c r="CA51" s="300">
        <v>5111.87</v>
      </c>
      <c r="CB51" s="300">
        <v>34353.760000000002</v>
      </c>
      <c r="CC51" s="300">
        <v>68397.38</v>
      </c>
      <c r="CD51" s="295"/>
      <c r="CE51" s="295">
        <f>SUM(C51:CD51)</f>
        <v>35828141.290000007</v>
      </c>
      <c r="CF51" s="2"/>
    </row>
    <row r="52" spans="1:84" ht="12.65" customHeight="1" x14ac:dyDescent="0.35">
      <c r="A52" s="302" t="s">
        <v>208</v>
      </c>
      <c r="B52" s="300"/>
      <c r="C52" s="295">
        <f>ROUND((B52/(CE76+CF76)*C76),0)</f>
        <v>0</v>
      </c>
      <c r="D52" s="295">
        <f>ROUND((B52/(CE76+CF76)*D76),0)</f>
        <v>0</v>
      </c>
      <c r="E52" s="295">
        <f>ROUND((B52/(CE76+CF76)*E76),0)</f>
        <v>0</v>
      </c>
      <c r="F52" s="295">
        <f>ROUND((B52/(CE76+CF76)*F76),0)</f>
        <v>0</v>
      </c>
      <c r="G52" s="295">
        <f>ROUND((B52/(CE76+CF76)*G76),0)</f>
        <v>0</v>
      </c>
      <c r="H52" s="295">
        <f>ROUND((B52/(CE76+CF76)*H76),0)</f>
        <v>0</v>
      </c>
      <c r="I52" s="295">
        <f>ROUND((B52/(CE76+CF76)*I76),0)</f>
        <v>0</v>
      </c>
      <c r="J52" s="295">
        <f>ROUND((B52/(CE76+CF76)*J76),0)</f>
        <v>0</v>
      </c>
      <c r="K52" s="295">
        <f>ROUND((B52/(CE76+CF76)*K76),0)</f>
        <v>0</v>
      </c>
      <c r="L52" s="295">
        <f>ROUND((B52/(CE76+CF76)*L76),0)</f>
        <v>0</v>
      </c>
      <c r="M52" s="295">
        <f>ROUND((B52/(CE76+CF76)*M76),0)</f>
        <v>0</v>
      </c>
      <c r="N52" s="295">
        <f>ROUND((B52/(CE76+CF76)*N76),0)</f>
        <v>0</v>
      </c>
      <c r="O52" s="295">
        <f>ROUND((B52/(CE76+CF76)*O76),0)</f>
        <v>0</v>
      </c>
      <c r="P52" s="295">
        <f>ROUND((B52/(CE76+CF76)*P76),0)</f>
        <v>0</v>
      </c>
      <c r="Q52" s="295">
        <f>ROUND((B52/(CE76+CF76)*Q76),0)</f>
        <v>0</v>
      </c>
      <c r="R52" s="295">
        <f>ROUND((B52/(CE76+CF76)*R76),0)</f>
        <v>0</v>
      </c>
      <c r="S52" s="295">
        <f>ROUND((B52/(CE76+CF76)*S76),0)</f>
        <v>0</v>
      </c>
      <c r="T52" s="295">
        <f>ROUND((B52/(CE76+CF76)*T76),0)</f>
        <v>0</v>
      </c>
      <c r="U52" s="295">
        <f>ROUND((B52/(CE76+CF76)*U76),0)</f>
        <v>0</v>
      </c>
      <c r="V52" s="295">
        <f>ROUND((B52/(CE76+CF76)*V76),0)</f>
        <v>0</v>
      </c>
      <c r="W52" s="295">
        <f>ROUND((B52/(CE76+CF76)*W76),0)</f>
        <v>0</v>
      </c>
      <c r="X52" s="295">
        <f>ROUND((B52/(CE76+CF76)*X76),0)</f>
        <v>0</v>
      </c>
      <c r="Y52" s="295">
        <f>ROUND((B52/(CE76+CF76)*Y76),0)</f>
        <v>0</v>
      </c>
      <c r="Z52" s="295">
        <f>ROUND((B52/(CE76+CF76)*Z76),0)</f>
        <v>0</v>
      </c>
      <c r="AA52" s="295">
        <f>ROUND((B52/(CE76+CF76)*AA76),0)</f>
        <v>0</v>
      </c>
      <c r="AB52" s="295">
        <f>ROUND((B52/(CE76+CF76)*AB76),0)</f>
        <v>0</v>
      </c>
      <c r="AC52" s="295">
        <f>ROUND((B52/(CE76+CF76)*AC76),0)</f>
        <v>0</v>
      </c>
      <c r="AD52" s="295">
        <f>ROUND((B52/(CE76+CF76)*AD76),0)</f>
        <v>0</v>
      </c>
      <c r="AE52" s="295">
        <f>ROUND((B52/(CE76+CF76)*AE76),0)</f>
        <v>0</v>
      </c>
      <c r="AF52" s="295">
        <f>ROUND((B52/(CE76+CF76)*AF76),0)</f>
        <v>0</v>
      </c>
      <c r="AG52" s="295">
        <f>ROUND((B52/(CE76+CF76)*AG76),0)</f>
        <v>0</v>
      </c>
      <c r="AH52" s="295">
        <f>ROUND((B52/(CE76+CF76)*AH76),0)</f>
        <v>0</v>
      </c>
      <c r="AI52" s="295">
        <f>ROUND((B52/(CE76+CF76)*AI76),0)</f>
        <v>0</v>
      </c>
      <c r="AJ52" s="295">
        <f>ROUND((B52/(CE76+CF76)*AJ76),0)</f>
        <v>0</v>
      </c>
      <c r="AK52" s="295">
        <f>ROUND((B52/(CE76+CF76)*AK76),0)</f>
        <v>0</v>
      </c>
      <c r="AL52" s="295">
        <f>ROUND((B52/(CE76+CF76)*AL76),0)</f>
        <v>0</v>
      </c>
      <c r="AM52" s="295">
        <f>ROUND((B52/(CE76+CF76)*AM76),0)</f>
        <v>0</v>
      </c>
      <c r="AN52" s="295">
        <f>ROUND((B52/(CE76+CF76)*AN76),0)</f>
        <v>0</v>
      </c>
      <c r="AO52" s="295">
        <f>ROUND((B52/(CE76+CF76)*AO76),0)</f>
        <v>0</v>
      </c>
      <c r="AP52" s="295">
        <f>ROUND((B52/(CE76+CF76)*AP76),0)</f>
        <v>0</v>
      </c>
      <c r="AQ52" s="295">
        <f>ROUND((B52/(CE76+CF76)*AQ76),0)</f>
        <v>0</v>
      </c>
      <c r="AR52" s="295">
        <f>ROUND((B52/(CE76+CF76)*AR76),0)</f>
        <v>0</v>
      </c>
      <c r="AS52" s="295">
        <f>ROUND((B52/(CE76+CF76)*AS76),0)</f>
        <v>0</v>
      </c>
      <c r="AT52" s="295">
        <f>ROUND((B52/(CE76+CF76)*AT76),0)</f>
        <v>0</v>
      </c>
      <c r="AU52" s="295">
        <f>ROUND((B52/(CE76+CF76)*AU76),0)</f>
        <v>0</v>
      </c>
      <c r="AV52" s="295">
        <f>ROUND((B52/(CE76+CF76)*AV76),0)</f>
        <v>0</v>
      </c>
      <c r="AW52" s="295">
        <f>ROUND((B52/(CE76+CF76)*AW76),0)</f>
        <v>0</v>
      </c>
      <c r="AX52" s="295">
        <f>ROUND((B52/(CE76+CF76)*AX76),0)</f>
        <v>0</v>
      </c>
      <c r="AY52" s="295">
        <f>ROUND((B52/(CE76+CF76)*AY76),0)</f>
        <v>0</v>
      </c>
      <c r="AZ52" s="295">
        <f>ROUND((B52/(CE76+CF76)*AZ76),0)</f>
        <v>0</v>
      </c>
      <c r="BA52" s="295">
        <f>ROUND((B52/(CE76+CF76)*BA76),0)</f>
        <v>0</v>
      </c>
      <c r="BB52" s="295">
        <f>ROUND((B52/(CE76+CF76)*BB76),0)</f>
        <v>0</v>
      </c>
      <c r="BC52" s="295">
        <f>ROUND((B52/(CE76+CF76)*BC76),0)</f>
        <v>0</v>
      </c>
      <c r="BD52" s="295">
        <f>ROUND((B52/(CE76+CF76)*BD76),0)</f>
        <v>0</v>
      </c>
      <c r="BE52" s="295">
        <f>ROUND((B52/(CE76+CF76)*BE76),0)</f>
        <v>0</v>
      </c>
      <c r="BF52" s="295">
        <f>ROUND((B52/(CE76+CF76)*BF76),0)</f>
        <v>0</v>
      </c>
      <c r="BG52" s="295">
        <f>ROUND((B52/(CE76+CF76)*BG76),0)</f>
        <v>0</v>
      </c>
      <c r="BH52" s="295">
        <f>ROUND((B52/(CE76+CF76)*BH76),0)</f>
        <v>0</v>
      </c>
      <c r="BI52" s="295">
        <f>ROUND((B52/(CE76+CF76)*BI76),0)</f>
        <v>0</v>
      </c>
      <c r="BJ52" s="295">
        <f>ROUND((B52/(CE76+CF76)*BJ76),0)</f>
        <v>0</v>
      </c>
      <c r="BK52" s="295">
        <f>ROUND((B52/(CE76+CF76)*BK76),0)</f>
        <v>0</v>
      </c>
      <c r="BL52" s="295">
        <f>ROUND((B52/(CE76+CF76)*BL76),0)</f>
        <v>0</v>
      </c>
      <c r="BM52" s="295">
        <f>ROUND((B52/(CE76+CF76)*BM76),0)</f>
        <v>0</v>
      </c>
      <c r="BN52" s="295">
        <f>ROUND((B52/(CE76+CF76)*BN76),0)</f>
        <v>0</v>
      </c>
      <c r="BO52" s="295">
        <f>ROUND((B52/(CE76+CF76)*BO76),0)</f>
        <v>0</v>
      </c>
      <c r="BP52" s="295">
        <f>ROUND((B52/(CE76+CF76)*BP76),0)</f>
        <v>0</v>
      </c>
      <c r="BQ52" s="295">
        <f>ROUND((B52/(CE76+CF76)*BQ76),0)</f>
        <v>0</v>
      </c>
      <c r="BR52" s="295">
        <f>ROUND((B52/(CE76+CF76)*BR76),0)</f>
        <v>0</v>
      </c>
      <c r="BS52" s="295">
        <f>ROUND((B52/(CE76+CF76)*BS76),0)</f>
        <v>0</v>
      </c>
      <c r="BT52" s="295">
        <f>ROUND((B52/(CE76+CF76)*BT76),0)</f>
        <v>0</v>
      </c>
      <c r="BU52" s="295">
        <f>ROUND((B52/(CE76+CF76)*BU76),0)</f>
        <v>0</v>
      </c>
      <c r="BV52" s="295">
        <f>ROUND((B52/(CE76+CF76)*BV76),0)</f>
        <v>0</v>
      </c>
      <c r="BW52" s="295">
        <f>ROUND((B52/(CE76+CF76)*BW76),0)</f>
        <v>0</v>
      </c>
      <c r="BX52" s="295">
        <f>ROUND((B52/(CE76+CF76)*BX76),0)</f>
        <v>0</v>
      </c>
      <c r="BY52" s="295">
        <f>ROUND((B52/(CE76+CF76)*BY76),0)</f>
        <v>0</v>
      </c>
      <c r="BZ52" s="295">
        <f>ROUND((B52/(CE76+CF76)*BZ76),0)</f>
        <v>0</v>
      </c>
      <c r="CA52" s="295">
        <f>ROUND((B52/(CE76+CF76)*CA76),0)</f>
        <v>0</v>
      </c>
      <c r="CB52" s="295">
        <f>ROUND((B52/(CE76+CF76)*CB76),0)</f>
        <v>0</v>
      </c>
      <c r="CC52" s="295">
        <f>ROUND((B52/(CE76+CF76)*CC76),0)</f>
        <v>0</v>
      </c>
      <c r="CD52" s="295"/>
      <c r="CE52" s="295">
        <f>SUM(C52:CD52)</f>
        <v>0</v>
      </c>
      <c r="CF52" s="2"/>
    </row>
    <row r="53" spans="1:84" ht="12.65" customHeight="1" x14ac:dyDescent="0.35">
      <c r="A53" s="295" t="s">
        <v>206</v>
      </c>
      <c r="B53" s="295">
        <f>B51+B52</f>
        <v>0</v>
      </c>
      <c r="C53" s="295"/>
      <c r="D53" s="295"/>
      <c r="E53" s="295"/>
      <c r="F53" s="295"/>
      <c r="G53" s="295"/>
      <c r="H53" s="295"/>
      <c r="I53" s="295"/>
      <c r="J53" s="295"/>
      <c r="K53" s="295"/>
      <c r="L53" s="295"/>
      <c r="M53" s="295"/>
      <c r="N53" s="295"/>
      <c r="O53" s="295"/>
      <c r="P53" s="295"/>
      <c r="Q53" s="295"/>
      <c r="R53" s="295"/>
      <c r="S53" s="295"/>
      <c r="T53" s="295"/>
      <c r="U53" s="295"/>
      <c r="V53" s="295"/>
      <c r="W53" s="295"/>
      <c r="X53" s="295"/>
      <c r="Y53" s="295"/>
      <c r="Z53" s="295"/>
      <c r="AA53" s="295"/>
      <c r="AB53" s="295"/>
      <c r="AC53" s="295"/>
      <c r="AD53" s="295"/>
      <c r="AE53" s="295"/>
      <c r="AF53" s="295"/>
      <c r="AG53" s="295"/>
      <c r="AH53" s="295"/>
      <c r="AI53" s="295"/>
      <c r="AJ53" s="295"/>
      <c r="AK53" s="295"/>
      <c r="AL53" s="295"/>
      <c r="AM53" s="295"/>
      <c r="AN53" s="295"/>
      <c r="AO53" s="295"/>
      <c r="AP53" s="295"/>
      <c r="AQ53" s="295"/>
      <c r="AR53" s="295"/>
      <c r="AS53" s="295"/>
      <c r="AT53" s="295"/>
      <c r="AU53" s="295"/>
      <c r="AV53" s="295"/>
      <c r="AW53" s="295"/>
      <c r="AX53" s="295"/>
      <c r="AY53" s="295"/>
      <c r="AZ53" s="295"/>
      <c r="BA53" s="295"/>
      <c r="BB53" s="295"/>
      <c r="BC53" s="295"/>
      <c r="BD53" s="295"/>
      <c r="BE53" s="295"/>
      <c r="BF53" s="295"/>
      <c r="BG53" s="295"/>
      <c r="BH53" s="295"/>
      <c r="BI53" s="295"/>
      <c r="BJ53" s="295"/>
      <c r="BK53" s="295"/>
      <c r="BL53" s="295"/>
      <c r="BM53" s="295"/>
      <c r="BN53" s="295"/>
      <c r="BO53" s="295"/>
      <c r="BP53" s="295"/>
      <c r="BQ53" s="295"/>
      <c r="BR53" s="295"/>
      <c r="BS53" s="295"/>
      <c r="BT53" s="295"/>
      <c r="BU53" s="295"/>
      <c r="BV53" s="295"/>
      <c r="BW53" s="295"/>
      <c r="BX53" s="295"/>
      <c r="BY53" s="295"/>
      <c r="BZ53" s="295"/>
      <c r="CA53" s="295"/>
      <c r="CB53" s="295"/>
      <c r="CC53" s="295"/>
      <c r="CD53" s="295"/>
      <c r="CE53" s="295"/>
      <c r="CF53" s="2"/>
    </row>
    <row r="54" spans="1:84" ht="15.75" customHeight="1" x14ac:dyDescent="0.35">
      <c r="A54" s="295"/>
      <c r="B54" s="295"/>
      <c r="C54" s="303"/>
      <c r="D54" s="295"/>
      <c r="E54" s="295"/>
      <c r="F54" s="295"/>
      <c r="G54" s="295"/>
      <c r="H54" s="295"/>
      <c r="I54" s="295"/>
      <c r="J54" s="295"/>
      <c r="K54" s="295"/>
      <c r="L54" s="295"/>
      <c r="M54" s="295"/>
      <c r="N54" s="295"/>
      <c r="O54" s="295"/>
      <c r="P54" s="295"/>
      <c r="Q54" s="295"/>
      <c r="R54" s="295"/>
      <c r="S54" s="295"/>
      <c r="T54" s="295"/>
      <c r="U54" s="295"/>
      <c r="V54" s="295"/>
      <c r="W54" s="295"/>
      <c r="X54" s="295"/>
      <c r="Y54" s="295"/>
      <c r="Z54" s="295"/>
      <c r="AA54" s="295"/>
      <c r="AB54" s="295"/>
      <c r="AC54" s="295"/>
      <c r="AD54" s="295"/>
      <c r="AE54" s="295"/>
      <c r="AF54" s="295"/>
      <c r="AG54" s="295"/>
      <c r="AH54" s="295"/>
      <c r="AI54" s="295"/>
      <c r="AJ54" s="295"/>
      <c r="AK54" s="295"/>
      <c r="AL54" s="295"/>
      <c r="AM54" s="295"/>
      <c r="AN54" s="295"/>
      <c r="AO54" s="295"/>
      <c r="AP54" s="295"/>
      <c r="AQ54" s="295"/>
      <c r="AR54" s="295"/>
      <c r="AS54" s="295"/>
      <c r="AT54" s="295"/>
      <c r="AU54" s="295"/>
      <c r="AV54" s="295"/>
      <c r="AW54" s="295"/>
      <c r="AX54" s="295"/>
      <c r="AY54" s="295"/>
      <c r="AZ54" s="295"/>
      <c r="BA54" s="295"/>
      <c r="BB54" s="295"/>
      <c r="BC54" s="295"/>
      <c r="BD54" s="295"/>
      <c r="BE54" s="295"/>
      <c r="BF54" s="295"/>
      <c r="BG54" s="295"/>
      <c r="BH54" s="295"/>
      <c r="BI54" s="295"/>
      <c r="BJ54" s="295"/>
      <c r="BK54" s="295"/>
      <c r="BL54" s="295"/>
      <c r="BM54" s="295"/>
      <c r="BN54" s="295"/>
      <c r="BO54" s="295"/>
      <c r="BP54" s="295"/>
      <c r="BQ54" s="295"/>
      <c r="BR54" s="295"/>
      <c r="BS54" s="295"/>
      <c r="BT54" s="295"/>
      <c r="BU54" s="295"/>
      <c r="BV54" s="295"/>
      <c r="BW54" s="295"/>
      <c r="BX54" s="295"/>
      <c r="BY54" s="295"/>
      <c r="BZ54" s="295"/>
      <c r="CA54" s="295"/>
      <c r="CB54" s="295"/>
      <c r="CC54" s="295"/>
      <c r="CD54" s="295"/>
      <c r="CE54" s="295"/>
      <c r="CF54" s="2"/>
    </row>
    <row r="55" spans="1:84" ht="12.65" customHeight="1" x14ac:dyDescent="0.35">
      <c r="A55" s="302" t="s">
        <v>209</v>
      </c>
      <c r="B55" s="295"/>
      <c r="C55" s="296" t="s">
        <v>10</v>
      </c>
      <c r="D55" s="297" t="s">
        <v>11</v>
      </c>
      <c r="E55" s="297" t="s">
        <v>12</v>
      </c>
      <c r="F55" s="297" t="s">
        <v>13</v>
      </c>
      <c r="G55" s="297" t="s">
        <v>14</v>
      </c>
      <c r="H55" s="297" t="s">
        <v>15</v>
      </c>
      <c r="I55" s="297" t="s">
        <v>16</v>
      </c>
      <c r="J55" s="297" t="s">
        <v>17</v>
      </c>
      <c r="K55" s="297" t="s">
        <v>18</v>
      </c>
      <c r="L55" s="297" t="s">
        <v>19</v>
      </c>
      <c r="M55" s="297" t="s">
        <v>20</v>
      </c>
      <c r="N55" s="297" t="s">
        <v>21</v>
      </c>
      <c r="O55" s="297" t="s">
        <v>22</v>
      </c>
      <c r="P55" s="297" t="s">
        <v>23</v>
      </c>
      <c r="Q55" s="297" t="s">
        <v>24</v>
      </c>
      <c r="R55" s="297" t="s">
        <v>25</v>
      </c>
      <c r="S55" s="297" t="s">
        <v>26</v>
      </c>
      <c r="T55" s="304" t="s">
        <v>27</v>
      </c>
      <c r="U55" s="297" t="s">
        <v>28</v>
      </c>
      <c r="V55" s="297" t="s">
        <v>29</v>
      </c>
      <c r="W55" s="297" t="s">
        <v>30</v>
      </c>
      <c r="X55" s="297" t="s">
        <v>31</v>
      </c>
      <c r="Y55" s="297" t="s">
        <v>32</v>
      </c>
      <c r="Z55" s="297" t="s">
        <v>33</v>
      </c>
      <c r="AA55" s="297" t="s">
        <v>34</v>
      </c>
      <c r="AB55" s="297" t="s">
        <v>35</v>
      </c>
      <c r="AC55" s="297" t="s">
        <v>36</v>
      </c>
      <c r="AD55" s="297" t="s">
        <v>37</v>
      </c>
      <c r="AE55" s="297" t="s">
        <v>38</v>
      </c>
      <c r="AF55" s="297" t="s">
        <v>39</v>
      </c>
      <c r="AG55" s="297" t="s">
        <v>40</v>
      </c>
      <c r="AH55" s="297" t="s">
        <v>41</v>
      </c>
      <c r="AI55" s="297" t="s">
        <v>42</v>
      </c>
      <c r="AJ55" s="297" t="s">
        <v>43</v>
      </c>
      <c r="AK55" s="297" t="s">
        <v>44</v>
      </c>
      <c r="AL55" s="297" t="s">
        <v>45</v>
      </c>
      <c r="AM55" s="297" t="s">
        <v>46</v>
      </c>
      <c r="AN55" s="297" t="s">
        <v>47</v>
      </c>
      <c r="AO55" s="297" t="s">
        <v>48</v>
      </c>
      <c r="AP55" s="297" t="s">
        <v>49</v>
      </c>
      <c r="AQ55" s="297" t="s">
        <v>50</v>
      </c>
      <c r="AR55" s="297" t="s">
        <v>51</v>
      </c>
      <c r="AS55" s="297" t="s">
        <v>52</v>
      </c>
      <c r="AT55" s="297" t="s">
        <v>53</v>
      </c>
      <c r="AU55" s="297" t="s">
        <v>54</v>
      </c>
      <c r="AV55" s="297" t="s">
        <v>55</v>
      </c>
      <c r="AW55" s="297" t="s">
        <v>56</v>
      </c>
      <c r="AX55" s="297" t="s">
        <v>57</v>
      </c>
      <c r="AY55" s="297" t="s">
        <v>58</v>
      </c>
      <c r="AZ55" s="297" t="s">
        <v>59</v>
      </c>
      <c r="BA55" s="297" t="s">
        <v>60</v>
      </c>
      <c r="BB55" s="297" t="s">
        <v>61</v>
      </c>
      <c r="BC55" s="297" t="s">
        <v>62</v>
      </c>
      <c r="BD55" s="297" t="s">
        <v>63</v>
      </c>
      <c r="BE55" s="297" t="s">
        <v>64</v>
      </c>
      <c r="BF55" s="297" t="s">
        <v>65</v>
      </c>
      <c r="BG55" s="297" t="s">
        <v>66</v>
      </c>
      <c r="BH55" s="297" t="s">
        <v>67</v>
      </c>
      <c r="BI55" s="297" t="s">
        <v>68</v>
      </c>
      <c r="BJ55" s="297" t="s">
        <v>69</v>
      </c>
      <c r="BK55" s="297" t="s">
        <v>70</v>
      </c>
      <c r="BL55" s="297" t="s">
        <v>71</v>
      </c>
      <c r="BM55" s="297" t="s">
        <v>72</v>
      </c>
      <c r="BN55" s="297" t="s">
        <v>73</v>
      </c>
      <c r="BO55" s="297" t="s">
        <v>74</v>
      </c>
      <c r="BP55" s="297" t="s">
        <v>75</v>
      </c>
      <c r="BQ55" s="297" t="s">
        <v>76</v>
      </c>
      <c r="BR55" s="297" t="s">
        <v>77</v>
      </c>
      <c r="BS55" s="297" t="s">
        <v>78</v>
      </c>
      <c r="BT55" s="297" t="s">
        <v>79</v>
      </c>
      <c r="BU55" s="297" t="s">
        <v>80</v>
      </c>
      <c r="BV55" s="297" t="s">
        <v>81</v>
      </c>
      <c r="BW55" s="297" t="s">
        <v>82</v>
      </c>
      <c r="BX55" s="297" t="s">
        <v>83</v>
      </c>
      <c r="BY55" s="297" t="s">
        <v>84</v>
      </c>
      <c r="BZ55" s="297" t="s">
        <v>85</v>
      </c>
      <c r="CA55" s="297" t="s">
        <v>86</v>
      </c>
      <c r="CB55" s="297" t="s">
        <v>87</v>
      </c>
      <c r="CC55" s="297" t="s">
        <v>88</v>
      </c>
      <c r="CD55" s="297" t="s">
        <v>89</v>
      </c>
      <c r="CE55" s="297" t="s">
        <v>90</v>
      </c>
      <c r="CF55" s="2"/>
    </row>
    <row r="56" spans="1:84" ht="12.65" customHeight="1" x14ac:dyDescent="0.35">
      <c r="A56" s="302" t="s">
        <v>210</v>
      </c>
      <c r="B56" s="295"/>
      <c r="C56" s="296" t="s">
        <v>92</v>
      </c>
      <c r="D56" s="297" t="s">
        <v>93</v>
      </c>
      <c r="E56" s="297" t="s">
        <v>94</v>
      </c>
      <c r="F56" s="297" t="s">
        <v>95</v>
      </c>
      <c r="G56" s="297" t="s">
        <v>96</v>
      </c>
      <c r="H56" s="297" t="s">
        <v>97</v>
      </c>
      <c r="I56" s="297" t="s">
        <v>98</v>
      </c>
      <c r="J56" s="297" t="s">
        <v>99</v>
      </c>
      <c r="K56" s="297" t="s">
        <v>100</v>
      </c>
      <c r="L56" s="297" t="s">
        <v>101</v>
      </c>
      <c r="M56" s="297" t="s">
        <v>102</v>
      </c>
      <c r="N56" s="297" t="s">
        <v>103</v>
      </c>
      <c r="O56" s="297" t="s">
        <v>104</v>
      </c>
      <c r="P56" s="297" t="s">
        <v>105</v>
      </c>
      <c r="Q56" s="297" t="s">
        <v>106</v>
      </c>
      <c r="R56" s="297" t="s">
        <v>107</v>
      </c>
      <c r="S56" s="297" t="s">
        <v>108</v>
      </c>
      <c r="T56" s="297" t="s">
        <v>1194</v>
      </c>
      <c r="U56" s="297" t="s">
        <v>109</v>
      </c>
      <c r="V56" s="297" t="s">
        <v>110</v>
      </c>
      <c r="W56" s="297" t="s">
        <v>111</v>
      </c>
      <c r="X56" s="297" t="s">
        <v>112</v>
      </c>
      <c r="Y56" s="297" t="s">
        <v>113</v>
      </c>
      <c r="Z56" s="297" t="s">
        <v>113</v>
      </c>
      <c r="AA56" s="297" t="s">
        <v>114</v>
      </c>
      <c r="AB56" s="297" t="s">
        <v>115</v>
      </c>
      <c r="AC56" s="297" t="s">
        <v>116</v>
      </c>
      <c r="AD56" s="297" t="s">
        <v>117</v>
      </c>
      <c r="AE56" s="297" t="s">
        <v>96</v>
      </c>
      <c r="AF56" s="297" t="s">
        <v>97</v>
      </c>
      <c r="AG56" s="297" t="s">
        <v>118</v>
      </c>
      <c r="AH56" s="297" t="s">
        <v>119</v>
      </c>
      <c r="AI56" s="297" t="s">
        <v>120</v>
      </c>
      <c r="AJ56" s="297" t="s">
        <v>121</v>
      </c>
      <c r="AK56" s="297" t="s">
        <v>122</v>
      </c>
      <c r="AL56" s="297" t="s">
        <v>123</v>
      </c>
      <c r="AM56" s="297" t="s">
        <v>124</v>
      </c>
      <c r="AN56" s="297" t="s">
        <v>110</v>
      </c>
      <c r="AO56" s="297" t="s">
        <v>125</v>
      </c>
      <c r="AP56" s="297" t="s">
        <v>126</v>
      </c>
      <c r="AQ56" s="297" t="s">
        <v>127</v>
      </c>
      <c r="AR56" s="297" t="s">
        <v>128</v>
      </c>
      <c r="AS56" s="297" t="s">
        <v>129</v>
      </c>
      <c r="AT56" s="297" t="s">
        <v>130</v>
      </c>
      <c r="AU56" s="297" t="s">
        <v>131</v>
      </c>
      <c r="AV56" s="297" t="s">
        <v>132</v>
      </c>
      <c r="AW56" s="297" t="s">
        <v>133</v>
      </c>
      <c r="AX56" s="297" t="s">
        <v>134</v>
      </c>
      <c r="AY56" s="297" t="s">
        <v>135</v>
      </c>
      <c r="AZ56" s="297" t="s">
        <v>136</v>
      </c>
      <c r="BA56" s="297" t="s">
        <v>137</v>
      </c>
      <c r="BB56" s="297" t="s">
        <v>138</v>
      </c>
      <c r="BC56" s="297" t="s">
        <v>108</v>
      </c>
      <c r="BD56" s="297" t="s">
        <v>139</v>
      </c>
      <c r="BE56" s="297" t="s">
        <v>140</v>
      </c>
      <c r="BF56" s="297" t="s">
        <v>141</v>
      </c>
      <c r="BG56" s="297" t="s">
        <v>142</v>
      </c>
      <c r="BH56" s="297" t="s">
        <v>143</v>
      </c>
      <c r="BI56" s="297" t="s">
        <v>144</v>
      </c>
      <c r="BJ56" s="297" t="s">
        <v>145</v>
      </c>
      <c r="BK56" s="297" t="s">
        <v>146</v>
      </c>
      <c r="BL56" s="297" t="s">
        <v>147</v>
      </c>
      <c r="BM56" s="297" t="s">
        <v>132</v>
      </c>
      <c r="BN56" s="297" t="s">
        <v>148</v>
      </c>
      <c r="BO56" s="297" t="s">
        <v>149</v>
      </c>
      <c r="BP56" s="297" t="s">
        <v>150</v>
      </c>
      <c r="BQ56" s="297" t="s">
        <v>151</v>
      </c>
      <c r="BR56" s="297" t="s">
        <v>152</v>
      </c>
      <c r="BS56" s="297" t="s">
        <v>153</v>
      </c>
      <c r="BT56" s="297" t="s">
        <v>154</v>
      </c>
      <c r="BU56" s="297" t="s">
        <v>155</v>
      </c>
      <c r="BV56" s="297" t="s">
        <v>155</v>
      </c>
      <c r="BW56" s="297" t="s">
        <v>155</v>
      </c>
      <c r="BX56" s="297" t="s">
        <v>156</v>
      </c>
      <c r="BY56" s="297" t="s">
        <v>157</v>
      </c>
      <c r="BZ56" s="297" t="s">
        <v>158</v>
      </c>
      <c r="CA56" s="297" t="s">
        <v>159</v>
      </c>
      <c r="CB56" s="297" t="s">
        <v>160</v>
      </c>
      <c r="CC56" s="297" t="s">
        <v>132</v>
      </c>
      <c r="CD56" s="297" t="s">
        <v>211</v>
      </c>
      <c r="CE56" s="297" t="s">
        <v>161</v>
      </c>
      <c r="CF56" s="2"/>
    </row>
    <row r="57" spans="1:84" ht="12.65" customHeight="1" x14ac:dyDescent="0.35">
      <c r="A57" s="302" t="s">
        <v>212</v>
      </c>
      <c r="B57" s="295"/>
      <c r="C57" s="296" t="s">
        <v>163</v>
      </c>
      <c r="D57" s="297" t="s">
        <v>163</v>
      </c>
      <c r="E57" s="297" t="s">
        <v>163</v>
      </c>
      <c r="F57" s="297" t="s">
        <v>164</v>
      </c>
      <c r="G57" s="297" t="s">
        <v>165</v>
      </c>
      <c r="H57" s="297" t="s">
        <v>163</v>
      </c>
      <c r="I57" s="297" t="s">
        <v>166</v>
      </c>
      <c r="J57" s="297"/>
      <c r="K57" s="297" t="s">
        <v>157</v>
      </c>
      <c r="L57" s="297" t="s">
        <v>167</v>
      </c>
      <c r="M57" s="297" t="s">
        <v>168</v>
      </c>
      <c r="N57" s="297" t="s">
        <v>169</v>
      </c>
      <c r="O57" s="297" t="s">
        <v>170</v>
      </c>
      <c r="P57" s="297" t="s">
        <v>169</v>
      </c>
      <c r="Q57" s="297" t="s">
        <v>171</v>
      </c>
      <c r="R57" s="297"/>
      <c r="S57" s="297" t="s">
        <v>169</v>
      </c>
      <c r="T57" s="297" t="s">
        <v>172</v>
      </c>
      <c r="U57" s="297"/>
      <c r="V57" s="297" t="s">
        <v>173</v>
      </c>
      <c r="W57" s="297" t="s">
        <v>174</v>
      </c>
      <c r="X57" s="297" t="s">
        <v>175</v>
      </c>
      <c r="Y57" s="297" t="s">
        <v>176</v>
      </c>
      <c r="Z57" s="297" t="s">
        <v>177</v>
      </c>
      <c r="AA57" s="297" t="s">
        <v>178</v>
      </c>
      <c r="AB57" s="297"/>
      <c r="AC57" s="297" t="s">
        <v>172</v>
      </c>
      <c r="AD57" s="297"/>
      <c r="AE57" s="297" t="s">
        <v>172</v>
      </c>
      <c r="AF57" s="297" t="s">
        <v>179</v>
      </c>
      <c r="AG57" s="297" t="s">
        <v>171</v>
      </c>
      <c r="AH57" s="297"/>
      <c r="AI57" s="297" t="s">
        <v>180</v>
      </c>
      <c r="AJ57" s="297"/>
      <c r="AK57" s="297" t="s">
        <v>172</v>
      </c>
      <c r="AL57" s="297" t="s">
        <v>172</v>
      </c>
      <c r="AM57" s="297" t="s">
        <v>172</v>
      </c>
      <c r="AN57" s="297" t="s">
        <v>181</v>
      </c>
      <c r="AO57" s="297" t="s">
        <v>182</v>
      </c>
      <c r="AP57" s="297" t="s">
        <v>121</v>
      </c>
      <c r="AQ57" s="297" t="s">
        <v>183</v>
      </c>
      <c r="AR57" s="297" t="s">
        <v>169</v>
      </c>
      <c r="AS57" s="297"/>
      <c r="AT57" s="297" t="s">
        <v>184</v>
      </c>
      <c r="AU57" s="297" t="s">
        <v>185</v>
      </c>
      <c r="AV57" s="297" t="s">
        <v>186</v>
      </c>
      <c r="AW57" s="297" t="s">
        <v>187</v>
      </c>
      <c r="AX57" s="297" t="s">
        <v>188</v>
      </c>
      <c r="AY57" s="297"/>
      <c r="AZ57" s="297"/>
      <c r="BA57" s="297" t="s">
        <v>189</v>
      </c>
      <c r="BB57" s="297" t="s">
        <v>169</v>
      </c>
      <c r="BC57" s="297" t="s">
        <v>183</v>
      </c>
      <c r="BD57" s="297"/>
      <c r="BE57" s="297"/>
      <c r="BF57" s="297"/>
      <c r="BG57" s="297"/>
      <c r="BH57" s="297" t="s">
        <v>190</v>
      </c>
      <c r="BI57" s="297" t="s">
        <v>169</v>
      </c>
      <c r="BJ57" s="297"/>
      <c r="BK57" s="297" t="s">
        <v>191</v>
      </c>
      <c r="BL57" s="297"/>
      <c r="BM57" s="297" t="s">
        <v>192</v>
      </c>
      <c r="BN57" s="297" t="s">
        <v>193</v>
      </c>
      <c r="BO57" s="297" t="s">
        <v>194</v>
      </c>
      <c r="BP57" s="297" t="s">
        <v>195</v>
      </c>
      <c r="BQ57" s="297" t="s">
        <v>196</v>
      </c>
      <c r="BR57" s="297"/>
      <c r="BS57" s="297" t="s">
        <v>197</v>
      </c>
      <c r="BT57" s="297" t="s">
        <v>169</v>
      </c>
      <c r="BU57" s="297" t="s">
        <v>198</v>
      </c>
      <c r="BV57" s="297" t="s">
        <v>199</v>
      </c>
      <c r="BW57" s="297" t="s">
        <v>200</v>
      </c>
      <c r="BX57" s="297" t="s">
        <v>151</v>
      </c>
      <c r="BY57" s="297" t="s">
        <v>193</v>
      </c>
      <c r="BZ57" s="297" t="s">
        <v>152</v>
      </c>
      <c r="CA57" s="297" t="s">
        <v>201</v>
      </c>
      <c r="CB57" s="297" t="s">
        <v>201</v>
      </c>
      <c r="CC57" s="297" t="s">
        <v>202</v>
      </c>
      <c r="CD57" s="297" t="s">
        <v>213</v>
      </c>
      <c r="CE57" s="297" t="s">
        <v>203</v>
      </c>
      <c r="CF57" s="2"/>
    </row>
    <row r="58" spans="1:84" ht="12.65" customHeight="1" x14ac:dyDescent="0.35">
      <c r="A58" s="302" t="s">
        <v>214</v>
      </c>
      <c r="B58" s="295"/>
      <c r="C58" s="296" t="s">
        <v>215</v>
      </c>
      <c r="D58" s="297" t="s">
        <v>215</v>
      </c>
      <c r="E58" s="297" t="s">
        <v>215</v>
      </c>
      <c r="F58" s="297" t="s">
        <v>215</v>
      </c>
      <c r="G58" s="297" t="s">
        <v>215</v>
      </c>
      <c r="H58" s="297" t="s">
        <v>215</v>
      </c>
      <c r="I58" s="297" t="s">
        <v>215</v>
      </c>
      <c r="J58" s="297" t="s">
        <v>216</v>
      </c>
      <c r="K58" s="297" t="s">
        <v>215</v>
      </c>
      <c r="L58" s="297" t="s">
        <v>215</v>
      </c>
      <c r="M58" s="297" t="s">
        <v>215</v>
      </c>
      <c r="N58" s="297" t="s">
        <v>215</v>
      </c>
      <c r="O58" s="297" t="s">
        <v>217</v>
      </c>
      <c r="P58" s="297" t="s">
        <v>218</v>
      </c>
      <c r="Q58" s="297" t="s">
        <v>219</v>
      </c>
      <c r="R58" s="298" t="s">
        <v>220</v>
      </c>
      <c r="S58" s="305" t="s">
        <v>221</v>
      </c>
      <c r="T58" s="305" t="s">
        <v>221</v>
      </c>
      <c r="U58" s="297" t="s">
        <v>222</v>
      </c>
      <c r="V58" s="297" t="s">
        <v>222</v>
      </c>
      <c r="W58" s="297" t="s">
        <v>223</v>
      </c>
      <c r="X58" s="297" t="s">
        <v>224</v>
      </c>
      <c r="Y58" s="297" t="s">
        <v>225</v>
      </c>
      <c r="Z58" s="297" t="s">
        <v>225</v>
      </c>
      <c r="AA58" s="297" t="s">
        <v>225</v>
      </c>
      <c r="AB58" s="305" t="s">
        <v>221</v>
      </c>
      <c r="AC58" s="297" t="s">
        <v>226</v>
      </c>
      <c r="AD58" s="297" t="s">
        <v>227</v>
      </c>
      <c r="AE58" s="297" t="s">
        <v>226</v>
      </c>
      <c r="AF58" s="297" t="s">
        <v>228</v>
      </c>
      <c r="AG58" s="297" t="s">
        <v>228</v>
      </c>
      <c r="AH58" s="297" t="s">
        <v>229</v>
      </c>
      <c r="AI58" s="297" t="s">
        <v>230</v>
      </c>
      <c r="AJ58" s="297" t="s">
        <v>228</v>
      </c>
      <c r="AK58" s="297" t="s">
        <v>226</v>
      </c>
      <c r="AL58" s="297" t="s">
        <v>226</v>
      </c>
      <c r="AM58" s="297" t="s">
        <v>226</v>
      </c>
      <c r="AN58" s="297" t="s">
        <v>217</v>
      </c>
      <c r="AO58" s="297" t="s">
        <v>227</v>
      </c>
      <c r="AP58" s="297" t="s">
        <v>228</v>
      </c>
      <c r="AQ58" s="297" t="s">
        <v>229</v>
      </c>
      <c r="AR58" s="297" t="s">
        <v>228</v>
      </c>
      <c r="AS58" s="297" t="s">
        <v>226</v>
      </c>
      <c r="AT58" s="297" t="s">
        <v>1212</v>
      </c>
      <c r="AU58" s="297" t="s">
        <v>228</v>
      </c>
      <c r="AV58" s="305" t="s">
        <v>221</v>
      </c>
      <c r="AW58" s="305" t="s">
        <v>221</v>
      </c>
      <c r="AX58" s="305" t="s">
        <v>221</v>
      </c>
      <c r="AY58" s="297" t="s">
        <v>231</v>
      </c>
      <c r="AZ58" s="297" t="s">
        <v>231</v>
      </c>
      <c r="BA58" s="305" t="s">
        <v>221</v>
      </c>
      <c r="BB58" s="305" t="s">
        <v>221</v>
      </c>
      <c r="BC58" s="305" t="s">
        <v>221</v>
      </c>
      <c r="BD58" s="305" t="s">
        <v>221</v>
      </c>
      <c r="BE58" s="297" t="s">
        <v>232</v>
      </c>
      <c r="BF58" s="305" t="s">
        <v>221</v>
      </c>
      <c r="BG58" s="305" t="s">
        <v>221</v>
      </c>
      <c r="BH58" s="305" t="s">
        <v>221</v>
      </c>
      <c r="BI58" s="305" t="s">
        <v>221</v>
      </c>
      <c r="BJ58" s="305" t="s">
        <v>221</v>
      </c>
      <c r="BK58" s="305" t="s">
        <v>221</v>
      </c>
      <c r="BL58" s="305" t="s">
        <v>221</v>
      </c>
      <c r="BM58" s="305" t="s">
        <v>221</v>
      </c>
      <c r="BN58" s="305" t="s">
        <v>221</v>
      </c>
      <c r="BO58" s="305" t="s">
        <v>221</v>
      </c>
      <c r="BP58" s="305" t="s">
        <v>221</v>
      </c>
      <c r="BQ58" s="305" t="s">
        <v>221</v>
      </c>
      <c r="BR58" s="305" t="s">
        <v>221</v>
      </c>
      <c r="BS58" s="305" t="s">
        <v>221</v>
      </c>
      <c r="BT58" s="305" t="s">
        <v>221</v>
      </c>
      <c r="BU58" s="305" t="s">
        <v>221</v>
      </c>
      <c r="BV58" s="305" t="s">
        <v>221</v>
      </c>
      <c r="BW58" s="305" t="s">
        <v>221</v>
      </c>
      <c r="BX58" s="305" t="s">
        <v>221</v>
      </c>
      <c r="BY58" s="305" t="s">
        <v>221</v>
      </c>
      <c r="BZ58" s="305" t="s">
        <v>221</v>
      </c>
      <c r="CA58" s="305" t="s">
        <v>221</v>
      </c>
      <c r="CB58" s="305" t="s">
        <v>221</v>
      </c>
      <c r="CC58" s="305" t="s">
        <v>221</v>
      </c>
      <c r="CD58" s="305" t="s">
        <v>221</v>
      </c>
      <c r="CE58" s="305" t="s">
        <v>221</v>
      </c>
      <c r="CF58" s="2"/>
    </row>
    <row r="59" spans="1:84" ht="12.65" customHeight="1" x14ac:dyDescent="0.35">
      <c r="A59" s="302" t="s">
        <v>233</v>
      </c>
      <c r="B59" s="295"/>
      <c r="C59" s="300">
        <v>4943.9799999999996</v>
      </c>
      <c r="D59" s="300">
        <v>8914.4</v>
      </c>
      <c r="E59" s="300">
        <v>37724.47</v>
      </c>
      <c r="F59" s="300"/>
      <c r="G59" s="300">
        <v>3434</v>
      </c>
      <c r="H59" s="300"/>
      <c r="I59" s="300"/>
      <c r="J59" s="300"/>
      <c r="K59" s="300"/>
      <c r="L59" s="300"/>
      <c r="M59" s="300">
        <v>3836</v>
      </c>
      <c r="N59" s="300"/>
      <c r="O59" s="300">
        <v>4367</v>
      </c>
      <c r="P59" s="185">
        <v>739476</v>
      </c>
      <c r="Q59" s="185">
        <v>1821899</v>
      </c>
      <c r="R59" s="185">
        <v>1277090</v>
      </c>
      <c r="S59" s="305" t="s">
        <v>221</v>
      </c>
      <c r="T59" s="305" t="s">
        <v>221</v>
      </c>
      <c r="U59" s="224">
        <v>881954</v>
      </c>
      <c r="V59" s="185"/>
      <c r="W59" s="185">
        <v>30016.71</v>
      </c>
      <c r="X59" s="185">
        <v>138648.74</v>
      </c>
      <c r="Y59" s="185">
        <v>336276.15</v>
      </c>
      <c r="Z59" s="185">
        <v>60040.18</v>
      </c>
      <c r="AA59" s="185">
        <v>13413.4</v>
      </c>
      <c r="AB59" s="305"/>
      <c r="AC59" s="185">
        <v>24456.870000000003</v>
      </c>
      <c r="AD59" s="185"/>
      <c r="AE59" s="185">
        <v>72038</v>
      </c>
      <c r="AF59" s="185"/>
      <c r="AG59" s="185">
        <v>95286</v>
      </c>
      <c r="AH59" s="185"/>
      <c r="AI59" s="185"/>
      <c r="AJ59" s="185">
        <v>249762</v>
      </c>
      <c r="AK59" s="185"/>
      <c r="AL59" s="185"/>
      <c r="AM59" s="185"/>
      <c r="AN59" s="185"/>
      <c r="AO59" s="185"/>
      <c r="AP59" s="185">
        <v>330570</v>
      </c>
      <c r="AQ59" s="185"/>
      <c r="AR59" s="185"/>
      <c r="AS59" s="185"/>
      <c r="AT59" s="185"/>
      <c r="AU59" s="185"/>
      <c r="AV59" s="305" t="s">
        <v>221</v>
      </c>
      <c r="AW59" s="305" t="s">
        <v>221</v>
      </c>
      <c r="AX59" s="305" t="s">
        <v>221</v>
      </c>
      <c r="AY59" s="185"/>
      <c r="AZ59" s="185">
        <v>721631.94</v>
      </c>
      <c r="BA59" s="305" t="s">
        <v>221</v>
      </c>
      <c r="BB59" s="305" t="s">
        <v>221</v>
      </c>
      <c r="BC59" s="305" t="s">
        <v>221</v>
      </c>
      <c r="BD59" s="305" t="s">
        <v>221</v>
      </c>
      <c r="BE59" s="185">
        <v>679195</v>
      </c>
      <c r="BF59" s="305" t="s">
        <v>221</v>
      </c>
      <c r="BG59" s="305" t="s">
        <v>221</v>
      </c>
      <c r="BH59" s="305" t="s">
        <v>221</v>
      </c>
      <c r="BI59" s="305" t="s">
        <v>221</v>
      </c>
      <c r="BJ59" s="305" t="s">
        <v>221</v>
      </c>
      <c r="BK59" s="305" t="s">
        <v>221</v>
      </c>
      <c r="BL59" s="305" t="s">
        <v>221</v>
      </c>
      <c r="BM59" s="305" t="s">
        <v>221</v>
      </c>
      <c r="BN59" s="305" t="s">
        <v>221</v>
      </c>
      <c r="BO59" s="305" t="s">
        <v>221</v>
      </c>
      <c r="BP59" s="305" t="s">
        <v>221</v>
      </c>
      <c r="BQ59" s="305" t="s">
        <v>221</v>
      </c>
      <c r="BR59" s="305" t="s">
        <v>221</v>
      </c>
      <c r="BS59" s="305" t="s">
        <v>221</v>
      </c>
      <c r="BT59" s="305" t="s">
        <v>221</v>
      </c>
      <c r="BU59" s="305" t="s">
        <v>221</v>
      </c>
      <c r="BV59" s="305" t="s">
        <v>221</v>
      </c>
      <c r="BW59" s="305" t="s">
        <v>221</v>
      </c>
      <c r="BX59" s="305" t="s">
        <v>221</v>
      </c>
      <c r="BY59" s="305" t="s">
        <v>221</v>
      </c>
      <c r="BZ59" s="305" t="s">
        <v>221</v>
      </c>
      <c r="CA59" s="305" t="s">
        <v>221</v>
      </c>
      <c r="CB59" s="305" t="s">
        <v>221</v>
      </c>
      <c r="CC59" s="305" t="s">
        <v>221</v>
      </c>
      <c r="CD59" s="305"/>
      <c r="CE59" s="295"/>
      <c r="CF59" s="2"/>
    </row>
    <row r="60" spans="1:84" ht="12.65" customHeight="1" x14ac:dyDescent="0.35">
      <c r="A60" s="306" t="s">
        <v>234</v>
      </c>
      <c r="B60" s="295"/>
      <c r="C60" s="186">
        <v>139.12829980842912</v>
      </c>
      <c r="D60" s="187">
        <v>63.860402298850566</v>
      </c>
      <c r="E60" s="187">
        <v>268.3683716475096</v>
      </c>
      <c r="F60" s="223">
        <v>6.63448275862069</v>
      </c>
      <c r="G60" s="187">
        <v>17.355177203065136</v>
      </c>
      <c r="H60" s="187"/>
      <c r="I60" s="187"/>
      <c r="J60" s="223"/>
      <c r="K60" s="187"/>
      <c r="L60" s="187"/>
      <c r="M60" s="187">
        <f>38.59+9.17</f>
        <v>47.760000000000005</v>
      </c>
      <c r="N60" s="187">
        <v>47.494985632183905</v>
      </c>
      <c r="O60" s="187">
        <v>169.87786398467432</v>
      </c>
      <c r="P60" s="221">
        <v>104.74167624521073</v>
      </c>
      <c r="Q60" s="221">
        <v>48.751700191570876</v>
      </c>
      <c r="R60" s="221">
        <v>7.2784482758620692</v>
      </c>
      <c r="S60" s="221">
        <v>19.953563218390805</v>
      </c>
      <c r="T60" s="221">
        <v>0</v>
      </c>
      <c r="U60" s="221">
        <v>72.785296934865897</v>
      </c>
      <c r="V60" s="221">
        <v>2.3532375478927205</v>
      </c>
      <c r="W60" s="221">
        <v>5.1952681992337171</v>
      </c>
      <c r="X60" s="221">
        <v>12.98617337164751</v>
      </c>
      <c r="Y60" s="221">
        <v>136.03677203065135</v>
      </c>
      <c r="Z60" s="221">
        <v>20.788893678160914</v>
      </c>
      <c r="AA60" s="221">
        <v>3.0805938697318007</v>
      </c>
      <c r="AB60" s="221">
        <v>55.250143678160924</v>
      </c>
      <c r="AC60" s="221">
        <v>28.682279693486588</v>
      </c>
      <c r="AD60" s="221"/>
      <c r="AE60" s="221">
        <v>53.077710727969354</v>
      </c>
      <c r="AF60" s="221"/>
      <c r="AG60" s="221">
        <v>105.21431034482758</v>
      </c>
      <c r="AH60" s="221"/>
      <c r="AI60" s="221"/>
      <c r="AJ60" s="221">
        <v>452.11473659003826</v>
      </c>
      <c r="AK60" s="221"/>
      <c r="AL60" s="221"/>
      <c r="AM60" s="221"/>
      <c r="AN60" s="221"/>
      <c r="AO60" s="221"/>
      <c r="AP60" s="221">
        <v>375.66852011494257</v>
      </c>
      <c r="AQ60" s="221"/>
      <c r="AR60" s="221">
        <f>356.93+82.51</f>
        <v>439.44</v>
      </c>
      <c r="AS60" s="221"/>
      <c r="AT60" s="221"/>
      <c r="AU60" s="221"/>
      <c r="AV60" s="221">
        <v>22.173505747126441</v>
      </c>
      <c r="AW60" s="221">
        <v>16.85624521072797</v>
      </c>
      <c r="AX60" s="221"/>
      <c r="AY60" s="221"/>
      <c r="AZ60" s="221">
        <v>58.676312260536399</v>
      </c>
      <c r="BA60" s="221">
        <v>5.173045977011494</v>
      </c>
      <c r="BB60" s="221">
        <v>0</v>
      </c>
      <c r="BC60" s="221">
        <v>5.859612068965518</v>
      </c>
      <c r="BD60" s="221">
        <v>34.773333333333333</v>
      </c>
      <c r="BE60" s="221">
        <v>49.531987547892726</v>
      </c>
      <c r="BF60" s="221">
        <v>96.14052203065134</v>
      </c>
      <c r="BG60" s="221">
        <v>17.82740900383142</v>
      </c>
      <c r="BH60" s="221">
        <v>119.859372605364</v>
      </c>
      <c r="BI60" s="221">
        <v>57.813984674329504</v>
      </c>
      <c r="BJ60" s="221">
        <v>17.479870689655172</v>
      </c>
      <c r="BK60" s="221">
        <v>85.16873563218391</v>
      </c>
      <c r="BL60" s="221">
        <v>72.774295977011505</v>
      </c>
      <c r="BM60" s="221">
        <v>35.539324712643676</v>
      </c>
      <c r="BN60" s="221">
        <v>23.002705938697314</v>
      </c>
      <c r="BO60" s="221">
        <v>7.7939463601532575</v>
      </c>
      <c r="BP60" s="221">
        <v>8.3606273946360137</v>
      </c>
      <c r="BQ60" s="221">
        <v>4.3661015325670496</v>
      </c>
      <c r="BR60" s="221">
        <v>29.209506704980843</v>
      </c>
      <c r="BS60" s="221">
        <v>4.5144588122605365</v>
      </c>
      <c r="BT60" s="221">
        <v>1.7583620689655173</v>
      </c>
      <c r="BU60" s="221"/>
      <c r="BV60" s="221">
        <v>53.146944444444451</v>
      </c>
      <c r="BW60" s="221">
        <v>7.7655411877394638</v>
      </c>
      <c r="BX60" s="221">
        <v>51.284008620689654</v>
      </c>
      <c r="BY60" s="221">
        <v>12.06786877394636</v>
      </c>
      <c r="BZ60" s="221">
        <v>45.083405172413798</v>
      </c>
      <c r="CA60" s="221">
        <v>14.781901340996168</v>
      </c>
      <c r="CB60" s="221">
        <v>70.238735632183918</v>
      </c>
      <c r="CC60" s="221">
        <v>44.014616858237545</v>
      </c>
      <c r="CD60" s="305" t="s">
        <v>221</v>
      </c>
      <c r="CE60" s="307">
        <f t="shared" ref="CE60:CE70" si="0">SUM(C60:CD60)</f>
        <v>3776.9151963601539</v>
      </c>
      <c r="CF60" s="2"/>
    </row>
    <row r="61" spans="1:84" ht="12.65" customHeight="1" x14ac:dyDescent="0.35">
      <c r="A61" s="302" t="s">
        <v>235</v>
      </c>
      <c r="B61" s="295"/>
      <c r="C61" s="300">
        <v>15198528.740000002</v>
      </c>
      <c r="D61" s="300">
        <v>6456942.5899999999</v>
      </c>
      <c r="E61" s="300">
        <v>23847927.910000004</v>
      </c>
      <c r="F61" s="185">
        <v>646662.20000000007</v>
      </c>
      <c r="G61" s="300">
        <v>1783725.7199999997</v>
      </c>
      <c r="H61" s="300"/>
      <c r="I61" s="185"/>
      <c r="J61" s="185"/>
      <c r="K61" s="185"/>
      <c r="L61" s="185"/>
      <c r="M61" s="300">
        <f>4142454+792460.29</f>
        <v>4934914.29</v>
      </c>
      <c r="N61" s="300">
        <v>15000633.4</v>
      </c>
      <c r="O61" s="300">
        <v>17505984.350000001</v>
      </c>
      <c r="P61" s="185">
        <v>9889291.4600000009</v>
      </c>
      <c r="Q61" s="185">
        <v>5607697.0099999998</v>
      </c>
      <c r="R61" s="185">
        <v>532549.87</v>
      </c>
      <c r="S61" s="185">
        <v>1297209.49</v>
      </c>
      <c r="T61" s="185">
        <v>0</v>
      </c>
      <c r="U61" s="185">
        <v>5533654.8999999994</v>
      </c>
      <c r="V61" s="185">
        <v>143719.98000000004</v>
      </c>
      <c r="W61" s="185">
        <v>681556.45000000019</v>
      </c>
      <c r="X61" s="185">
        <v>1366038.36</v>
      </c>
      <c r="Y61" s="185">
        <v>13579741.039999999</v>
      </c>
      <c r="Z61" s="185">
        <v>4151002.94</v>
      </c>
      <c r="AA61" s="185">
        <v>425186.52</v>
      </c>
      <c r="AB61" s="185">
        <v>5952129.9700000007</v>
      </c>
      <c r="AC61" s="185">
        <v>2708296.2</v>
      </c>
      <c r="AD61" s="185"/>
      <c r="AE61" s="185">
        <v>4613402.9000000004</v>
      </c>
      <c r="AF61" s="185"/>
      <c r="AG61" s="185">
        <v>9600023.5399999991</v>
      </c>
      <c r="AH61" s="185"/>
      <c r="AI61" s="185"/>
      <c r="AJ61" s="185">
        <v>67040973.039999999</v>
      </c>
      <c r="AK61" s="185"/>
      <c r="AL61" s="185"/>
      <c r="AM61" s="185"/>
      <c r="AN61" s="185"/>
      <c r="AO61" s="185"/>
      <c r="AP61" s="185">
        <v>44273580.100000001</v>
      </c>
      <c r="AQ61" s="185"/>
      <c r="AR61" s="185">
        <f>37564338.67+7132142.65</f>
        <v>44696481.32</v>
      </c>
      <c r="AS61" s="185"/>
      <c r="AT61" s="185"/>
      <c r="AU61" s="185"/>
      <c r="AV61" s="185">
        <v>2334742.7399999998</v>
      </c>
      <c r="AW61" s="185">
        <v>1239468.57</v>
      </c>
      <c r="AX61" s="185"/>
      <c r="AY61" s="185"/>
      <c r="AZ61" s="185">
        <v>2787298.4</v>
      </c>
      <c r="BA61" s="185">
        <v>240539.05000000002</v>
      </c>
      <c r="BB61" s="185">
        <v>0</v>
      </c>
      <c r="BC61" s="185">
        <v>262418.2</v>
      </c>
      <c r="BD61" s="185">
        <v>2157936.13</v>
      </c>
      <c r="BE61" s="185">
        <v>3463628.9699999997</v>
      </c>
      <c r="BF61" s="185">
        <v>4440455.3099999996</v>
      </c>
      <c r="BG61" s="185">
        <v>1059214.78</v>
      </c>
      <c r="BH61" s="185">
        <v>13231919.719999999</v>
      </c>
      <c r="BI61" s="185">
        <v>5509727.0999999987</v>
      </c>
      <c r="BJ61" s="185">
        <v>1454062.1099999999</v>
      </c>
      <c r="BK61" s="185">
        <v>4874187.75</v>
      </c>
      <c r="BL61" s="185">
        <v>3859479.02</v>
      </c>
      <c r="BM61" s="185">
        <v>3142779.3699999996</v>
      </c>
      <c r="BN61" s="185">
        <v>5988293.7699999996</v>
      </c>
      <c r="BO61" s="185">
        <v>927811.92999999993</v>
      </c>
      <c r="BP61" s="185">
        <v>872536.24000000011</v>
      </c>
      <c r="BQ61" s="185">
        <v>522785.03999999992</v>
      </c>
      <c r="BR61" s="185">
        <f>2834251.62-623628.77</f>
        <v>2210622.85</v>
      </c>
      <c r="BS61" s="185">
        <v>284734.28000000003</v>
      </c>
      <c r="BT61" s="185">
        <v>126161.60000000001</v>
      </c>
      <c r="BU61" s="185">
        <v>146.9</v>
      </c>
      <c r="BV61" s="185">
        <v>3465444.4800000004</v>
      </c>
      <c r="BW61" s="185">
        <v>1398031.34</v>
      </c>
      <c r="BX61" s="185">
        <v>5759774.1100000003</v>
      </c>
      <c r="BY61" s="185">
        <v>1181073.06</v>
      </c>
      <c r="BZ61" s="185">
        <v>4019580.18</v>
      </c>
      <c r="CA61" s="185">
        <v>1483295.7099999997</v>
      </c>
      <c r="CB61" s="185">
        <v>5442968.7700000005</v>
      </c>
      <c r="CC61" s="185">
        <f>6592064.02-998926.53</f>
        <v>5593137.4899999993</v>
      </c>
      <c r="CD61" s="305" t="s">
        <v>221</v>
      </c>
      <c r="CE61" s="295">
        <f t="shared" si="0"/>
        <v>396802109.25999999</v>
      </c>
      <c r="CF61" s="2"/>
    </row>
    <row r="62" spans="1:84" ht="12.65" customHeight="1" x14ac:dyDescent="0.35">
      <c r="A62" s="302" t="s">
        <v>3</v>
      </c>
      <c r="B62" s="295"/>
      <c r="C62" s="295">
        <f t="shared" ref="C62:BN62" si="1">ROUND(C47+C48,0)</f>
        <v>3288103</v>
      </c>
      <c r="D62" s="295">
        <f t="shared" si="1"/>
        <v>1600619</v>
      </c>
      <c r="E62" s="295">
        <f t="shared" si="1"/>
        <v>5156004</v>
      </c>
      <c r="F62" s="295">
        <f t="shared" si="1"/>
        <v>165642</v>
      </c>
      <c r="G62" s="295">
        <f t="shared" si="1"/>
        <v>477339</v>
      </c>
      <c r="H62" s="295">
        <f t="shared" si="1"/>
        <v>0</v>
      </c>
      <c r="I62" s="295">
        <f t="shared" si="1"/>
        <v>0</v>
      </c>
      <c r="J62" s="295">
        <f>ROUND(J47+J48,0)</f>
        <v>0</v>
      </c>
      <c r="K62" s="295">
        <f t="shared" si="1"/>
        <v>0</v>
      </c>
      <c r="L62" s="295">
        <f t="shared" si="1"/>
        <v>0</v>
      </c>
      <c r="M62" s="295">
        <f t="shared" si="1"/>
        <v>1252729</v>
      </c>
      <c r="N62" s="295">
        <f t="shared" si="1"/>
        <v>2772752</v>
      </c>
      <c r="O62" s="295">
        <f t="shared" si="1"/>
        <v>4421023</v>
      </c>
      <c r="P62" s="295">
        <f t="shared" si="1"/>
        <v>2271690</v>
      </c>
      <c r="Q62" s="295">
        <f t="shared" si="1"/>
        <v>1485546</v>
      </c>
      <c r="R62" s="295">
        <f t="shared" si="1"/>
        <v>130978</v>
      </c>
      <c r="S62" s="295">
        <f t="shared" si="1"/>
        <v>302559</v>
      </c>
      <c r="T62" s="295">
        <f t="shared" si="1"/>
        <v>0</v>
      </c>
      <c r="U62" s="295">
        <f t="shared" si="1"/>
        <v>1543837</v>
      </c>
      <c r="V62" s="295">
        <f t="shared" si="1"/>
        <v>40156</v>
      </c>
      <c r="W62" s="295">
        <f t="shared" si="1"/>
        <v>128126</v>
      </c>
      <c r="X62" s="295">
        <f t="shared" si="1"/>
        <v>269026</v>
      </c>
      <c r="Y62" s="295">
        <f t="shared" si="1"/>
        <v>3308640</v>
      </c>
      <c r="Z62" s="295">
        <f t="shared" si="1"/>
        <v>714784</v>
      </c>
      <c r="AA62" s="295">
        <f t="shared" si="1"/>
        <v>79950</v>
      </c>
      <c r="AB62" s="295">
        <f t="shared" si="1"/>
        <v>1361836</v>
      </c>
      <c r="AC62" s="295">
        <f t="shared" si="1"/>
        <v>580149</v>
      </c>
      <c r="AD62" s="295">
        <f t="shared" si="1"/>
        <v>0</v>
      </c>
      <c r="AE62" s="295">
        <f t="shared" si="1"/>
        <v>1233556</v>
      </c>
      <c r="AF62" s="295">
        <f t="shared" si="1"/>
        <v>0</v>
      </c>
      <c r="AG62" s="295">
        <f t="shared" si="1"/>
        <v>2589663</v>
      </c>
      <c r="AH62" s="295">
        <f t="shared" si="1"/>
        <v>0</v>
      </c>
      <c r="AI62" s="295">
        <f t="shared" si="1"/>
        <v>0</v>
      </c>
      <c r="AJ62" s="295">
        <f t="shared" si="1"/>
        <v>13459316</v>
      </c>
      <c r="AK62" s="295">
        <f t="shared" si="1"/>
        <v>0</v>
      </c>
      <c r="AL62" s="295">
        <f t="shared" si="1"/>
        <v>0</v>
      </c>
      <c r="AM62" s="295">
        <f t="shared" si="1"/>
        <v>0</v>
      </c>
      <c r="AN62" s="295">
        <f t="shared" si="1"/>
        <v>0</v>
      </c>
      <c r="AO62" s="295">
        <f t="shared" si="1"/>
        <v>0</v>
      </c>
      <c r="AP62" s="295">
        <f t="shared" si="1"/>
        <v>9838403</v>
      </c>
      <c r="AQ62" s="295">
        <f t="shared" si="1"/>
        <v>0</v>
      </c>
      <c r="AR62" s="295">
        <f t="shared" si="1"/>
        <v>11259535</v>
      </c>
      <c r="AS62" s="295">
        <f t="shared" si="1"/>
        <v>0</v>
      </c>
      <c r="AT62" s="295">
        <f t="shared" si="1"/>
        <v>0</v>
      </c>
      <c r="AU62" s="295">
        <f t="shared" si="1"/>
        <v>0</v>
      </c>
      <c r="AV62" s="295">
        <f t="shared" si="1"/>
        <v>569248</v>
      </c>
      <c r="AW62" s="295">
        <f t="shared" si="1"/>
        <v>267100</v>
      </c>
      <c r="AX62" s="295">
        <f t="shared" si="1"/>
        <v>0</v>
      </c>
      <c r="AY62" s="295">
        <f>ROUND(AY47+AY48,0)</f>
        <v>0</v>
      </c>
      <c r="AZ62" s="295">
        <f>ROUND(AZ47+AZ48,0)</f>
        <v>959884</v>
      </c>
      <c r="BA62" s="295">
        <f>ROUND(BA47+BA48,0)</f>
        <v>99160</v>
      </c>
      <c r="BB62" s="295">
        <f t="shared" si="1"/>
        <v>0</v>
      </c>
      <c r="BC62" s="295">
        <f t="shared" si="1"/>
        <v>62755</v>
      </c>
      <c r="BD62" s="295">
        <f t="shared" si="1"/>
        <v>670298</v>
      </c>
      <c r="BE62" s="295">
        <f t="shared" si="1"/>
        <v>972365</v>
      </c>
      <c r="BF62" s="295">
        <f t="shared" si="1"/>
        <v>1611247</v>
      </c>
      <c r="BG62" s="295">
        <f t="shared" si="1"/>
        <v>310742</v>
      </c>
      <c r="BH62" s="295">
        <f t="shared" si="1"/>
        <v>2911016</v>
      </c>
      <c r="BI62" s="295">
        <f t="shared" si="1"/>
        <v>436089</v>
      </c>
      <c r="BJ62" s="295">
        <f t="shared" si="1"/>
        <v>386281</v>
      </c>
      <c r="BK62" s="295">
        <f t="shared" si="1"/>
        <v>1528603</v>
      </c>
      <c r="BL62" s="295">
        <f t="shared" si="1"/>
        <v>1306572</v>
      </c>
      <c r="BM62" s="295">
        <f t="shared" si="1"/>
        <v>893768</v>
      </c>
      <c r="BN62" s="295">
        <f t="shared" si="1"/>
        <v>1016450</v>
      </c>
      <c r="BO62" s="295">
        <f t="shared" ref="BO62:CC62" si="2">ROUND(BO47+BO48,0)</f>
        <v>176258</v>
      </c>
      <c r="BP62" s="295">
        <f t="shared" si="2"/>
        <v>304716</v>
      </c>
      <c r="BQ62" s="295">
        <f t="shared" si="2"/>
        <v>117533</v>
      </c>
      <c r="BR62" s="295">
        <f t="shared" si="2"/>
        <v>805516</v>
      </c>
      <c r="BS62" s="295">
        <f t="shared" si="2"/>
        <v>81637</v>
      </c>
      <c r="BT62" s="295">
        <f t="shared" si="2"/>
        <v>53256</v>
      </c>
      <c r="BU62" s="295">
        <f t="shared" si="2"/>
        <v>0</v>
      </c>
      <c r="BV62" s="295">
        <f t="shared" si="2"/>
        <v>1116111</v>
      </c>
      <c r="BW62" s="295">
        <f t="shared" si="2"/>
        <v>153926</v>
      </c>
      <c r="BX62" s="295">
        <f t="shared" si="2"/>
        <v>1305348</v>
      </c>
      <c r="BY62" s="295">
        <f t="shared" si="2"/>
        <v>345927</v>
      </c>
      <c r="BZ62" s="295">
        <f t="shared" si="2"/>
        <v>1404739</v>
      </c>
      <c r="CA62" s="295">
        <f t="shared" si="2"/>
        <v>362051</v>
      </c>
      <c r="CB62" s="295">
        <f t="shared" si="2"/>
        <v>1514611</v>
      </c>
      <c r="CC62" s="295">
        <f t="shared" si="2"/>
        <v>1023909</v>
      </c>
      <c r="CD62" s="305" t="s">
        <v>221</v>
      </c>
      <c r="CE62" s="295">
        <f t="shared" si="0"/>
        <v>92499077</v>
      </c>
      <c r="CF62" s="2"/>
    </row>
    <row r="63" spans="1:84" ht="12.65" customHeight="1" x14ac:dyDescent="0.35">
      <c r="A63" s="302" t="s">
        <v>236</v>
      </c>
      <c r="B63" s="295"/>
      <c r="C63" s="300">
        <v>669120</v>
      </c>
      <c r="D63" s="300"/>
      <c r="E63" s="300"/>
      <c r="F63" s="185"/>
      <c r="G63" s="300"/>
      <c r="H63" s="300"/>
      <c r="I63" s="185"/>
      <c r="J63" s="185"/>
      <c r="K63" s="185"/>
      <c r="L63" s="185"/>
      <c r="M63" s="300">
        <f>1131.84+3880</f>
        <v>5011.84</v>
      </c>
      <c r="N63" s="300">
        <v>689211.51</v>
      </c>
      <c r="O63" s="300">
        <v>1512186.41</v>
      </c>
      <c r="P63" s="185">
        <v>7524</v>
      </c>
      <c r="Q63" s="185">
        <v>0</v>
      </c>
      <c r="R63" s="185">
        <v>0</v>
      </c>
      <c r="S63" s="185">
        <v>0</v>
      </c>
      <c r="T63" s="185">
        <v>0</v>
      </c>
      <c r="U63" s="185">
        <v>138177.03</v>
      </c>
      <c r="V63" s="185">
        <v>1975</v>
      </c>
      <c r="W63" s="185">
        <v>0</v>
      </c>
      <c r="X63" s="185">
        <v>0</v>
      </c>
      <c r="Y63" s="185">
        <v>138096.72999999998</v>
      </c>
      <c r="Z63" s="185">
        <v>0</v>
      </c>
      <c r="AA63" s="185">
        <v>0</v>
      </c>
      <c r="AB63" s="185">
        <v>0</v>
      </c>
      <c r="AC63" s="185">
        <v>0</v>
      </c>
      <c r="AD63" s="185">
        <v>0</v>
      </c>
      <c r="AE63" s="185"/>
      <c r="AF63" s="185"/>
      <c r="AG63" s="185">
        <v>660703.63</v>
      </c>
      <c r="AH63" s="185"/>
      <c r="AI63" s="185"/>
      <c r="AJ63" s="185">
        <v>1695804.94</v>
      </c>
      <c r="AK63" s="185"/>
      <c r="AL63" s="185"/>
      <c r="AM63" s="185"/>
      <c r="AN63" s="185"/>
      <c r="AO63" s="185"/>
      <c r="AP63" s="185">
        <v>4827935.16</v>
      </c>
      <c r="AQ63" s="185"/>
      <c r="AR63" s="185">
        <f>5319.93+34920</f>
        <v>40239.93</v>
      </c>
      <c r="AS63" s="185"/>
      <c r="AT63" s="185"/>
      <c r="AU63" s="185"/>
      <c r="AV63" s="185"/>
      <c r="AW63" s="185">
        <v>660691.63</v>
      </c>
      <c r="AX63" s="185"/>
      <c r="AY63" s="185"/>
      <c r="AZ63" s="185"/>
      <c r="BA63" s="185"/>
      <c r="BB63" s="185"/>
      <c r="BC63" s="185"/>
      <c r="BD63" s="185"/>
      <c r="BE63" s="185"/>
      <c r="BF63" s="185"/>
      <c r="BG63" s="185">
        <v>3886</v>
      </c>
      <c r="BH63" s="185">
        <v>0</v>
      </c>
      <c r="BI63" s="185">
        <v>675481.82</v>
      </c>
      <c r="BJ63" s="185">
        <v>81218.63</v>
      </c>
      <c r="BK63" s="185">
        <v>328947.5</v>
      </c>
      <c r="BL63" s="185">
        <v>1824.19</v>
      </c>
      <c r="BM63" s="185">
        <v>60000</v>
      </c>
      <c r="BN63" s="185">
        <v>2219577.4700000002</v>
      </c>
      <c r="BO63" s="185">
        <v>401.01</v>
      </c>
      <c r="BP63" s="185">
        <v>397319.63</v>
      </c>
      <c r="BQ63" s="185">
        <v>0</v>
      </c>
      <c r="BR63" s="185">
        <f>849634.13+279448.52</f>
        <v>1129082.6499999999</v>
      </c>
      <c r="BS63" s="185">
        <v>0</v>
      </c>
      <c r="BT63" s="185">
        <v>0</v>
      </c>
      <c r="BU63" s="185">
        <v>0</v>
      </c>
      <c r="BV63" s="185">
        <v>0</v>
      </c>
      <c r="BW63" s="185">
        <v>1767208.38</v>
      </c>
      <c r="BX63" s="185">
        <v>479352.18000000005</v>
      </c>
      <c r="BY63" s="185">
        <v>40000</v>
      </c>
      <c r="BZ63" s="185">
        <v>0</v>
      </c>
      <c r="CA63" s="185">
        <v>0</v>
      </c>
      <c r="CB63" s="185">
        <v>412.5</v>
      </c>
      <c r="CC63" s="185">
        <f>777129.77-241000</f>
        <v>536129.77</v>
      </c>
      <c r="CD63" s="305" t="s">
        <v>221</v>
      </c>
      <c r="CE63" s="295">
        <f t="shared" si="0"/>
        <v>18767519.540000003</v>
      </c>
      <c r="CF63" s="2"/>
    </row>
    <row r="64" spans="1:84" ht="12.65" customHeight="1" x14ac:dyDescent="0.35">
      <c r="A64" s="302" t="s">
        <v>237</v>
      </c>
      <c r="B64" s="295"/>
      <c r="C64" s="300">
        <v>1542862.5699999998</v>
      </c>
      <c r="D64" s="300">
        <v>624555.95000000019</v>
      </c>
      <c r="E64" s="185">
        <v>1805061.5499999996</v>
      </c>
      <c r="F64" s="185">
        <v>24938.940000000002</v>
      </c>
      <c r="G64" s="300">
        <v>82098.36</v>
      </c>
      <c r="H64" s="300"/>
      <c r="I64" s="185"/>
      <c r="J64" s="185"/>
      <c r="K64" s="185"/>
      <c r="L64" s="185"/>
      <c r="M64" s="300">
        <f>108690.95+28897.64</f>
        <v>137588.59</v>
      </c>
      <c r="N64" s="300">
        <v>14873.130000000001</v>
      </c>
      <c r="O64" s="300">
        <v>1788199.2399999998</v>
      </c>
      <c r="P64" s="185">
        <v>36496755.900000006</v>
      </c>
      <c r="Q64" s="185">
        <v>314913.45</v>
      </c>
      <c r="R64" s="185">
        <v>417629.8899999999</v>
      </c>
      <c r="S64" s="185">
        <v>709108.76</v>
      </c>
      <c r="T64" s="185">
        <v>0</v>
      </c>
      <c r="U64" s="185">
        <v>4939987.5400000028</v>
      </c>
      <c r="V64" s="185">
        <v>26820.560000000001</v>
      </c>
      <c r="W64" s="185">
        <v>185087.38999999998</v>
      </c>
      <c r="X64" s="185">
        <v>371836.5799999999</v>
      </c>
      <c r="Y64" s="185">
        <v>6030148.7500000009</v>
      </c>
      <c r="Z64" s="185">
        <v>518119.09999999992</v>
      </c>
      <c r="AA64" s="185">
        <v>448640.95999999996</v>
      </c>
      <c r="AB64" s="185">
        <v>17314356.470000003</v>
      </c>
      <c r="AC64" s="185">
        <v>398576.14999999997</v>
      </c>
      <c r="AD64" s="185">
        <v>0</v>
      </c>
      <c r="AE64" s="185">
        <v>72766.200000000012</v>
      </c>
      <c r="AF64" s="185"/>
      <c r="AG64" s="185">
        <v>1499175.77</v>
      </c>
      <c r="AH64" s="185"/>
      <c r="AI64" s="185"/>
      <c r="AJ64" s="185">
        <v>5053279.5699999994</v>
      </c>
      <c r="AK64" s="185"/>
      <c r="AL64" s="185"/>
      <c r="AM64" s="185"/>
      <c r="AN64" s="185"/>
      <c r="AO64" s="185"/>
      <c r="AP64" s="185">
        <v>5393142.7100000009</v>
      </c>
      <c r="AQ64" s="185"/>
      <c r="AR64" s="185">
        <f>3239390.06+260078.73</f>
        <v>3499468.79</v>
      </c>
      <c r="AS64" s="185"/>
      <c r="AT64" s="185"/>
      <c r="AU64" s="185"/>
      <c r="AV64" s="185">
        <v>6246386.7800000021</v>
      </c>
      <c r="AW64" s="185">
        <v>38566.839999999997</v>
      </c>
      <c r="AX64" s="185">
        <v>378796.38000000006</v>
      </c>
      <c r="AY64" s="185"/>
      <c r="AZ64" s="185">
        <v>1647784.9199999995</v>
      </c>
      <c r="BA64" s="185">
        <v>20446.11</v>
      </c>
      <c r="BB64" s="185">
        <v>0</v>
      </c>
      <c r="BC64" s="185">
        <v>652.00000000000011</v>
      </c>
      <c r="BD64" s="185">
        <v>34754.32</v>
      </c>
      <c r="BE64" s="185">
        <v>754459.85999999987</v>
      </c>
      <c r="BF64" s="185">
        <v>343736.02999999991</v>
      </c>
      <c r="BG64" s="185">
        <v>133319.34</v>
      </c>
      <c r="BH64" s="185">
        <v>1220773.57</v>
      </c>
      <c r="BI64" s="185">
        <v>4404886.0100000007</v>
      </c>
      <c r="BJ64" s="185">
        <v>14357.029999999999</v>
      </c>
      <c r="BK64" s="185">
        <v>80023.839999999982</v>
      </c>
      <c r="BL64" s="185">
        <v>42535.19</v>
      </c>
      <c r="BM64" s="185">
        <v>29573.079999999998</v>
      </c>
      <c r="BN64" s="185">
        <v>21448.41</v>
      </c>
      <c r="BO64" s="185">
        <v>86518.18</v>
      </c>
      <c r="BP64" s="185">
        <v>215531.91999999998</v>
      </c>
      <c r="BQ64" s="185">
        <v>4351.68</v>
      </c>
      <c r="BR64" s="185">
        <v>31985.730000000003</v>
      </c>
      <c r="BS64" s="185">
        <v>272119.10000000003</v>
      </c>
      <c r="BT64" s="185">
        <v>586.82000000000005</v>
      </c>
      <c r="BU64" s="185">
        <v>0</v>
      </c>
      <c r="BV64" s="185">
        <v>12262.25</v>
      </c>
      <c r="BW64" s="185">
        <v>9672.5700000000015</v>
      </c>
      <c r="BX64" s="185">
        <v>31145.279999999999</v>
      </c>
      <c r="BY64" s="185">
        <v>6370.44</v>
      </c>
      <c r="BZ64" s="185">
        <v>14011.289999999997</v>
      </c>
      <c r="CA64" s="185">
        <v>223537.18999999997</v>
      </c>
      <c r="CB64" s="185">
        <v>58013.75</v>
      </c>
      <c r="CC64" s="185">
        <f>73698.23-2046753.09</f>
        <v>-1973054.86</v>
      </c>
      <c r="CD64" s="305" t="s">
        <v>221</v>
      </c>
      <c r="CE64" s="295">
        <f t="shared" si="0"/>
        <v>104115543.92000002</v>
      </c>
      <c r="CF64" s="2"/>
    </row>
    <row r="65" spans="1:84" ht="12.65" customHeight="1" x14ac:dyDescent="0.35">
      <c r="A65" s="302" t="s">
        <v>238</v>
      </c>
      <c r="B65" s="295"/>
      <c r="C65" s="300">
        <v>5294.46</v>
      </c>
      <c r="D65" s="300"/>
      <c r="E65" s="300"/>
      <c r="F65" s="300"/>
      <c r="G65" s="300"/>
      <c r="H65" s="300"/>
      <c r="I65" s="185"/>
      <c r="J65" s="300"/>
      <c r="K65" s="185"/>
      <c r="L65" s="185"/>
      <c r="M65" s="300">
        <f>2621.63+5065.66</f>
        <v>7687.29</v>
      </c>
      <c r="N65" s="300">
        <v>22652.57</v>
      </c>
      <c r="O65" s="300">
        <v>741.06</v>
      </c>
      <c r="P65" s="185">
        <v>0</v>
      </c>
      <c r="Q65" s="185">
        <v>652.04</v>
      </c>
      <c r="R65" s="185">
        <v>0</v>
      </c>
      <c r="S65" s="185">
        <v>0</v>
      </c>
      <c r="T65" s="185">
        <v>0</v>
      </c>
      <c r="U65" s="185">
        <v>219.35000000000002</v>
      </c>
      <c r="V65" s="185">
        <v>0</v>
      </c>
      <c r="W65" s="185">
        <v>0</v>
      </c>
      <c r="X65" s="185">
        <v>0</v>
      </c>
      <c r="Y65" s="185">
        <v>15127.9</v>
      </c>
      <c r="Z65" s="185">
        <v>2516.59</v>
      </c>
      <c r="AA65" s="185">
        <v>0</v>
      </c>
      <c r="AB65" s="185">
        <v>0</v>
      </c>
      <c r="AC65" s="185">
        <v>0</v>
      </c>
      <c r="AD65" s="185">
        <v>0</v>
      </c>
      <c r="AE65" s="185">
        <v>4836.9399999999996</v>
      </c>
      <c r="AF65" s="185"/>
      <c r="AG65" s="185">
        <v>9629.65</v>
      </c>
      <c r="AH65" s="185"/>
      <c r="AI65" s="185"/>
      <c r="AJ65" s="185">
        <v>82659.599999999991</v>
      </c>
      <c r="AK65" s="185"/>
      <c r="AL65" s="185"/>
      <c r="AM65" s="185"/>
      <c r="AN65" s="185"/>
      <c r="AO65" s="185"/>
      <c r="AP65" s="185">
        <v>173866.24000000002</v>
      </c>
      <c r="AQ65" s="185"/>
      <c r="AR65" s="185">
        <f>243118.17+45590.97</f>
        <v>288709.14</v>
      </c>
      <c r="AS65" s="185"/>
      <c r="AT65" s="185"/>
      <c r="AU65" s="185"/>
      <c r="AV65" s="185">
        <v>5106.08</v>
      </c>
      <c r="AW65" s="185">
        <v>165.18</v>
      </c>
      <c r="AX65" s="185">
        <v>7181.16</v>
      </c>
      <c r="AY65" s="185"/>
      <c r="AZ65" s="185"/>
      <c r="BA65" s="185"/>
      <c r="BB65" s="185"/>
      <c r="BC65" s="185"/>
      <c r="BD65" s="185">
        <v>334.37</v>
      </c>
      <c r="BE65" s="185">
        <v>3913307.6200000006</v>
      </c>
      <c r="BF65" s="185">
        <v>474052.85</v>
      </c>
      <c r="BG65" s="185">
        <v>1179991.72</v>
      </c>
      <c r="BH65" s="185">
        <v>4139.07</v>
      </c>
      <c r="BI65" s="185">
        <v>1487.44</v>
      </c>
      <c r="BJ65" s="185">
        <v>0</v>
      </c>
      <c r="BK65" s="185">
        <v>1012.55</v>
      </c>
      <c r="BL65" s="185">
        <v>670.9</v>
      </c>
      <c r="BM65" s="185">
        <v>0</v>
      </c>
      <c r="BN65" s="185">
        <v>0</v>
      </c>
      <c r="BO65" s="185">
        <v>0</v>
      </c>
      <c r="BP65" s="185">
        <v>403.32</v>
      </c>
      <c r="BQ65" s="185">
        <v>0</v>
      </c>
      <c r="BR65" s="185">
        <v>0</v>
      </c>
      <c r="BS65" s="185">
        <v>1171.5</v>
      </c>
      <c r="BT65" s="185">
        <v>3261.75</v>
      </c>
      <c r="BU65" s="185">
        <v>0</v>
      </c>
      <c r="BV65" s="185">
        <v>0</v>
      </c>
      <c r="BW65" s="185">
        <v>0</v>
      </c>
      <c r="BX65" s="185">
        <v>2404.96</v>
      </c>
      <c r="BY65" s="185">
        <v>1694.9</v>
      </c>
      <c r="BZ65" s="185">
        <v>0</v>
      </c>
      <c r="CA65" s="185">
        <v>0</v>
      </c>
      <c r="CB65" s="185">
        <v>15577.630000000001</v>
      </c>
      <c r="CC65" s="185">
        <v>28125.5</v>
      </c>
      <c r="CD65" s="305" t="s">
        <v>221</v>
      </c>
      <c r="CE65" s="295">
        <f t="shared" si="0"/>
        <v>6254681.330000001</v>
      </c>
      <c r="CF65" s="2"/>
    </row>
    <row r="66" spans="1:84" ht="12.65" customHeight="1" x14ac:dyDescent="0.35">
      <c r="A66" s="302" t="s">
        <v>239</v>
      </c>
      <c r="B66" s="295"/>
      <c r="C66" s="300">
        <v>464655.01</v>
      </c>
      <c r="D66" s="300">
        <v>287358.95</v>
      </c>
      <c r="E66" s="300">
        <v>845728.20000000007</v>
      </c>
      <c r="F66" s="300">
        <v>1523.5100000000002</v>
      </c>
      <c r="G66" s="300">
        <v>27044.720000000001</v>
      </c>
      <c r="H66" s="300"/>
      <c r="I66" s="300"/>
      <c r="J66" s="300"/>
      <c r="K66" s="185"/>
      <c r="L66" s="185"/>
      <c r="M66" s="300">
        <f>116501.05+8912.51</f>
        <v>125413.56</v>
      </c>
      <c r="N66" s="300">
        <v>3255.09</v>
      </c>
      <c r="O66" s="185">
        <v>235964.86000000002</v>
      </c>
      <c r="P66" s="185">
        <v>2038286.4500000002</v>
      </c>
      <c r="Q66" s="185">
        <v>68590.41</v>
      </c>
      <c r="R66" s="185">
        <v>78807.600000000006</v>
      </c>
      <c r="S66" s="300">
        <v>254199.97</v>
      </c>
      <c r="T66" s="300">
        <v>0</v>
      </c>
      <c r="U66" s="185">
        <v>5583381.2599999988</v>
      </c>
      <c r="V66" s="185">
        <v>0</v>
      </c>
      <c r="W66" s="185">
        <v>143748.03000000003</v>
      </c>
      <c r="X66" s="185">
        <v>475511.88000000006</v>
      </c>
      <c r="Y66" s="185">
        <v>3993265.37</v>
      </c>
      <c r="Z66" s="185">
        <v>1501287.0600000003</v>
      </c>
      <c r="AA66" s="185">
        <v>99681.849999999991</v>
      </c>
      <c r="AB66" s="185">
        <v>241603.43000000002</v>
      </c>
      <c r="AC66" s="185">
        <v>7662.7699999999986</v>
      </c>
      <c r="AD66" s="185">
        <v>0</v>
      </c>
      <c r="AE66" s="185">
        <v>56057.439999999995</v>
      </c>
      <c r="AF66" s="185"/>
      <c r="AG66" s="185">
        <v>590704.44000000018</v>
      </c>
      <c r="AH66" s="185"/>
      <c r="AI66" s="185"/>
      <c r="AJ66" s="185">
        <v>1065091.3</v>
      </c>
      <c r="AK66" s="185"/>
      <c r="AL66" s="185"/>
      <c r="AM66" s="185"/>
      <c r="AN66" s="185"/>
      <c r="AO66" s="185"/>
      <c r="AP66" s="185">
        <v>1522406.7099999997</v>
      </c>
      <c r="AQ66" s="185"/>
      <c r="AR66" s="185">
        <f>3168659.14+80212.59</f>
        <v>3248871.73</v>
      </c>
      <c r="AS66" s="185"/>
      <c r="AT66" s="185"/>
      <c r="AU66" s="185"/>
      <c r="AV66" s="185">
        <v>328818.33999999997</v>
      </c>
      <c r="AW66" s="185">
        <v>82641.749999999985</v>
      </c>
      <c r="AX66" s="185">
        <v>2793883.46</v>
      </c>
      <c r="AY66" s="185"/>
      <c r="AZ66" s="185">
        <v>171410.19000000009</v>
      </c>
      <c r="BA66" s="185">
        <v>1349.4</v>
      </c>
      <c r="BB66" s="185">
        <v>227839.55</v>
      </c>
      <c r="BC66" s="185">
        <v>51.91</v>
      </c>
      <c r="BD66" s="185">
        <v>15678.720000000001</v>
      </c>
      <c r="BE66" s="185">
        <v>2709894.24</v>
      </c>
      <c r="BF66" s="185">
        <v>-940340.47</v>
      </c>
      <c r="BG66" s="185">
        <v>202479.85</v>
      </c>
      <c r="BH66" s="185">
        <v>12170934.75</v>
      </c>
      <c r="BI66" s="185">
        <v>1983108.2299999997</v>
      </c>
      <c r="BJ66" s="185">
        <v>69969.56</v>
      </c>
      <c r="BK66" s="185">
        <v>2863308.17</v>
      </c>
      <c r="BL66" s="185">
        <v>493849.47</v>
      </c>
      <c r="BM66" s="185">
        <v>665578.74999999988</v>
      </c>
      <c r="BN66" s="185">
        <v>354412.33</v>
      </c>
      <c r="BO66" s="185">
        <v>43244.39</v>
      </c>
      <c r="BP66" s="185">
        <v>3961781.4999999995</v>
      </c>
      <c r="BQ66" s="185">
        <v>5340.2900000000009</v>
      </c>
      <c r="BR66" s="185">
        <v>600585.81999999995</v>
      </c>
      <c r="BS66" s="185">
        <v>10834.71</v>
      </c>
      <c r="BT66" s="185">
        <v>502.13</v>
      </c>
      <c r="BU66" s="185">
        <v>0</v>
      </c>
      <c r="BV66" s="185">
        <v>1330802.8400000001</v>
      </c>
      <c r="BW66" s="185">
        <v>301652.53000000003</v>
      </c>
      <c r="BX66" s="185">
        <v>344570.6</v>
      </c>
      <c r="BY66" s="185">
        <v>24414.03</v>
      </c>
      <c r="BZ66" s="185">
        <v>630.70000000000005</v>
      </c>
      <c r="CA66" s="185">
        <v>229508.59</v>
      </c>
      <c r="CB66" s="185">
        <v>124008.62999999999</v>
      </c>
      <c r="CC66" s="185">
        <f>4466317.73+182920.63+203046.2+5739123.06</f>
        <v>10591407.620000001</v>
      </c>
      <c r="CD66" s="305" t="s">
        <v>221</v>
      </c>
      <c r="CE66" s="295">
        <f t="shared" si="0"/>
        <v>64724254.180000022</v>
      </c>
      <c r="CF66" s="2"/>
    </row>
    <row r="67" spans="1:84" ht="12.65" customHeight="1" x14ac:dyDescent="0.35">
      <c r="A67" s="302" t="s">
        <v>6</v>
      </c>
      <c r="B67" s="295"/>
      <c r="C67" s="295">
        <f>ROUND(C51+C52,0)</f>
        <v>368069</v>
      </c>
      <c r="D67" s="295">
        <f>ROUND(D51+D52,0)</f>
        <v>1567884</v>
      </c>
      <c r="E67" s="295">
        <f t="shared" ref="E67:BP67" si="3">ROUND(E51+E52,0)</f>
        <v>2298276</v>
      </c>
      <c r="F67" s="295">
        <f t="shared" si="3"/>
        <v>0</v>
      </c>
      <c r="G67" s="295">
        <f t="shared" si="3"/>
        <v>101731</v>
      </c>
      <c r="H67" s="295">
        <f t="shared" si="3"/>
        <v>0</v>
      </c>
      <c r="I67" s="295">
        <f t="shared" si="3"/>
        <v>0</v>
      </c>
      <c r="J67" s="295">
        <f>ROUND(J51+J52,0)</f>
        <v>0</v>
      </c>
      <c r="K67" s="295">
        <f t="shared" si="3"/>
        <v>0</v>
      </c>
      <c r="L67" s="295">
        <f t="shared" si="3"/>
        <v>0</v>
      </c>
      <c r="M67" s="295">
        <f t="shared" si="3"/>
        <v>114442</v>
      </c>
      <c r="N67" s="295">
        <f t="shared" si="3"/>
        <v>5655</v>
      </c>
      <c r="O67" s="295">
        <f t="shared" si="3"/>
        <v>770240</v>
      </c>
      <c r="P67" s="295">
        <f t="shared" si="3"/>
        <v>2677040</v>
      </c>
      <c r="Q67" s="295">
        <f t="shared" si="3"/>
        <v>94819</v>
      </c>
      <c r="R67" s="295">
        <f t="shared" si="3"/>
        <v>134227</v>
      </c>
      <c r="S67" s="295">
        <f t="shared" si="3"/>
        <v>335393</v>
      </c>
      <c r="T67" s="295">
        <f t="shared" si="3"/>
        <v>0</v>
      </c>
      <c r="U67" s="295">
        <f t="shared" si="3"/>
        <v>415415</v>
      </c>
      <c r="V67" s="295">
        <f t="shared" si="3"/>
        <v>8294</v>
      </c>
      <c r="W67" s="295">
        <f t="shared" si="3"/>
        <v>221523</v>
      </c>
      <c r="X67" s="295">
        <f t="shared" si="3"/>
        <v>121137</v>
      </c>
      <c r="Y67" s="295">
        <f t="shared" si="3"/>
        <v>2982585</v>
      </c>
      <c r="Z67" s="295">
        <f t="shared" si="3"/>
        <v>1241999</v>
      </c>
      <c r="AA67" s="295">
        <f t="shared" si="3"/>
        <v>164491</v>
      </c>
      <c r="AB67" s="295">
        <f t="shared" si="3"/>
        <v>223023</v>
      </c>
      <c r="AC67" s="295">
        <f t="shared" si="3"/>
        <v>78846</v>
      </c>
      <c r="AD67" s="295">
        <f t="shared" si="3"/>
        <v>0</v>
      </c>
      <c r="AE67" s="295">
        <f t="shared" si="3"/>
        <v>190643</v>
      </c>
      <c r="AF67" s="295">
        <f t="shared" si="3"/>
        <v>0</v>
      </c>
      <c r="AG67" s="295">
        <f t="shared" si="3"/>
        <v>1055602</v>
      </c>
      <c r="AH67" s="295">
        <f t="shared" si="3"/>
        <v>0</v>
      </c>
      <c r="AI67" s="295">
        <f t="shared" si="3"/>
        <v>0</v>
      </c>
      <c r="AJ67" s="295">
        <f t="shared" si="3"/>
        <v>3170361</v>
      </c>
      <c r="AK67" s="295">
        <f t="shared" si="3"/>
        <v>0</v>
      </c>
      <c r="AL67" s="295">
        <f t="shared" si="3"/>
        <v>0</v>
      </c>
      <c r="AM67" s="295">
        <f t="shared" si="3"/>
        <v>0</v>
      </c>
      <c r="AN67" s="295">
        <f t="shared" si="3"/>
        <v>0</v>
      </c>
      <c r="AO67" s="295">
        <f t="shared" si="3"/>
        <v>0</v>
      </c>
      <c r="AP67" s="295">
        <f t="shared" si="3"/>
        <v>3097009</v>
      </c>
      <c r="AQ67" s="295">
        <f t="shared" si="3"/>
        <v>0</v>
      </c>
      <c r="AR67" s="295">
        <f t="shared" si="3"/>
        <v>97941</v>
      </c>
      <c r="AS67" s="295">
        <f t="shared" si="3"/>
        <v>0</v>
      </c>
      <c r="AT67" s="295">
        <f t="shared" si="3"/>
        <v>0</v>
      </c>
      <c r="AU67" s="295">
        <f t="shared" si="3"/>
        <v>0</v>
      </c>
      <c r="AV67" s="295">
        <f t="shared" si="3"/>
        <v>228823</v>
      </c>
      <c r="AW67" s="295">
        <f t="shared" si="3"/>
        <v>26637</v>
      </c>
      <c r="AX67" s="295">
        <f t="shared" si="3"/>
        <v>0</v>
      </c>
      <c r="AY67" s="295">
        <f t="shared" si="3"/>
        <v>0</v>
      </c>
      <c r="AZ67" s="295">
        <f>ROUND(AZ51+AZ52,0)</f>
        <v>777133</v>
      </c>
      <c r="BA67" s="295">
        <f>ROUND(BA51+BA52,0)</f>
        <v>7348</v>
      </c>
      <c r="BB67" s="295">
        <f t="shared" si="3"/>
        <v>0</v>
      </c>
      <c r="BC67" s="295">
        <f t="shared" si="3"/>
        <v>16371</v>
      </c>
      <c r="BD67" s="295">
        <f t="shared" si="3"/>
        <v>75348</v>
      </c>
      <c r="BE67" s="295">
        <f t="shared" si="3"/>
        <v>6227962</v>
      </c>
      <c r="BF67" s="295">
        <f t="shared" si="3"/>
        <v>61561</v>
      </c>
      <c r="BG67" s="295">
        <f t="shared" si="3"/>
        <v>25438</v>
      </c>
      <c r="BH67" s="295">
        <f t="shared" si="3"/>
        <v>5630224</v>
      </c>
      <c r="BI67" s="295">
        <f t="shared" si="3"/>
        <v>188525</v>
      </c>
      <c r="BJ67" s="295">
        <f t="shared" si="3"/>
        <v>20640</v>
      </c>
      <c r="BK67" s="295">
        <f t="shared" si="3"/>
        <v>59335</v>
      </c>
      <c r="BL67" s="295">
        <f t="shared" si="3"/>
        <v>28351</v>
      </c>
      <c r="BM67" s="295">
        <f t="shared" si="3"/>
        <v>18004</v>
      </c>
      <c r="BN67" s="295">
        <f t="shared" si="3"/>
        <v>228752</v>
      </c>
      <c r="BO67" s="295">
        <f t="shared" si="3"/>
        <v>46835</v>
      </c>
      <c r="BP67" s="295">
        <f t="shared" si="3"/>
        <v>75168</v>
      </c>
      <c r="BQ67" s="295">
        <f t="shared" ref="BQ67:CC67" si="4">ROUND(BQ51+BQ52,0)</f>
        <v>4095</v>
      </c>
      <c r="BR67" s="295">
        <f t="shared" si="4"/>
        <v>11447</v>
      </c>
      <c r="BS67" s="295">
        <f t="shared" si="4"/>
        <v>16972</v>
      </c>
      <c r="BT67" s="295">
        <f t="shared" si="4"/>
        <v>20494</v>
      </c>
      <c r="BU67" s="295">
        <f t="shared" si="4"/>
        <v>0</v>
      </c>
      <c r="BV67" s="295">
        <f t="shared" si="4"/>
        <v>69022</v>
      </c>
      <c r="BW67" s="295">
        <f t="shared" si="4"/>
        <v>23861</v>
      </c>
      <c r="BX67" s="295">
        <f t="shared" si="4"/>
        <v>16059</v>
      </c>
      <c r="BY67" s="295">
        <f t="shared" si="4"/>
        <v>269177</v>
      </c>
      <c r="BZ67" s="295">
        <f t="shared" si="4"/>
        <v>10052</v>
      </c>
      <c r="CA67" s="295">
        <f t="shared" si="4"/>
        <v>5112</v>
      </c>
      <c r="CB67" s="295">
        <f t="shared" si="4"/>
        <v>34354</v>
      </c>
      <c r="CC67" s="295">
        <f t="shared" si="4"/>
        <v>68397</v>
      </c>
      <c r="CD67" s="305" t="s">
        <v>221</v>
      </c>
      <c r="CE67" s="295">
        <f t="shared" si="0"/>
        <v>35828142</v>
      </c>
      <c r="CF67" s="2"/>
    </row>
    <row r="68" spans="1:84" ht="12.65" customHeight="1" x14ac:dyDescent="0.35">
      <c r="A68" s="302" t="s">
        <v>240</v>
      </c>
      <c r="B68" s="295"/>
      <c r="C68" s="300"/>
      <c r="D68" s="300"/>
      <c r="E68" s="300"/>
      <c r="F68" s="300"/>
      <c r="G68" s="300"/>
      <c r="H68" s="300"/>
      <c r="I68" s="300"/>
      <c r="J68" s="300"/>
      <c r="K68" s="185"/>
      <c r="L68" s="185"/>
      <c r="M68" s="300">
        <f>13388.94+58802.81</f>
        <v>72191.75</v>
      </c>
      <c r="N68" s="300"/>
      <c r="O68" s="300"/>
      <c r="P68" s="185">
        <v>81075.240000000005</v>
      </c>
      <c r="Q68" s="185">
        <v>648.77</v>
      </c>
      <c r="R68" s="185">
        <v>0</v>
      </c>
      <c r="S68" s="185">
        <v>416.93</v>
      </c>
      <c r="T68" s="185">
        <v>0</v>
      </c>
      <c r="U68" s="185">
        <v>10067.86</v>
      </c>
      <c r="V68" s="185">
        <v>0</v>
      </c>
      <c r="W68" s="185">
        <v>0</v>
      </c>
      <c r="X68" s="185">
        <v>0</v>
      </c>
      <c r="Y68" s="185">
        <v>446003.63999999996</v>
      </c>
      <c r="Z68" s="185">
        <v>0</v>
      </c>
      <c r="AA68" s="185">
        <v>0</v>
      </c>
      <c r="AB68" s="185">
        <v>0</v>
      </c>
      <c r="AC68" s="185">
        <v>473.98</v>
      </c>
      <c r="AD68" s="185">
        <v>0</v>
      </c>
      <c r="AE68" s="185">
        <v>153572.42000000001</v>
      </c>
      <c r="AF68" s="308"/>
      <c r="AG68" s="185">
        <v>599098.54</v>
      </c>
      <c r="AH68" s="185"/>
      <c r="AI68" s="185"/>
      <c r="AJ68" s="185">
        <v>136052.95000000001</v>
      </c>
      <c r="AK68" s="185"/>
      <c r="AL68" s="185"/>
      <c r="AM68" s="185"/>
      <c r="AN68" s="185"/>
      <c r="AO68" s="185"/>
      <c r="AP68" s="185">
        <v>6244110.3200000003</v>
      </c>
      <c r="AQ68" s="185"/>
      <c r="AR68" s="185">
        <f>895564.06+529225.27</f>
        <v>1424789.33</v>
      </c>
      <c r="AS68" s="185"/>
      <c r="AT68" s="185"/>
      <c r="AU68" s="185"/>
      <c r="AV68" s="185"/>
      <c r="AW68" s="185"/>
      <c r="AX68" s="185">
        <v>1829844.69</v>
      </c>
      <c r="AY68" s="185"/>
      <c r="AZ68" s="185">
        <v>8446.81</v>
      </c>
      <c r="BA68" s="185">
        <v>0</v>
      </c>
      <c r="BB68" s="185">
        <v>0</v>
      </c>
      <c r="BC68" s="185">
        <v>0</v>
      </c>
      <c r="BD68" s="185">
        <v>0</v>
      </c>
      <c r="BE68" s="185">
        <v>2955908.89</v>
      </c>
      <c r="BF68" s="185">
        <v>0</v>
      </c>
      <c r="BG68" s="185">
        <v>9527.4699999999993</v>
      </c>
      <c r="BH68" s="185">
        <v>0</v>
      </c>
      <c r="BI68" s="185">
        <v>1250676.6499999999</v>
      </c>
      <c r="BJ68" s="185">
        <v>0</v>
      </c>
      <c r="BK68" s="185">
        <v>24184.39</v>
      </c>
      <c r="BL68" s="185">
        <v>0</v>
      </c>
      <c r="BM68" s="185">
        <v>0</v>
      </c>
      <c r="BN68" s="185">
        <v>0</v>
      </c>
      <c r="BO68" s="185">
        <v>0</v>
      </c>
      <c r="BP68" s="185">
        <v>0</v>
      </c>
      <c r="BQ68" s="185">
        <v>0</v>
      </c>
      <c r="BR68" s="185">
        <v>150</v>
      </c>
      <c r="BS68" s="185">
        <v>0</v>
      </c>
      <c r="BT68" s="185">
        <v>0</v>
      </c>
      <c r="BU68" s="185">
        <v>0</v>
      </c>
      <c r="BV68" s="185">
        <v>69016.39</v>
      </c>
      <c r="BW68" s="185">
        <v>0</v>
      </c>
      <c r="BX68" s="185">
        <v>0</v>
      </c>
      <c r="BY68" s="185">
        <v>0</v>
      </c>
      <c r="BZ68" s="185">
        <v>0</v>
      </c>
      <c r="CA68" s="185">
        <v>5500</v>
      </c>
      <c r="CB68" s="185">
        <v>141178.56</v>
      </c>
      <c r="CC68" s="185">
        <v>1170</v>
      </c>
      <c r="CD68" s="305" t="s">
        <v>221</v>
      </c>
      <c r="CE68" s="295">
        <f t="shared" si="0"/>
        <v>15464105.580000004</v>
      </c>
      <c r="CF68" s="2"/>
    </row>
    <row r="69" spans="1:84" ht="12.65" customHeight="1" x14ac:dyDescent="0.35">
      <c r="A69" s="302" t="s">
        <v>241</v>
      </c>
      <c r="B69" s="295"/>
      <c r="C69" s="300">
        <v>37148.99</v>
      </c>
      <c r="D69" s="300">
        <v>2380</v>
      </c>
      <c r="E69" s="185">
        <v>5683.9400000000005</v>
      </c>
      <c r="F69" s="185">
        <v>40291.07</v>
      </c>
      <c r="G69" s="300">
        <v>10122</v>
      </c>
      <c r="H69" s="300"/>
      <c r="I69" s="185"/>
      <c r="J69" s="185"/>
      <c r="K69" s="185"/>
      <c r="L69" s="185"/>
      <c r="M69" s="300">
        <f>36706.29+8701.34</f>
        <v>45407.630000000005</v>
      </c>
      <c r="N69" s="300">
        <v>139106.62999999998</v>
      </c>
      <c r="O69" s="300">
        <v>15721.03</v>
      </c>
      <c r="P69" s="185">
        <v>15673.200000000003</v>
      </c>
      <c r="Q69" s="185">
        <v>5461.5599999999995</v>
      </c>
      <c r="R69" s="224">
        <v>0</v>
      </c>
      <c r="S69" s="185">
        <v>125</v>
      </c>
      <c r="T69" s="300">
        <v>0</v>
      </c>
      <c r="U69" s="185">
        <v>37002.99</v>
      </c>
      <c r="V69" s="185">
        <v>0</v>
      </c>
      <c r="W69" s="300">
        <v>1476.23</v>
      </c>
      <c r="X69" s="185">
        <v>3180.9</v>
      </c>
      <c r="Y69" s="185">
        <v>58660.400000000009</v>
      </c>
      <c r="Z69" s="185">
        <v>21101.65</v>
      </c>
      <c r="AA69" s="185">
        <v>9863</v>
      </c>
      <c r="AB69" s="185">
        <v>35023.440000000002</v>
      </c>
      <c r="AC69" s="185">
        <v>2358.0500000000002</v>
      </c>
      <c r="AD69" s="185">
        <v>0</v>
      </c>
      <c r="AE69" s="185">
        <v>11190.2</v>
      </c>
      <c r="AF69" s="308"/>
      <c r="AG69" s="185">
        <v>15739.159999999998</v>
      </c>
      <c r="AH69" s="185"/>
      <c r="AI69" s="185"/>
      <c r="AJ69" s="185">
        <v>1116749.6399999999</v>
      </c>
      <c r="AK69" s="185"/>
      <c r="AL69" s="185"/>
      <c r="AM69" s="185"/>
      <c r="AN69" s="185"/>
      <c r="AO69" s="300"/>
      <c r="AP69" s="185">
        <v>1004362.5999999999</v>
      </c>
      <c r="AQ69" s="300"/>
      <c r="AR69" s="300">
        <f>1212023.37+78312.06</f>
        <v>1290335.4300000002</v>
      </c>
      <c r="AS69" s="300"/>
      <c r="AT69" s="300"/>
      <c r="AU69" s="185"/>
      <c r="AV69" s="185">
        <v>14217.83</v>
      </c>
      <c r="AW69" s="185">
        <v>81451.45</v>
      </c>
      <c r="AX69" s="185">
        <v>19066.3</v>
      </c>
      <c r="AY69" s="185"/>
      <c r="AZ69" s="185">
        <v>644.29999999999995</v>
      </c>
      <c r="BA69" s="185">
        <v>0</v>
      </c>
      <c r="BB69" s="185">
        <v>0</v>
      </c>
      <c r="BC69" s="185">
        <v>360.59</v>
      </c>
      <c r="BD69" s="185">
        <v>231474</v>
      </c>
      <c r="BE69" s="185">
        <v>191917.08</v>
      </c>
      <c r="BF69" s="185">
        <v>385</v>
      </c>
      <c r="BG69" s="185">
        <v>529.88</v>
      </c>
      <c r="BH69" s="224">
        <v>44888.58</v>
      </c>
      <c r="BI69" s="185">
        <v>13505.57</v>
      </c>
      <c r="BJ69" s="185">
        <v>3053.4</v>
      </c>
      <c r="BK69" s="185">
        <v>2990.91</v>
      </c>
      <c r="BL69" s="185">
        <v>1068.76</v>
      </c>
      <c r="BM69" s="185">
        <v>23775.29</v>
      </c>
      <c r="BN69" s="185">
        <v>816533.99</v>
      </c>
      <c r="BO69" s="185">
        <v>1232.6100000000001</v>
      </c>
      <c r="BP69" s="185">
        <v>17859.809999999998</v>
      </c>
      <c r="BQ69" s="185">
        <v>1383.5</v>
      </c>
      <c r="BR69" s="185">
        <v>25815.81</v>
      </c>
      <c r="BS69" s="185">
        <v>0</v>
      </c>
      <c r="BT69" s="185">
        <v>280.51</v>
      </c>
      <c r="BU69" s="185">
        <v>293508.33</v>
      </c>
      <c r="BV69" s="185">
        <v>6901.8</v>
      </c>
      <c r="BW69" s="185">
        <v>17453.650000000001</v>
      </c>
      <c r="BX69" s="185">
        <v>34895.18</v>
      </c>
      <c r="BY69" s="185">
        <v>12261.65</v>
      </c>
      <c r="BZ69" s="185">
        <v>463</v>
      </c>
      <c r="CA69" s="185">
        <v>394398.52</v>
      </c>
      <c r="CB69" s="185">
        <v>3188.14</v>
      </c>
      <c r="CC69" s="185">
        <v>4054403.21</v>
      </c>
      <c r="CD69" s="309">
        <f>1377234.55+1370946.06+5242733.51+56530.38+1115557.86</f>
        <v>9163002.3599999994</v>
      </c>
      <c r="CE69" s="295">
        <f t="shared" si="0"/>
        <v>19397075.75</v>
      </c>
      <c r="CF69" s="2"/>
    </row>
    <row r="70" spans="1:84" ht="12.65" customHeight="1" x14ac:dyDescent="0.35">
      <c r="A70" s="302" t="s">
        <v>242</v>
      </c>
      <c r="B70" s="295"/>
      <c r="C70" s="300">
        <v>21236.37</v>
      </c>
      <c r="D70" s="300">
        <v>0</v>
      </c>
      <c r="E70" s="300">
        <v>49.92</v>
      </c>
      <c r="F70" s="185">
        <v>0</v>
      </c>
      <c r="G70" s="300">
        <v>0</v>
      </c>
      <c r="H70" s="300"/>
      <c r="I70" s="300"/>
      <c r="J70" s="185"/>
      <c r="K70" s="185"/>
      <c r="L70" s="185"/>
      <c r="M70" s="300">
        <v>207292.42</v>
      </c>
      <c r="N70" s="300">
        <v>430166.16</v>
      </c>
      <c r="O70" s="300">
        <v>22321.45</v>
      </c>
      <c r="P70" s="300">
        <v>0</v>
      </c>
      <c r="Q70" s="300">
        <v>0</v>
      </c>
      <c r="R70" s="300">
        <v>0</v>
      </c>
      <c r="S70" s="300">
        <v>0</v>
      </c>
      <c r="T70" s="300">
        <v>0</v>
      </c>
      <c r="U70" s="185">
        <v>657810.88</v>
      </c>
      <c r="V70" s="300">
        <v>2805.32</v>
      </c>
      <c r="W70" s="300">
        <v>0</v>
      </c>
      <c r="X70" s="185">
        <v>0</v>
      </c>
      <c r="Y70" s="185">
        <v>12919.22</v>
      </c>
      <c r="Z70" s="185">
        <v>17409.3</v>
      </c>
      <c r="AA70" s="185">
        <v>0</v>
      </c>
      <c r="AB70" s="185">
        <v>1517.98</v>
      </c>
      <c r="AC70" s="185">
        <v>0</v>
      </c>
      <c r="AD70" s="185">
        <v>0</v>
      </c>
      <c r="AE70" s="185">
        <v>4379.49</v>
      </c>
      <c r="AF70" s="185"/>
      <c r="AG70" s="185">
        <v>4296.9799999999996</v>
      </c>
      <c r="AH70" s="185"/>
      <c r="AI70" s="185"/>
      <c r="AJ70" s="185">
        <v>3669978.77</v>
      </c>
      <c r="AK70" s="185"/>
      <c r="AL70" s="185"/>
      <c r="AM70" s="185"/>
      <c r="AN70" s="185"/>
      <c r="AO70" s="185"/>
      <c r="AP70" s="185">
        <v>3285152.58</v>
      </c>
      <c r="AQ70" s="185"/>
      <c r="AR70" s="185">
        <f>69593.86+2597</f>
        <v>72190.86</v>
      </c>
      <c r="AS70" s="185"/>
      <c r="AT70" s="185"/>
      <c r="AU70" s="185"/>
      <c r="AV70" s="185">
        <v>6046951.4500000002</v>
      </c>
      <c r="AW70" s="185">
        <v>3917309.72</v>
      </c>
      <c r="AX70" s="185"/>
      <c r="AY70" s="185"/>
      <c r="AZ70" s="185">
        <v>1442909.31</v>
      </c>
      <c r="BA70" s="185"/>
      <c r="BB70" s="185"/>
      <c r="BC70" s="185"/>
      <c r="BD70" s="185">
        <v>7.31</v>
      </c>
      <c r="BE70" s="185">
        <v>6737497.2699999996</v>
      </c>
      <c r="BF70" s="185">
        <v>8589.31</v>
      </c>
      <c r="BG70" s="185">
        <v>304515.5</v>
      </c>
      <c r="BH70" s="185">
        <v>94262.31</v>
      </c>
      <c r="BI70" s="185">
        <v>2194638.06</v>
      </c>
      <c r="BJ70" s="185">
        <v>170477.17</v>
      </c>
      <c r="BK70" s="185">
        <v>12815</v>
      </c>
      <c r="BL70" s="185">
        <v>415604.79</v>
      </c>
      <c r="BM70" s="185">
        <v>0</v>
      </c>
      <c r="BN70" s="185">
        <v>0</v>
      </c>
      <c r="BO70" s="185">
        <v>230</v>
      </c>
      <c r="BP70" s="185">
        <v>0</v>
      </c>
      <c r="BQ70" s="185">
        <v>0</v>
      </c>
      <c r="BR70" s="185">
        <v>41.78</v>
      </c>
      <c r="BS70" s="185">
        <v>458882.5</v>
      </c>
      <c r="BT70" s="185">
        <v>48.96</v>
      </c>
      <c r="BU70" s="185">
        <v>15000</v>
      </c>
      <c r="BV70" s="185">
        <v>1290.44</v>
      </c>
      <c r="BW70" s="185">
        <v>116410</v>
      </c>
      <c r="BX70" s="185">
        <v>847145.68</v>
      </c>
      <c r="BY70" s="185">
        <v>0</v>
      </c>
      <c r="BZ70" s="185">
        <v>0</v>
      </c>
      <c r="CA70" s="185">
        <v>0</v>
      </c>
      <c r="CB70" s="185">
        <v>1483854.17</v>
      </c>
      <c r="CC70" s="185">
        <v>12725051.5</v>
      </c>
      <c r="CD70" s="309">
        <v>1597765.99</v>
      </c>
      <c r="CE70" s="295">
        <f t="shared" si="0"/>
        <v>47000825.919999994</v>
      </c>
      <c r="CF70" s="2"/>
    </row>
    <row r="71" spans="1:84" ht="12.65" customHeight="1" x14ac:dyDescent="0.35">
      <c r="A71" s="302" t="s">
        <v>243</v>
      </c>
      <c r="B71" s="295"/>
      <c r="C71" s="295">
        <f>SUM(C61:C68)+C69-C70</f>
        <v>21552545.400000002</v>
      </c>
      <c r="D71" s="295">
        <f t="shared" ref="D71:AI71" si="5">SUM(D61:D69)-D70</f>
        <v>10539740.489999998</v>
      </c>
      <c r="E71" s="295">
        <f t="shared" si="5"/>
        <v>33958631.68</v>
      </c>
      <c r="F71" s="295">
        <f t="shared" si="5"/>
        <v>879057.72000000009</v>
      </c>
      <c r="G71" s="295">
        <f t="shared" si="5"/>
        <v>2482060.7999999998</v>
      </c>
      <c r="H71" s="295">
        <f t="shared" si="5"/>
        <v>0</v>
      </c>
      <c r="I71" s="295">
        <f t="shared" si="5"/>
        <v>0</v>
      </c>
      <c r="J71" s="295">
        <f t="shared" si="5"/>
        <v>0</v>
      </c>
      <c r="K71" s="295">
        <f t="shared" si="5"/>
        <v>0</v>
      </c>
      <c r="L71" s="295">
        <f t="shared" si="5"/>
        <v>0</v>
      </c>
      <c r="M71" s="295">
        <f t="shared" si="5"/>
        <v>6488093.5299999993</v>
      </c>
      <c r="N71" s="295">
        <f t="shared" si="5"/>
        <v>18217973.169999998</v>
      </c>
      <c r="O71" s="295">
        <f t="shared" si="5"/>
        <v>26227738.5</v>
      </c>
      <c r="P71" s="295">
        <f t="shared" si="5"/>
        <v>53477336.250000015</v>
      </c>
      <c r="Q71" s="295">
        <f t="shared" si="5"/>
        <v>7578328.2399999993</v>
      </c>
      <c r="R71" s="295">
        <f t="shared" si="5"/>
        <v>1294192.3599999999</v>
      </c>
      <c r="S71" s="295">
        <f t="shared" si="5"/>
        <v>2899012.1500000004</v>
      </c>
      <c r="T71" s="295">
        <f t="shared" si="5"/>
        <v>0</v>
      </c>
      <c r="U71" s="295">
        <f t="shared" si="5"/>
        <v>17543932.050000001</v>
      </c>
      <c r="V71" s="295">
        <f t="shared" si="5"/>
        <v>218160.22000000003</v>
      </c>
      <c r="W71" s="295">
        <f t="shared" si="5"/>
        <v>1361517.1</v>
      </c>
      <c r="X71" s="295">
        <f t="shared" si="5"/>
        <v>2606730.7199999997</v>
      </c>
      <c r="Y71" s="295">
        <f t="shared" si="5"/>
        <v>30539349.609999999</v>
      </c>
      <c r="Z71" s="295">
        <f t="shared" si="5"/>
        <v>8133401.04</v>
      </c>
      <c r="AA71" s="295">
        <f t="shared" si="5"/>
        <v>1227813.33</v>
      </c>
      <c r="AB71" s="295">
        <f t="shared" si="5"/>
        <v>25126454.330000006</v>
      </c>
      <c r="AC71" s="295">
        <f t="shared" si="5"/>
        <v>3776362.15</v>
      </c>
      <c r="AD71" s="295">
        <f t="shared" si="5"/>
        <v>0</v>
      </c>
      <c r="AE71" s="295">
        <f t="shared" si="5"/>
        <v>6331645.6100000013</v>
      </c>
      <c r="AF71" s="295">
        <f t="shared" si="5"/>
        <v>0</v>
      </c>
      <c r="AG71" s="295">
        <f>SUM(AG61:AG69)-AG70</f>
        <v>16616042.75</v>
      </c>
      <c r="AH71" s="295">
        <f t="shared" si="5"/>
        <v>0</v>
      </c>
      <c r="AI71" s="295">
        <f t="shared" si="5"/>
        <v>0</v>
      </c>
      <c r="AJ71" s="295">
        <f t="shared" ref="AJ71:BO71" si="6">SUM(AJ61:AJ69)-AJ70</f>
        <v>89150309.269999981</v>
      </c>
      <c r="AK71" s="295">
        <f t="shared" si="6"/>
        <v>0</v>
      </c>
      <c r="AL71" s="295">
        <f t="shared" si="6"/>
        <v>0</v>
      </c>
      <c r="AM71" s="295">
        <f t="shared" si="6"/>
        <v>0</v>
      </c>
      <c r="AN71" s="295">
        <f t="shared" si="6"/>
        <v>0</v>
      </c>
      <c r="AO71" s="295">
        <f t="shared" si="6"/>
        <v>0</v>
      </c>
      <c r="AP71" s="295">
        <f t="shared" si="6"/>
        <v>73089663.260000005</v>
      </c>
      <c r="AQ71" s="295">
        <f t="shared" si="6"/>
        <v>0</v>
      </c>
      <c r="AR71" s="295">
        <f t="shared" si="6"/>
        <v>65774180.809999995</v>
      </c>
      <c r="AS71" s="295">
        <f t="shared" si="6"/>
        <v>0</v>
      </c>
      <c r="AT71" s="295">
        <f t="shared" si="6"/>
        <v>0</v>
      </c>
      <c r="AU71" s="295">
        <f t="shared" si="6"/>
        <v>0</v>
      </c>
      <c r="AV71" s="295">
        <f t="shared" si="6"/>
        <v>3680391.3200000012</v>
      </c>
      <c r="AW71" s="295">
        <f t="shared" si="6"/>
        <v>-1520587.2999999998</v>
      </c>
      <c r="AX71" s="295">
        <f t="shared" si="6"/>
        <v>5028771.9899999993</v>
      </c>
      <c r="AY71" s="295">
        <f t="shared" si="6"/>
        <v>0</v>
      </c>
      <c r="AZ71" s="295">
        <f t="shared" si="6"/>
        <v>4909692.3099999987</v>
      </c>
      <c r="BA71" s="295">
        <f t="shared" si="6"/>
        <v>368842.56000000006</v>
      </c>
      <c r="BB71" s="295">
        <f t="shared" si="6"/>
        <v>227839.55</v>
      </c>
      <c r="BC71" s="295">
        <f t="shared" si="6"/>
        <v>342608.7</v>
      </c>
      <c r="BD71" s="295">
        <f t="shared" si="6"/>
        <v>3185816.23</v>
      </c>
      <c r="BE71" s="295">
        <f t="shared" si="6"/>
        <v>14451946.390000001</v>
      </c>
      <c r="BF71" s="295">
        <f t="shared" si="6"/>
        <v>5982507.4100000001</v>
      </c>
      <c r="BG71" s="295">
        <f t="shared" si="6"/>
        <v>2620613.54</v>
      </c>
      <c r="BH71" s="295">
        <f t="shared" si="6"/>
        <v>35119633.379999995</v>
      </c>
      <c r="BI71" s="295">
        <f t="shared" si="6"/>
        <v>12268848.76</v>
      </c>
      <c r="BJ71" s="295">
        <f t="shared" si="6"/>
        <v>1859104.5599999998</v>
      </c>
      <c r="BK71" s="295">
        <f t="shared" si="6"/>
        <v>9749778.1099999994</v>
      </c>
      <c r="BL71" s="295">
        <f t="shared" si="6"/>
        <v>5318745.74</v>
      </c>
      <c r="BM71" s="295">
        <f t="shared" si="6"/>
        <v>4833478.4899999993</v>
      </c>
      <c r="BN71" s="295">
        <f t="shared" si="6"/>
        <v>10645467.970000001</v>
      </c>
      <c r="BO71" s="295">
        <f t="shared" si="6"/>
        <v>1282071.1199999999</v>
      </c>
      <c r="BP71" s="295">
        <f t="shared" ref="BP71:CC71" si="7">SUM(BP61:BP69)-BP70</f>
        <v>5845316.419999999</v>
      </c>
      <c r="BQ71" s="295">
        <f t="shared" si="7"/>
        <v>655488.51</v>
      </c>
      <c r="BR71" s="295">
        <f t="shared" si="7"/>
        <v>4815164.0799999991</v>
      </c>
      <c r="BS71" s="295">
        <f t="shared" si="7"/>
        <v>208586.09000000008</v>
      </c>
      <c r="BT71" s="295">
        <f t="shared" si="7"/>
        <v>204493.85000000003</v>
      </c>
      <c r="BU71" s="295">
        <f t="shared" si="7"/>
        <v>278655.23000000004</v>
      </c>
      <c r="BV71" s="295">
        <f t="shared" si="7"/>
        <v>6068270.3199999994</v>
      </c>
      <c r="BW71" s="295">
        <f t="shared" si="7"/>
        <v>3555395.4699999993</v>
      </c>
      <c r="BX71" s="295">
        <f t="shared" si="7"/>
        <v>7126403.6299999999</v>
      </c>
      <c r="BY71" s="295">
        <f t="shared" si="7"/>
        <v>1880918.0799999998</v>
      </c>
      <c r="BZ71" s="295">
        <f t="shared" si="7"/>
        <v>5449476.1699999999</v>
      </c>
      <c r="CA71" s="295">
        <f t="shared" si="7"/>
        <v>2703403.01</v>
      </c>
      <c r="CB71" s="295">
        <f t="shared" si="7"/>
        <v>5850458.8099999996</v>
      </c>
      <c r="CC71" s="295">
        <f t="shared" si="7"/>
        <v>7198573.2300000004</v>
      </c>
      <c r="CD71" s="301">
        <f>CD69-CD70</f>
        <v>7565236.3699999992</v>
      </c>
      <c r="CE71" s="295">
        <f>SUM(CE61:CE69)-CE70</f>
        <v>706851682.64000022</v>
      </c>
      <c r="CF71" s="2"/>
    </row>
    <row r="72" spans="1:84" ht="12.65" customHeight="1" x14ac:dyDescent="0.35">
      <c r="A72" s="302" t="s">
        <v>244</v>
      </c>
      <c r="B72" s="295"/>
      <c r="C72" s="305" t="s">
        <v>221</v>
      </c>
      <c r="D72" s="305" t="s">
        <v>221</v>
      </c>
      <c r="E72" s="305" t="s">
        <v>221</v>
      </c>
      <c r="F72" s="305" t="s">
        <v>221</v>
      </c>
      <c r="G72" s="305" t="s">
        <v>221</v>
      </c>
      <c r="H72" s="305" t="s">
        <v>221</v>
      </c>
      <c r="I72" s="305" t="s">
        <v>221</v>
      </c>
      <c r="J72" s="305" t="s">
        <v>221</v>
      </c>
      <c r="K72" s="253" t="s">
        <v>221</v>
      </c>
      <c r="L72" s="305" t="s">
        <v>221</v>
      </c>
      <c r="M72" s="305" t="s">
        <v>221</v>
      </c>
      <c r="N72" s="305" t="s">
        <v>221</v>
      </c>
      <c r="O72" s="305" t="s">
        <v>221</v>
      </c>
      <c r="P72" s="305" t="s">
        <v>221</v>
      </c>
      <c r="Q72" s="305" t="s">
        <v>221</v>
      </c>
      <c r="R72" s="305" t="s">
        <v>221</v>
      </c>
      <c r="S72" s="305" t="s">
        <v>221</v>
      </c>
      <c r="T72" s="305" t="s">
        <v>221</v>
      </c>
      <c r="U72" s="305" t="s">
        <v>221</v>
      </c>
      <c r="V72" s="305" t="s">
        <v>221</v>
      </c>
      <c r="W72" s="305" t="s">
        <v>221</v>
      </c>
      <c r="X72" s="305" t="s">
        <v>221</v>
      </c>
      <c r="Y72" s="305" t="s">
        <v>221</v>
      </c>
      <c r="Z72" s="305" t="s">
        <v>221</v>
      </c>
      <c r="AA72" s="305" t="s">
        <v>221</v>
      </c>
      <c r="AB72" s="305" t="s">
        <v>221</v>
      </c>
      <c r="AC72" s="305" t="s">
        <v>221</v>
      </c>
      <c r="AD72" s="305" t="s">
        <v>221</v>
      </c>
      <c r="AE72" s="305" t="s">
        <v>221</v>
      </c>
      <c r="AF72" s="305" t="s">
        <v>221</v>
      </c>
      <c r="AG72" s="305" t="s">
        <v>221</v>
      </c>
      <c r="AH72" s="305" t="s">
        <v>221</v>
      </c>
      <c r="AI72" s="305" t="s">
        <v>221</v>
      </c>
      <c r="AJ72" s="305" t="s">
        <v>221</v>
      </c>
      <c r="AK72" s="305" t="s">
        <v>221</v>
      </c>
      <c r="AL72" s="305" t="s">
        <v>221</v>
      </c>
      <c r="AM72" s="305" t="s">
        <v>221</v>
      </c>
      <c r="AN72" s="305" t="s">
        <v>221</v>
      </c>
      <c r="AO72" s="305" t="s">
        <v>221</v>
      </c>
      <c r="AP72" s="305" t="s">
        <v>221</v>
      </c>
      <c r="AQ72" s="305" t="s">
        <v>221</v>
      </c>
      <c r="AR72" s="305" t="s">
        <v>221</v>
      </c>
      <c r="AS72" s="305" t="s">
        <v>221</v>
      </c>
      <c r="AT72" s="305" t="s">
        <v>221</v>
      </c>
      <c r="AU72" s="305" t="s">
        <v>221</v>
      </c>
      <c r="AV72" s="305" t="s">
        <v>221</v>
      </c>
      <c r="AW72" s="305" t="s">
        <v>221</v>
      </c>
      <c r="AX72" s="305" t="s">
        <v>221</v>
      </c>
      <c r="AY72" s="305" t="s">
        <v>221</v>
      </c>
      <c r="AZ72" s="305" t="s">
        <v>221</v>
      </c>
      <c r="BA72" s="305" t="s">
        <v>221</v>
      </c>
      <c r="BB72" s="305" t="s">
        <v>221</v>
      </c>
      <c r="BC72" s="305" t="s">
        <v>221</v>
      </c>
      <c r="BD72" s="305" t="s">
        <v>221</v>
      </c>
      <c r="BE72" s="305" t="s">
        <v>221</v>
      </c>
      <c r="BF72" s="305" t="s">
        <v>221</v>
      </c>
      <c r="BG72" s="305" t="s">
        <v>221</v>
      </c>
      <c r="BH72" s="305" t="s">
        <v>221</v>
      </c>
      <c r="BI72" s="305" t="s">
        <v>221</v>
      </c>
      <c r="BJ72" s="305" t="s">
        <v>221</v>
      </c>
      <c r="BK72" s="305" t="s">
        <v>221</v>
      </c>
      <c r="BL72" s="305" t="s">
        <v>221</v>
      </c>
      <c r="BM72" s="305" t="s">
        <v>221</v>
      </c>
      <c r="BN72" s="305" t="s">
        <v>221</v>
      </c>
      <c r="BO72" s="305" t="s">
        <v>221</v>
      </c>
      <c r="BP72" s="305" t="s">
        <v>221</v>
      </c>
      <c r="BQ72" s="305" t="s">
        <v>221</v>
      </c>
      <c r="BR72" s="305" t="s">
        <v>221</v>
      </c>
      <c r="BS72" s="305" t="s">
        <v>221</v>
      </c>
      <c r="BT72" s="305" t="s">
        <v>221</v>
      </c>
      <c r="BU72" s="305" t="s">
        <v>221</v>
      </c>
      <c r="BV72" s="305" t="s">
        <v>221</v>
      </c>
      <c r="BW72" s="305" t="s">
        <v>221</v>
      </c>
      <c r="BX72" s="305" t="s">
        <v>221</v>
      </c>
      <c r="BY72" s="305" t="s">
        <v>221</v>
      </c>
      <c r="BZ72" s="305" t="s">
        <v>221</v>
      </c>
      <c r="CA72" s="305" t="s">
        <v>221</v>
      </c>
      <c r="CB72" s="305" t="s">
        <v>221</v>
      </c>
      <c r="CC72" s="305" t="s">
        <v>221</v>
      </c>
      <c r="CD72" s="305" t="s">
        <v>221</v>
      </c>
      <c r="CE72" s="309"/>
      <c r="CF72" s="2"/>
    </row>
    <row r="73" spans="1:84" ht="12.65" customHeight="1" x14ac:dyDescent="0.35">
      <c r="A73" s="302" t="s">
        <v>245</v>
      </c>
      <c r="B73" s="295"/>
      <c r="C73" s="300">
        <v>77609527.890000001</v>
      </c>
      <c r="D73" s="300">
        <v>44221972.640000001</v>
      </c>
      <c r="E73" s="185">
        <v>130300490.08</v>
      </c>
      <c r="F73" s="185">
        <v>0</v>
      </c>
      <c r="G73" s="300">
        <v>14206443.800000001</v>
      </c>
      <c r="H73" s="300"/>
      <c r="I73" s="185"/>
      <c r="J73" s="185"/>
      <c r="K73" s="185"/>
      <c r="L73" s="185"/>
      <c r="M73" s="300">
        <f>6425252.55+1531.18-540</f>
        <v>6426243.7299999995</v>
      </c>
      <c r="N73" s="300">
        <v>17470574</v>
      </c>
      <c r="O73" s="300">
        <v>104998532</v>
      </c>
      <c r="P73" s="185">
        <v>83897462</v>
      </c>
      <c r="Q73" s="185">
        <v>5173190</v>
      </c>
      <c r="R73" s="185">
        <v>11145067</v>
      </c>
      <c r="S73" s="185">
        <v>0</v>
      </c>
      <c r="T73" s="185">
        <v>0</v>
      </c>
      <c r="U73" s="185">
        <v>66184421.359999999</v>
      </c>
      <c r="V73" s="185">
        <v>1613505</v>
      </c>
      <c r="W73" s="185">
        <v>5135959</v>
      </c>
      <c r="X73" s="185">
        <v>21139298</v>
      </c>
      <c r="Y73" s="185">
        <v>43196583</v>
      </c>
      <c r="Z73" s="185">
        <v>860974</v>
      </c>
      <c r="AA73" s="185">
        <v>1050212</v>
      </c>
      <c r="AB73" s="185">
        <v>71699583.819999993</v>
      </c>
      <c r="AC73" s="185">
        <v>19679502</v>
      </c>
      <c r="AD73" s="185">
        <v>0</v>
      </c>
      <c r="AE73" s="185">
        <v>14036401</v>
      </c>
      <c r="AF73" s="185"/>
      <c r="AG73" s="185">
        <v>34949492.920000002</v>
      </c>
      <c r="AH73" s="185"/>
      <c r="AI73" s="185"/>
      <c r="AJ73" s="185">
        <v>25565860.140000001</v>
      </c>
      <c r="AK73" s="185"/>
      <c r="AL73" s="185"/>
      <c r="AM73" s="185"/>
      <c r="AN73" s="185"/>
      <c r="AO73" s="185"/>
      <c r="AP73" s="185">
        <v>3783501.43</v>
      </c>
      <c r="AQ73" s="185"/>
      <c r="AR73" s="185">
        <v>13780.58</v>
      </c>
      <c r="AS73" s="185"/>
      <c r="AT73" s="185"/>
      <c r="AU73" s="185"/>
      <c r="AV73" s="185">
        <f>2081068-92392</f>
        <v>1988676</v>
      </c>
      <c r="AW73" s="305" t="s">
        <v>221</v>
      </c>
      <c r="AX73" s="305" t="s">
        <v>221</v>
      </c>
      <c r="AY73" s="305" t="s">
        <v>221</v>
      </c>
      <c r="AZ73" s="305" t="s">
        <v>221</v>
      </c>
      <c r="BA73" s="305" t="s">
        <v>221</v>
      </c>
      <c r="BB73" s="305" t="s">
        <v>221</v>
      </c>
      <c r="BC73" s="305" t="s">
        <v>221</v>
      </c>
      <c r="BD73" s="305" t="s">
        <v>221</v>
      </c>
      <c r="BE73" s="305" t="s">
        <v>221</v>
      </c>
      <c r="BF73" s="305" t="s">
        <v>221</v>
      </c>
      <c r="BG73" s="305" t="s">
        <v>221</v>
      </c>
      <c r="BH73" s="305" t="s">
        <v>221</v>
      </c>
      <c r="BI73" s="305" t="s">
        <v>221</v>
      </c>
      <c r="BJ73" s="305" t="s">
        <v>221</v>
      </c>
      <c r="BK73" s="305" t="s">
        <v>221</v>
      </c>
      <c r="BL73" s="305" t="s">
        <v>221</v>
      </c>
      <c r="BM73" s="305" t="s">
        <v>221</v>
      </c>
      <c r="BN73" s="305" t="s">
        <v>221</v>
      </c>
      <c r="BO73" s="305" t="s">
        <v>221</v>
      </c>
      <c r="BP73" s="305" t="s">
        <v>221</v>
      </c>
      <c r="BQ73" s="305" t="s">
        <v>221</v>
      </c>
      <c r="BR73" s="305" t="s">
        <v>221</v>
      </c>
      <c r="BS73" s="305" t="s">
        <v>221</v>
      </c>
      <c r="BT73" s="305" t="s">
        <v>221</v>
      </c>
      <c r="BU73" s="305" t="s">
        <v>221</v>
      </c>
      <c r="BV73" s="305" t="s">
        <v>221</v>
      </c>
      <c r="BW73" s="305" t="s">
        <v>221</v>
      </c>
      <c r="BX73" s="305" t="s">
        <v>221</v>
      </c>
      <c r="BY73" s="305" t="s">
        <v>221</v>
      </c>
      <c r="BZ73" s="305" t="s">
        <v>221</v>
      </c>
      <c r="CA73" s="305" t="s">
        <v>221</v>
      </c>
      <c r="CB73" s="305" t="s">
        <v>221</v>
      </c>
      <c r="CC73" s="305" t="s">
        <v>221</v>
      </c>
      <c r="CD73" s="305" t="s">
        <v>221</v>
      </c>
      <c r="CE73" s="295">
        <f t="shared" ref="CE73:CE80" si="8">SUM(C73:CD73)</f>
        <v>806347253.38999987</v>
      </c>
      <c r="CF73" s="2"/>
    </row>
    <row r="74" spans="1:84" ht="12.65" customHeight="1" x14ac:dyDescent="0.35">
      <c r="A74" s="302" t="s">
        <v>246</v>
      </c>
      <c r="B74" s="295"/>
      <c r="C74" s="300">
        <v>-76965</v>
      </c>
      <c r="D74" s="300">
        <v>128318</v>
      </c>
      <c r="E74" s="185">
        <v>3042168.25</v>
      </c>
      <c r="F74" s="185">
        <v>0</v>
      </c>
      <c r="G74" s="300">
        <v>0</v>
      </c>
      <c r="H74" s="300"/>
      <c r="I74" s="300"/>
      <c r="J74" s="185"/>
      <c r="K74" s="185"/>
      <c r="L74" s="185"/>
      <c r="M74" s="300">
        <v>234069</v>
      </c>
      <c r="N74" s="300">
        <v>1057493.02</v>
      </c>
      <c r="O74" s="300">
        <v>4011493</v>
      </c>
      <c r="P74" s="185">
        <v>181023533</v>
      </c>
      <c r="Q74" s="185">
        <v>18942642</v>
      </c>
      <c r="R74" s="185">
        <v>30327902</v>
      </c>
      <c r="S74" s="185">
        <v>0</v>
      </c>
      <c r="T74" s="185">
        <v>0</v>
      </c>
      <c r="U74" s="185">
        <v>52893135.5</v>
      </c>
      <c r="V74" s="185">
        <v>544677</v>
      </c>
      <c r="W74" s="185">
        <v>10048637</v>
      </c>
      <c r="X74" s="185">
        <v>42948403</v>
      </c>
      <c r="Y74" s="185">
        <v>124081506.84</v>
      </c>
      <c r="Z74" s="185">
        <v>38516890</v>
      </c>
      <c r="AA74" s="185">
        <v>3610414</v>
      </c>
      <c r="AB74" s="185">
        <v>68859984.060000002</v>
      </c>
      <c r="AC74" s="185">
        <v>606808</v>
      </c>
      <c r="AD74" s="185">
        <v>0</v>
      </c>
      <c r="AE74" s="185">
        <v>15036713</v>
      </c>
      <c r="AF74" s="185"/>
      <c r="AG74" s="185">
        <v>112603487.87</v>
      </c>
      <c r="AH74" s="185"/>
      <c r="AI74" s="185"/>
      <c r="AJ74" s="185">
        <v>142159012.60000002</v>
      </c>
      <c r="AK74" s="185"/>
      <c r="AL74" s="185"/>
      <c r="AM74" s="185"/>
      <c r="AN74" s="185"/>
      <c r="AO74" s="185"/>
      <c r="AP74" s="185">
        <v>109486875.23</v>
      </c>
      <c r="AQ74" s="185"/>
      <c r="AR74" s="185">
        <v>129888230.65000001</v>
      </c>
      <c r="AS74" s="185"/>
      <c r="AT74" s="185"/>
      <c r="AU74" s="185"/>
      <c r="AV74" s="185">
        <f>7884647.28+160810+1431+155846</f>
        <v>8202734.2800000003</v>
      </c>
      <c r="AW74" s="305" t="s">
        <v>221</v>
      </c>
      <c r="AX74" s="305" t="s">
        <v>221</v>
      </c>
      <c r="AY74" s="305" t="s">
        <v>221</v>
      </c>
      <c r="AZ74" s="305" t="s">
        <v>221</v>
      </c>
      <c r="BA74" s="305" t="s">
        <v>221</v>
      </c>
      <c r="BB74" s="305" t="s">
        <v>221</v>
      </c>
      <c r="BC74" s="305" t="s">
        <v>221</v>
      </c>
      <c r="BD74" s="305" t="s">
        <v>221</v>
      </c>
      <c r="BE74" s="305" t="s">
        <v>221</v>
      </c>
      <c r="BF74" s="305" t="s">
        <v>221</v>
      </c>
      <c r="BG74" s="305" t="s">
        <v>221</v>
      </c>
      <c r="BH74" s="305" t="s">
        <v>221</v>
      </c>
      <c r="BI74" s="305" t="s">
        <v>221</v>
      </c>
      <c r="BJ74" s="305" t="s">
        <v>221</v>
      </c>
      <c r="BK74" s="305" t="s">
        <v>221</v>
      </c>
      <c r="BL74" s="305" t="s">
        <v>221</v>
      </c>
      <c r="BM74" s="305" t="s">
        <v>221</v>
      </c>
      <c r="BN74" s="305" t="s">
        <v>221</v>
      </c>
      <c r="BO74" s="305" t="s">
        <v>221</v>
      </c>
      <c r="BP74" s="305" t="s">
        <v>221</v>
      </c>
      <c r="BQ74" s="305" t="s">
        <v>221</v>
      </c>
      <c r="BR74" s="305" t="s">
        <v>221</v>
      </c>
      <c r="BS74" s="305" t="s">
        <v>221</v>
      </c>
      <c r="BT74" s="305" t="s">
        <v>221</v>
      </c>
      <c r="BU74" s="305" t="s">
        <v>221</v>
      </c>
      <c r="BV74" s="305" t="s">
        <v>221</v>
      </c>
      <c r="BW74" s="305" t="s">
        <v>221</v>
      </c>
      <c r="BX74" s="305" t="s">
        <v>221</v>
      </c>
      <c r="BY74" s="305" t="s">
        <v>221</v>
      </c>
      <c r="BZ74" s="305" t="s">
        <v>221</v>
      </c>
      <c r="CA74" s="305" t="s">
        <v>221</v>
      </c>
      <c r="CB74" s="305" t="s">
        <v>221</v>
      </c>
      <c r="CC74" s="305" t="s">
        <v>221</v>
      </c>
      <c r="CD74" s="305" t="s">
        <v>221</v>
      </c>
      <c r="CE74" s="295">
        <f t="shared" si="8"/>
        <v>1098178162.3000002</v>
      </c>
      <c r="CF74" s="2"/>
    </row>
    <row r="75" spans="1:84" ht="12.65" customHeight="1" x14ac:dyDescent="0.35">
      <c r="A75" s="302" t="s">
        <v>247</v>
      </c>
      <c r="B75" s="295"/>
      <c r="C75" s="295">
        <f t="shared" ref="C75:I75" si="9">SUM(C73:C74)</f>
        <v>77532562.890000001</v>
      </c>
      <c r="D75" s="295">
        <f t="shared" si="9"/>
        <v>44350290.640000001</v>
      </c>
      <c r="E75" s="295">
        <f t="shared" si="9"/>
        <v>133342658.33</v>
      </c>
      <c r="F75" s="295">
        <f t="shared" si="9"/>
        <v>0</v>
      </c>
      <c r="G75" s="295">
        <f t="shared" si="9"/>
        <v>14206443.800000001</v>
      </c>
      <c r="H75" s="295">
        <f t="shared" si="9"/>
        <v>0</v>
      </c>
      <c r="I75" s="295">
        <f t="shared" si="9"/>
        <v>0</v>
      </c>
      <c r="J75" s="295">
        <f t="shared" ref="J75:AV75" si="10">SUM(J73:J74)</f>
        <v>0</v>
      </c>
      <c r="K75" s="295">
        <f t="shared" si="10"/>
        <v>0</v>
      </c>
      <c r="L75" s="295">
        <f t="shared" si="10"/>
        <v>0</v>
      </c>
      <c r="M75" s="295">
        <f t="shared" si="10"/>
        <v>6660312.7299999995</v>
      </c>
      <c r="N75" s="295">
        <f t="shared" si="10"/>
        <v>18528067.02</v>
      </c>
      <c r="O75" s="295">
        <f t="shared" si="10"/>
        <v>109010025</v>
      </c>
      <c r="P75" s="295">
        <f t="shared" si="10"/>
        <v>264920995</v>
      </c>
      <c r="Q75" s="295">
        <f t="shared" si="10"/>
        <v>24115832</v>
      </c>
      <c r="R75" s="295">
        <f t="shared" si="10"/>
        <v>41472969</v>
      </c>
      <c r="S75" s="295">
        <f t="shared" si="10"/>
        <v>0</v>
      </c>
      <c r="T75" s="295">
        <f t="shared" si="10"/>
        <v>0</v>
      </c>
      <c r="U75" s="295">
        <f t="shared" si="10"/>
        <v>119077556.86</v>
      </c>
      <c r="V75" s="295">
        <f t="shared" si="10"/>
        <v>2158182</v>
      </c>
      <c r="W75" s="295">
        <f t="shared" si="10"/>
        <v>15184596</v>
      </c>
      <c r="X75" s="295">
        <f t="shared" si="10"/>
        <v>64087701</v>
      </c>
      <c r="Y75" s="295">
        <f t="shared" si="10"/>
        <v>167278089.84</v>
      </c>
      <c r="Z75" s="295">
        <f t="shared" si="10"/>
        <v>39377864</v>
      </c>
      <c r="AA75" s="295">
        <f t="shared" si="10"/>
        <v>4660626</v>
      </c>
      <c r="AB75" s="295">
        <f t="shared" si="10"/>
        <v>140559567.88</v>
      </c>
      <c r="AC75" s="295">
        <f t="shared" si="10"/>
        <v>20286310</v>
      </c>
      <c r="AD75" s="295">
        <f t="shared" si="10"/>
        <v>0</v>
      </c>
      <c r="AE75" s="295">
        <f t="shared" si="10"/>
        <v>29073114</v>
      </c>
      <c r="AF75" s="295">
        <f t="shared" si="10"/>
        <v>0</v>
      </c>
      <c r="AG75" s="295">
        <f t="shared" si="10"/>
        <v>147552980.79000002</v>
      </c>
      <c r="AH75" s="295">
        <f t="shared" si="10"/>
        <v>0</v>
      </c>
      <c r="AI75" s="295">
        <f t="shared" si="10"/>
        <v>0</v>
      </c>
      <c r="AJ75" s="295">
        <f t="shared" si="10"/>
        <v>167724872.74000001</v>
      </c>
      <c r="AK75" s="295">
        <f t="shared" si="10"/>
        <v>0</v>
      </c>
      <c r="AL75" s="295">
        <f t="shared" si="10"/>
        <v>0</v>
      </c>
      <c r="AM75" s="295">
        <f t="shared" si="10"/>
        <v>0</v>
      </c>
      <c r="AN75" s="295">
        <f t="shared" si="10"/>
        <v>0</v>
      </c>
      <c r="AO75" s="295">
        <f t="shared" si="10"/>
        <v>0</v>
      </c>
      <c r="AP75" s="295">
        <f t="shared" si="10"/>
        <v>113270376.66000001</v>
      </c>
      <c r="AQ75" s="295">
        <f t="shared" si="10"/>
        <v>0</v>
      </c>
      <c r="AR75" s="295">
        <f t="shared" si="10"/>
        <v>129902011.23</v>
      </c>
      <c r="AS75" s="295">
        <f t="shared" si="10"/>
        <v>0</v>
      </c>
      <c r="AT75" s="295">
        <f t="shared" si="10"/>
        <v>0</v>
      </c>
      <c r="AU75" s="295">
        <f t="shared" si="10"/>
        <v>0</v>
      </c>
      <c r="AV75" s="295">
        <f t="shared" si="10"/>
        <v>10191410.280000001</v>
      </c>
      <c r="AW75" s="305" t="s">
        <v>221</v>
      </c>
      <c r="AX75" s="305" t="s">
        <v>221</v>
      </c>
      <c r="AY75" s="305" t="s">
        <v>221</v>
      </c>
      <c r="AZ75" s="305" t="s">
        <v>221</v>
      </c>
      <c r="BA75" s="305" t="s">
        <v>221</v>
      </c>
      <c r="BB75" s="305" t="s">
        <v>221</v>
      </c>
      <c r="BC75" s="305" t="s">
        <v>221</v>
      </c>
      <c r="BD75" s="305" t="s">
        <v>221</v>
      </c>
      <c r="BE75" s="305" t="s">
        <v>221</v>
      </c>
      <c r="BF75" s="305" t="s">
        <v>221</v>
      </c>
      <c r="BG75" s="305" t="s">
        <v>221</v>
      </c>
      <c r="BH75" s="305" t="s">
        <v>221</v>
      </c>
      <c r="BI75" s="305" t="s">
        <v>221</v>
      </c>
      <c r="BJ75" s="305" t="s">
        <v>221</v>
      </c>
      <c r="BK75" s="305" t="s">
        <v>221</v>
      </c>
      <c r="BL75" s="305" t="s">
        <v>221</v>
      </c>
      <c r="BM75" s="305" t="s">
        <v>221</v>
      </c>
      <c r="BN75" s="305" t="s">
        <v>221</v>
      </c>
      <c r="BO75" s="305" t="s">
        <v>221</v>
      </c>
      <c r="BP75" s="305" t="s">
        <v>221</v>
      </c>
      <c r="BQ75" s="305" t="s">
        <v>221</v>
      </c>
      <c r="BR75" s="305" t="s">
        <v>221</v>
      </c>
      <c r="BS75" s="305" t="s">
        <v>221</v>
      </c>
      <c r="BT75" s="305" t="s">
        <v>221</v>
      </c>
      <c r="BU75" s="305" t="s">
        <v>221</v>
      </c>
      <c r="BV75" s="305" t="s">
        <v>221</v>
      </c>
      <c r="BW75" s="305" t="s">
        <v>221</v>
      </c>
      <c r="BX75" s="305" t="s">
        <v>221</v>
      </c>
      <c r="BY75" s="305" t="s">
        <v>221</v>
      </c>
      <c r="BZ75" s="305" t="s">
        <v>221</v>
      </c>
      <c r="CA75" s="305" t="s">
        <v>221</v>
      </c>
      <c r="CB75" s="305" t="s">
        <v>221</v>
      </c>
      <c r="CC75" s="305" t="s">
        <v>221</v>
      </c>
      <c r="CD75" s="305" t="s">
        <v>221</v>
      </c>
      <c r="CE75" s="295">
        <f t="shared" si="8"/>
        <v>1904525415.6900003</v>
      </c>
      <c r="CF75" s="2"/>
    </row>
    <row r="76" spans="1:84" ht="12.65" customHeight="1" x14ac:dyDescent="0.35">
      <c r="A76" s="302" t="s">
        <v>248</v>
      </c>
      <c r="B76" s="295"/>
      <c r="C76" s="300">
        <v>31983</v>
      </c>
      <c r="D76" s="300">
        <v>24368</v>
      </c>
      <c r="E76" s="185">
        <v>112482</v>
      </c>
      <c r="F76" s="185"/>
      <c r="G76" s="300">
        <v>9095</v>
      </c>
      <c r="H76" s="300"/>
      <c r="I76" s="185"/>
      <c r="J76" s="185"/>
      <c r="K76" s="185"/>
      <c r="L76" s="185"/>
      <c r="M76" s="185">
        <v>20520</v>
      </c>
      <c r="N76" s="185">
        <v>5055</v>
      </c>
      <c r="O76" s="185">
        <v>54397</v>
      </c>
      <c r="P76" s="185">
        <v>71966</v>
      </c>
      <c r="Q76" s="185">
        <v>5119</v>
      </c>
      <c r="R76" s="185">
        <v>651</v>
      </c>
      <c r="S76" s="185">
        <v>10270</v>
      </c>
      <c r="T76" s="185"/>
      <c r="U76" s="185">
        <v>15470</v>
      </c>
      <c r="V76" s="185">
        <v>298</v>
      </c>
      <c r="W76" s="185">
        <v>3104</v>
      </c>
      <c r="X76" s="185">
        <v>3166</v>
      </c>
      <c r="Y76" s="185">
        <v>50628</v>
      </c>
      <c r="Z76" s="185">
        <v>16493</v>
      </c>
      <c r="AA76" s="185">
        <v>1139</v>
      </c>
      <c r="AB76" s="185">
        <v>7695</v>
      </c>
      <c r="AC76" s="185">
        <v>2635</v>
      </c>
      <c r="AD76" s="185"/>
      <c r="AE76" s="185">
        <v>17259</v>
      </c>
      <c r="AF76" s="185"/>
      <c r="AG76" s="185">
        <v>55060</v>
      </c>
      <c r="AH76" s="185"/>
      <c r="AI76" s="185"/>
      <c r="AJ76" s="185">
        <v>144637</v>
      </c>
      <c r="AK76" s="185"/>
      <c r="AL76" s="185"/>
      <c r="AM76" s="185"/>
      <c r="AN76" s="185"/>
      <c r="AO76" s="185"/>
      <c r="AP76" s="185">
        <v>45968</v>
      </c>
      <c r="AQ76" s="185"/>
      <c r="AR76" s="185"/>
      <c r="AS76" s="185"/>
      <c r="AT76" s="185"/>
      <c r="AU76" s="185"/>
      <c r="AV76" s="185">
        <v>13135</v>
      </c>
      <c r="AW76" s="185">
        <v>3911</v>
      </c>
      <c r="AX76" s="185"/>
      <c r="AY76" s="185"/>
      <c r="AZ76" s="185">
        <v>23579</v>
      </c>
      <c r="BA76" s="185">
        <v>3589</v>
      </c>
      <c r="BB76" s="185"/>
      <c r="BC76" s="185"/>
      <c r="BD76" s="185">
        <v>9077</v>
      </c>
      <c r="BE76" s="185">
        <v>679195</v>
      </c>
      <c r="BF76" s="185">
        <v>9629</v>
      </c>
      <c r="BG76" s="185">
        <v>5077</v>
      </c>
      <c r="BH76" s="185">
        <v>24834</v>
      </c>
      <c r="BI76" s="185">
        <v>26210</v>
      </c>
      <c r="BJ76" s="185">
        <v>4555</v>
      </c>
      <c r="BK76" s="185">
        <v>11014</v>
      </c>
      <c r="BL76" s="185">
        <v>5010</v>
      </c>
      <c r="BM76" s="185">
        <v>4678</v>
      </c>
      <c r="BN76" s="185">
        <v>14258</v>
      </c>
      <c r="BO76" s="185">
        <v>2082</v>
      </c>
      <c r="BP76" s="185">
        <v>1894</v>
      </c>
      <c r="BQ76" s="185">
        <v>1677</v>
      </c>
      <c r="BR76" s="185">
        <v>3400</v>
      </c>
      <c r="BS76" s="185">
        <v>5109</v>
      </c>
      <c r="BT76" s="185">
        <v>947</v>
      </c>
      <c r="BU76" s="185"/>
      <c r="BV76" s="185">
        <v>17194</v>
      </c>
      <c r="BW76" s="185">
        <v>3446</v>
      </c>
      <c r="BX76" s="185">
        <v>3549</v>
      </c>
      <c r="BY76" s="185">
        <v>1319</v>
      </c>
      <c r="BZ76" s="185"/>
      <c r="CA76" s="185">
        <v>5571</v>
      </c>
      <c r="CB76" s="185">
        <v>4031</v>
      </c>
      <c r="CC76" s="185">
        <f>7583+293</f>
        <v>7876</v>
      </c>
      <c r="CD76" s="305" t="s">
        <v>221</v>
      </c>
      <c r="CE76" s="295">
        <f t="shared" si="8"/>
        <v>1605304</v>
      </c>
      <c r="CF76" s="295">
        <f>BE59-CE76</f>
        <v>-926109</v>
      </c>
    </row>
    <row r="77" spans="1:84" ht="12.65" customHeight="1" x14ac:dyDescent="0.35">
      <c r="A77" s="302" t="s">
        <v>249</v>
      </c>
      <c r="B77" s="295"/>
      <c r="C77" s="300">
        <v>8550</v>
      </c>
      <c r="D77" s="300">
        <v>25907</v>
      </c>
      <c r="E77" s="300">
        <v>112918</v>
      </c>
      <c r="F77" s="300"/>
      <c r="G77" s="300">
        <v>10223</v>
      </c>
      <c r="H77" s="300"/>
      <c r="I77" s="300"/>
      <c r="J77" s="300"/>
      <c r="K77" s="300"/>
      <c r="L77" s="300"/>
      <c r="M77" s="300">
        <v>5212</v>
      </c>
      <c r="N77" s="300"/>
      <c r="O77" s="300">
        <v>32290</v>
      </c>
      <c r="P77" s="300"/>
      <c r="Q77" s="300"/>
      <c r="R77" s="300">
        <v>49</v>
      </c>
      <c r="S77" s="300"/>
      <c r="T77" s="300"/>
      <c r="U77" s="300"/>
      <c r="V77" s="300"/>
      <c r="W77" s="300"/>
      <c r="X77" s="300"/>
      <c r="Y77" s="300"/>
      <c r="Z77" s="300"/>
      <c r="AA77" s="300"/>
      <c r="AB77" s="300"/>
      <c r="AC77" s="300"/>
      <c r="AD77" s="300"/>
      <c r="AE77" s="300"/>
      <c r="AF77" s="300"/>
      <c r="AG77" s="300">
        <v>3113</v>
      </c>
      <c r="AH77" s="300"/>
      <c r="AI77" s="300"/>
      <c r="AJ77" s="300"/>
      <c r="AK77" s="300"/>
      <c r="AL77" s="300"/>
      <c r="AM77" s="300"/>
      <c r="AN77" s="300"/>
      <c r="AO77" s="300"/>
      <c r="AP77" s="300"/>
      <c r="AQ77" s="300"/>
      <c r="AR77" s="300"/>
      <c r="AS77" s="300"/>
      <c r="AT77" s="300"/>
      <c r="AU77" s="300"/>
      <c r="AV77" s="300"/>
      <c r="AW77" s="300"/>
      <c r="AX77" s="305" t="s">
        <v>221</v>
      </c>
      <c r="AY77" s="305" t="s">
        <v>221</v>
      </c>
      <c r="AZ77" s="300"/>
      <c r="BA77" s="300"/>
      <c r="BB77" s="300"/>
      <c r="BC77" s="300"/>
      <c r="BD77" s="305" t="s">
        <v>221</v>
      </c>
      <c r="BE77" s="305" t="s">
        <v>221</v>
      </c>
      <c r="BF77" s="300"/>
      <c r="BG77" s="305" t="s">
        <v>221</v>
      </c>
      <c r="BH77" s="300"/>
      <c r="BI77" s="300"/>
      <c r="BJ77" s="305" t="s">
        <v>221</v>
      </c>
      <c r="BK77" s="300"/>
      <c r="BL77" s="300"/>
      <c r="BM77" s="300"/>
      <c r="BN77" s="305" t="s">
        <v>221</v>
      </c>
      <c r="BO77" s="305" t="s">
        <v>221</v>
      </c>
      <c r="BP77" s="305" t="s">
        <v>221</v>
      </c>
      <c r="BQ77" s="305" t="s">
        <v>221</v>
      </c>
      <c r="BR77" s="300"/>
      <c r="BS77" s="300"/>
      <c r="BT77" s="300"/>
      <c r="BU77" s="300"/>
      <c r="BV77" s="300"/>
      <c r="BW77" s="300"/>
      <c r="BX77" s="300"/>
      <c r="BY77" s="300"/>
      <c r="BZ77" s="300"/>
      <c r="CA77" s="300"/>
      <c r="CB77" s="300"/>
      <c r="CC77" s="305" t="s">
        <v>221</v>
      </c>
      <c r="CD77" s="305" t="s">
        <v>221</v>
      </c>
      <c r="CE77" s="295">
        <f>SUM(C77:CD77)</f>
        <v>198262</v>
      </c>
      <c r="CF77" s="295">
        <f>AY59-CE77</f>
        <v>-198262</v>
      </c>
    </row>
    <row r="78" spans="1:84" ht="12.65" customHeight="1" x14ac:dyDescent="0.35">
      <c r="A78" s="302" t="s">
        <v>250</v>
      </c>
      <c r="B78" s="295"/>
      <c r="C78" s="300">
        <v>3999</v>
      </c>
      <c r="D78" s="300">
        <v>3047</v>
      </c>
      <c r="E78" s="300">
        <v>14066</v>
      </c>
      <c r="F78" s="300"/>
      <c r="G78" s="300">
        <v>1137</v>
      </c>
      <c r="H78" s="300"/>
      <c r="I78" s="300"/>
      <c r="J78" s="300"/>
      <c r="K78" s="300"/>
      <c r="L78" s="300"/>
      <c r="M78" s="300">
        <v>2566</v>
      </c>
      <c r="N78" s="300">
        <v>632</v>
      </c>
      <c r="O78" s="300">
        <v>6802</v>
      </c>
      <c r="P78" s="300">
        <v>9002</v>
      </c>
      <c r="Q78" s="300">
        <v>640</v>
      </c>
      <c r="R78" s="300">
        <v>81</v>
      </c>
      <c r="S78" s="300">
        <v>1284</v>
      </c>
      <c r="T78" s="300"/>
      <c r="U78" s="300">
        <v>1935</v>
      </c>
      <c r="V78" s="300">
        <v>37</v>
      </c>
      <c r="W78" s="300">
        <v>388</v>
      </c>
      <c r="X78" s="300">
        <v>396</v>
      </c>
      <c r="Y78" s="300">
        <v>6331</v>
      </c>
      <c r="Z78" s="300">
        <v>2062</v>
      </c>
      <c r="AA78" s="300">
        <v>142</v>
      </c>
      <c r="AB78" s="300">
        <v>962</v>
      </c>
      <c r="AC78" s="300">
        <v>330</v>
      </c>
      <c r="AD78" s="300"/>
      <c r="AE78" s="300">
        <v>2192</v>
      </c>
      <c r="AF78" s="300"/>
      <c r="AG78" s="300">
        <v>6885</v>
      </c>
      <c r="AH78" s="300"/>
      <c r="AI78" s="300"/>
      <c r="AJ78" s="300">
        <v>18087</v>
      </c>
      <c r="AK78" s="300"/>
      <c r="AL78" s="300"/>
      <c r="AM78" s="300"/>
      <c r="AN78" s="300"/>
      <c r="AO78" s="300"/>
      <c r="AP78" s="300">
        <v>5748</v>
      </c>
      <c r="AQ78" s="300"/>
      <c r="AR78" s="300"/>
      <c r="AS78" s="300"/>
      <c r="AT78" s="300"/>
      <c r="AU78" s="300"/>
      <c r="AV78" s="300">
        <v>1642</v>
      </c>
      <c r="AW78" s="300">
        <v>489</v>
      </c>
      <c r="AX78" s="305" t="s">
        <v>221</v>
      </c>
      <c r="AY78" s="305" t="s">
        <v>221</v>
      </c>
      <c r="AZ78" s="305" t="s">
        <v>221</v>
      </c>
      <c r="BA78" s="300">
        <v>449</v>
      </c>
      <c r="BB78" s="300"/>
      <c r="BC78" s="300"/>
      <c r="BD78" s="305" t="s">
        <v>221</v>
      </c>
      <c r="BE78" s="305" t="s">
        <v>221</v>
      </c>
      <c r="BF78" s="305" t="s">
        <v>221</v>
      </c>
      <c r="BG78" s="305" t="s">
        <v>221</v>
      </c>
      <c r="BH78" s="300">
        <v>3105</v>
      </c>
      <c r="BI78" s="300">
        <v>3278</v>
      </c>
      <c r="BJ78" s="305" t="s">
        <v>221</v>
      </c>
      <c r="BK78" s="300">
        <v>1377</v>
      </c>
      <c r="BL78" s="300">
        <v>627</v>
      </c>
      <c r="BM78" s="300">
        <v>585</v>
      </c>
      <c r="BN78" s="305" t="s">
        <v>221</v>
      </c>
      <c r="BO78" s="305" t="s">
        <v>221</v>
      </c>
      <c r="BP78" s="305" t="s">
        <v>221</v>
      </c>
      <c r="BQ78" s="305" t="s">
        <v>221</v>
      </c>
      <c r="BR78" s="305" t="s">
        <v>221</v>
      </c>
      <c r="BS78" s="300">
        <v>639</v>
      </c>
      <c r="BT78" s="300">
        <v>118</v>
      </c>
      <c r="BU78" s="300"/>
      <c r="BV78" s="300">
        <v>2150</v>
      </c>
      <c r="BW78" s="300">
        <v>431</v>
      </c>
      <c r="BX78" s="300">
        <v>444</v>
      </c>
      <c r="BY78" s="300">
        <v>165</v>
      </c>
      <c r="BZ78" s="300"/>
      <c r="CA78" s="300">
        <v>697</v>
      </c>
      <c r="CB78" s="300">
        <v>506</v>
      </c>
      <c r="CC78" s="305" t="s">
        <v>221</v>
      </c>
      <c r="CD78" s="305" t="s">
        <v>221</v>
      </c>
      <c r="CE78" s="295">
        <f t="shared" si="8"/>
        <v>105453</v>
      </c>
      <c r="CF78" s="295"/>
    </row>
    <row r="79" spans="1:84" ht="12.65" customHeight="1" x14ac:dyDescent="0.35">
      <c r="A79" s="302" t="s">
        <v>251</v>
      </c>
      <c r="B79" s="295"/>
      <c r="C79" s="225">
        <v>204432.6</v>
      </c>
      <c r="D79" s="225">
        <v>203209.79</v>
      </c>
      <c r="E79" s="300">
        <v>551205.89</v>
      </c>
      <c r="F79" s="300">
        <v>0</v>
      </c>
      <c r="G79" s="300">
        <v>37965.79</v>
      </c>
      <c r="H79" s="300"/>
      <c r="I79" s="300"/>
      <c r="J79" s="300"/>
      <c r="K79" s="300"/>
      <c r="L79" s="300"/>
      <c r="M79" s="300">
        <v>26675.73</v>
      </c>
      <c r="N79" s="300"/>
      <c r="O79" s="300">
        <v>330071.51</v>
      </c>
      <c r="P79" s="300">
        <v>166060.21</v>
      </c>
      <c r="Q79" s="300">
        <v>0</v>
      </c>
      <c r="R79" s="300">
        <v>0</v>
      </c>
      <c r="S79" s="300">
        <v>21320.87</v>
      </c>
      <c r="T79" s="300">
        <v>0</v>
      </c>
      <c r="U79" s="300">
        <v>2262.39</v>
      </c>
      <c r="V79" s="300">
        <v>0</v>
      </c>
      <c r="W79" s="300">
        <v>20327.439999999999</v>
      </c>
      <c r="X79" s="300">
        <v>0</v>
      </c>
      <c r="Y79" s="300">
        <v>256891.29</v>
      </c>
      <c r="Z79" s="300">
        <v>45209.42</v>
      </c>
      <c r="AA79" s="300">
        <v>0</v>
      </c>
      <c r="AB79" s="300">
        <v>0</v>
      </c>
      <c r="AC79" s="300">
        <v>0</v>
      </c>
      <c r="AD79" s="300">
        <v>0</v>
      </c>
      <c r="AE79" s="300"/>
      <c r="AF79" s="300"/>
      <c r="AG79" s="300">
        <v>366846.1</v>
      </c>
      <c r="AH79" s="300"/>
      <c r="AI79" s="300"/>
      <c r="AJ79" s="300">
        <v>76046.81</v>
      </c>
      <c r="AK79" s="300"/>
      <c r="AL79" s="300"/>
      <c r="AM79" s="300"/>
      <c r="AN79" s="300"/>
      <c r="AO79" s="300"/>
      <c r="AP79" s="300"/>
      <c r="AQ79" s="300"/>
      <c r="AR79" s="300"/>
      <c r="AS79" s="300"/>
      <c r="AT79" s="300"/>
      <c r="AU79" s="300"/>
      <c r="AV79" s="300">
        <v>38997.800000000003</v>
      </c>
      <c r="AW79" s="300"/>
      <c r="AX79" s="305" t="s">
        <v>221</v>
      </c>
      <c r="AY79" s="305" t="s">
        <v>221</v>
      </c>
      <c r="AZ79" s="305" t="s">
        <v>221</v>
      </c>
      <c r="BA79" s="305" t="s">
        <v>221</v>
      </c>
      <c r="BB79" s="300"/>
      <c r="BC79" s="300"/>
      <c r="BD79" s="305" t="s">
        <v>221</v>
      </c>
      <c r="BE79" s="305" t="s">
        <v>221</v>
      </c>
      <c r="BF79" s="305" t="s">
        <v>221</v>
      </c>
      <c r="BG79" s="305" t="s">
        <v>221</v>
      </c>
      <c r="BH79" s="300"/>
      <c r="BI79" s="300">
        <v>28201.16</v>
      </c>
      <c r="BJ79" s="305" t="s">
        <v>221</v>
      </c>
      <c r="BK79" s="300"/>
      <c r="BL79" s="300"/>
      <c r="BM79" s="300"/>
      <c r="BN79" s="305" t="s">
        <v>221</v>
      </c>
      <c r="BO79" s="305" t="s">
        <v>221</v>
      </c>
      <c r="BP79" s="305" t="s">
        <v>221</v>
      </c>
      <c r="BQ79" s="305" t="s">
        <v>221</v>
      </c>
      <c r="BR79" s="305" t="s">
        <v>221</v>
      </c>
      <c r="BS79" s="300"/>
      <c r="BT79" s="300"/>
      <c r="BU79" s="300"/>
      <c r="BV79" s="300"/>
      <c r="BW79" s="300"/>
      <c r="BX79" s="300"/>
      <c r="BY79" s="300"/>
      <c r="BZ79" s="300"/>
      <c r="CA79" s="300"/>
      <c r="CB79" s="300"/>
      <c r="CC79" s="305" t="s">
        <v>221</v>
      </c>
      <c r="CD79" s="305" t="s">
        <v>221</v>
      </c>
      <c r="CE79" s="295">
        <f t="shared" si="8"/>
        <v>2375724.7999999998</v>
      </c>
      <c r="CF79" s="295" t="str">
        <f>BA59</f>
        <v>x</v>
      </c>
    </row>
    <row r="80" spans="1:84" ht="12.65" customHeight="1" x14ac:dyDescent="0.35">
      <c r="A80" s="302" t="s">
        <v>252</v>
      </c>
      <c r="B80" s="295"/>
      <c r="C80" s="187">
        <v>98.293347701149429</v>
      </c>
      <c r="D80" s="187">
        <v>41.484976053639848</v>
      </c>
      <c r="E80" s="187">
        <v>164.65599616858236</v>
      </c>
      <c r="F80" s="187">
        <v>0.15380747126436781</v>
      </c>
      <c r="G80" s="187">
        <v>10.999794061302682</v>
      </c>
      <c r="H80" s="187"/>
      <c r="I80" s="187"/>
      <c r="J80" s="187"/>
      <c r="K80" s="187"/>
      <c r="L80" s="187"/>
      <c r="M80" s="187">
        <f>14.86+3.05</f>
        <v>17.91</v>
      </c>
      <c r="N80" s="187"/>
      <c r="O80" s="187">
        <v>126.34620210727969</v>
      </c>
      <c r="P80" s="187">
        <v>46.564980842911872</v>
      </c>
      <c r="Q80" s="187">
        <v>38.988836206896551</v>
      </c>
      <c r="R80" s="187">
        <v>0</v>
      </c>
      <c r="S80" s="187">
        <v>0</v>
      </c>
      <c r="T80" s="187">
        <v>0</v>
      </c>
      <c r="U80" s="187">
        <v>0.71678639846743297</v>
      </c>
      <c r="V80" s="187">
        <v>0</v>
      </c>
      <c r="W80" s="187">
        <v>0</v>
      </c>
      <c r="X80" s="187">
        <v>0</v>
      </c>
      <c r="Y80" s="187">
        <v>21.796455938697317</v>
      </c>
      <c r="Z80" s="187">
        <v>4.2119492337164743</v>
      </c>
      <c r="AA80" s="187">
        <v>0</v>
      </c>
      <c r="AB80" s="187">
        <v>0</v>
      </c>
      <c r="AC80" s="187">
        <v>4.1786398467432949E-2</v>
      </c>
      <c r="AD80" s="187">
        <v>0</v>
      </c>
      <c r="AE80" s="187"/>
      <c r="AF80" s="187"/>
      <c r="AG80" s="187">
        <v>63.073271072796928</v>
      </c>
      <c r="AH80" s="187"/>
      <c r="AI80" s="187"/>
      <c r="AJ80" s="187">
        <v>48.517844827586202</v>
      </c>
      <c r="AK80" s="187"/>
      <c r="AL80" s="187"/>
      <c r="AM80" s="187"/>
      <c r="AN80" s="187"/>
      <c r="AO80" s="187"/>
      <c r="AP80" s="187">
        <v>14.152452107279693</v>
      </c>
      <c r="AQ80" s="187"/>
      <c r="AR80" s="187">
        <f>138.07+27.42</f>
        <v>165.49</v>
      </c>
      <c r="AS80" s="187"/>
      <c r="AT80" s="187"/>
      <c r="AU80" s="187"/>
      <c r="AV80" s="187">
        <f>7.096+2.35+0.03+0.01+12.44+0.02+0.15+2.65+1.49+14.77+0.01+15.28+0.53+15.99+2.84</f>
        <v>75.655999999999992</v>
      </c>
      <c r="AW80" s="305" t="s">
        <v>221</v>
      </c>
      <c r="AX80" s="305" t="s">
        <v>221</v>
      </c>
      <c r="AY80" s="305" t="s">
        <v>221</v>
      </c>
      <c r="AZ80" s="305" t="s">
        <v>221</v>
      </c>
      <c r="BA80" s="305" t="s">
        <v>221</v>
      </c>
      <c r="BB80" s="305" t="s">
        <v>221</v>
      </c>
      <c r="BC80" s="305" t="s">
        <v>221</v>
      </c>
      <c r="BD80" s="305" t="s">
        <v>221</v>
      </c>
      <c r="BE80" s="305" t="s">
        <v>221</v>
      </c>
      <c r="BF80" s="305" t="s">
        <v>221</v>
      </c>
      <c r="BG80" s="305" t="s">
        <v>221</v>
      </c>
      <c r="BH80" s="305" t="s">
        <v>221</v>
      </c>
      <c r="BI80" s="305" t="s">
        <v>221</v>
      </c>
      <c r="BJ80" s="305" t="s">
        <v>221</v>
      </c>
      <c r="BK80" s="305" t="s">
        <v>221</v>
      </c>
      <c r="BL80" s="305" t="s">
        <v>221</v>
      </c>
      <c r="BM80" s="305" t="s">
        <v>221</v>
      </c>
      <c r="BN80" s="305" t="s">
        <v>221</v>
      </c>
      <c r="BO80" s="305" t="s">
        <v>221</v>
      </c>
      <c r="BP80" s="305" t="s">
        <v>221</v>
      </c>
      <c r="BQ80" s="305" t="s">
        <v>221</v>
      </c>
      <c r="BR80" s="305" t="s">
        <v>221</v>
      </c>
      <c r="BS80" s="305" t="s">
        <v>221</v>
      </c>
      <c r="BT80" s="305" t="s">
        <v>221</v>
      </c>
      <c r="BU80" s="310"/>
      <c r="BV80" s="310"/>
      <c r="BW80" s="310"/>
      <c r="BX80" s="310"/>
      <c r="BY80" s="310"/>
      <c r="BZ80" s="310"/>
      <c r="CA80" s="310"/>
      <c r="CB80" s="310"/>
      <c r="CC80" s="305" t="s">
        <v>221</v>
      </c>
      <c r="CD80" s="305" t="s">
        <v>221</v>
      </c>
      <c r="CE80" s="311">
        <f t="shared" si="8"/>
        <v>939.05448659003832</v>
      </c>
      <c r="CF80" s="311"/>
    </row>
    <row r="81" spans="1:84" ht="21" customHeight="1" x14ac:dyDescent="0.35">
      <c r="A81" s="312" t="s">
        <v>253</v>
      </c>
      <c r="B81" s="312"/>
      <c r="C81" s="312"/>
      <c r="D81" s="312"/>
      <c r="E81" s="31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</row>
    <row r="82" spans="1:84" ht="12.65" customHeight="1" x14ac:dyDescent="0.35">
      <c r="A82" s="302" t="s">
        <v>254</v>
      </c>
      <c r="B82" s="313"/>
      <c r="C82" s="314" t="s">
        <v>1267</v>
      </c>
      <c r="D82" s="315"/>
      <c r="E82" s="295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 s="2"/>
      <c r="CF82" s="2"/>
    </row>
    <row r="83" spans="1:84" ht="12.65" customHeight="1" x14ac:dyDescent="0.35">
      <c r="A83" s="295" t="s">
        <v>255</v>
      </c>
      <c r="B83" s="313" t="s">
        <v>256</v>
      </c>
      <c r="C83" s="316" t="s">
        <v>1268</v>
      </c>
      <c r="D83" s="315"/>
      <c r="E83" s="295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 s="2"/>
      <c r="CF83" s="2"/>
    </row>
    <row r="84" spans="1:84" ht="12.65" customHeight="1" x14ac:dyDescent="0.35">
      <c r="A84" s="295" t="s">
        <v>257</v>
      </c>
      <c r="B84" s="313" t="s">
        <v>256</v>
      </c>
      <c r="C84" s="229" t="s">
        <v>1269</v>
      </c>
      <c r="D84" s="205"/>
      <c r="E84" s="204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</row>
    <row r="85" spans="1:84" ht="12.65" customHeight="1" x14ac:dyDescent="0.35">
      <c r="A85" s="295" t="s">
        <v>1250</v>
      </c>
      <c r="B85" s="313"/>
      <c r="C85" s="271" t="s">
        <v>1270</v>
      </c>
      <c r="D85" s="205"/>
      <c r="E85" s="204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 s="2"/>
      <c r="CF85" s="2"/>
    </row>
    <row r="86" spans="1:84" ht="12.65" customHeight="1" x14ac:dyDescent="0.35">
      <c r="A86" s="295" t="s">
        <v>1251</v>
      </c>
      <c r="B86" s="313" t="s">
        <v>256</v>
      </c>
      <c r="C86" s="230"/>
      <c r="D86" s="205"/>
      <c r="E86" s="204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 s="2"/>
      <c r="CF86" s="2"/>
    </row>
    <row r="87" spans="1:84" ht="12.65" customHeight="1" x14ac:dyDescent="0.35">
      <c r="A87" s="295" t="s">
        <v>258</v>
      </c>
      <c r="B87" s="313" t="s">
        <v>256</v>
      </c>
      <c r="C87" s="229" t="s">
        <v>1271</v>
      </c>
      <c r="D87" s="205"/>
      <c r="E87" s="204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 s="2"/>
      <c r="CF87" s="2"/>
    </row>
    <row r="88" spans="1:84" ht="12.65" customHeight="1" x14ac:dyDescent="0.35">
      <c r="A88" s="295" t="s">
        <v>259</v>
      </c>
      <c r="B88" s="313" t="s">
        <v>256</v>
      </c>
      <c r="C88" s="229" t="s">
        <v>1272</v>
      </c>
      <c r="D88" s="205"/>
      <c r="E88" s="204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 s="2"/>
      <c r="CF88" s="2"/>
    </row>
    <row r="89" spans="1:84" ht="12.65" customHeight="1" x14ac:dyDescent="0.35">
      <c r="A89" s="295" t="s">
        <v>260</v>
      </c>
      <c r="B89" s="313" t="s">
        <v>256</v>
      </c>
      <c r="C89" s="229" t="s">
        <v>1273</v>
      </c>
      <c r="D89" s="205"/>
      <c r="E89" s="204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 s="2"/>
      <c r="CF89" s="2"/>
    </row>
    <row r="90" spans="1:84" ht="12.65" customHeight="1" x14ac:dyDescent="0.35">
      <c r="A90" s="295" t="s">
        <v>261</v>
      </c>
      <c r="B90" s="313" t="s">
        <v>256</v>
      </c>
      <c r="C90" s="229" t="s">
        <v>1274</v>
      </c>
      <c r="D90" s="205"/>
      <c r="E90" s="204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 s="2"/>
      <c r="CF90" s="2"/>
    </row>
    <row r="91" spans="1:84" ht="12.65" customHeight="1" x14ac:dyDescent="0.35">
      <c r="A91" s="295" t="s">
        <v>262</v>
      </c>
      <c r="B91" s="313" t="s">
        <v>256</v>
      </c>
      <c r="C91" s="229" t="s">
        <v>1275</v>
      </c>
      <c r="D91" s="205"/>
      <c r="E91" s="204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 s="2"/>
      <c r="CF91" s="2"/>
    </row>
    <row r="92" spans="1:84" ht="12.65" customHeight="1" x14ac:dyDescent="0.35">
      <c r="A92" s="295" t="s">
        <v>263</v>
      </c>
      <c r="B92" s="313" t="s">
        <v>256</v>
      </c>
      <c r="C92" s="226" t="s">
        <v>1276</v>
      </c>
      <c r="D92" s="315"/>
      <c r="E92" s="295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 s="2"/>
      <c r="CF92" s="2"/>
    </row>
    <row r="93" spans="1:84" ht="12.65" customHeight="1" x14ac:dyDescent="0.35">
      <c r="A93" s="295" t="s">
        <v>264</v>
      </c>
      <c r="B93" s="313" t="s">
        <v>256</v>
      </c>
      <c r="C93" s="270" t="s">
        <v>1277</v>
      </c>
      <c r="D93" s="315"/>
      <c r="E93" s="295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 s="2"/>
      <c r="CF93" s="2"/>
    </row>
    <row r="94" spans="1:84" ht="12.65" customHeight="1" x14ac:dyDescent="0.35">
      <c r="A94" s="295"/>
      <c r="B94" s="295"/>
      <c r="C94" s="303"/>
      <c r="D94" s="295"/>
      <c r="E94" s="295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 s="2"/>
      <c r="CF94" s="2"/>
    </row>
    <row r="95" spans="1:84" ht="12.65" customHeight="1" x14ac:dyDescent="0.35">
      <c r="A95" s="312" t="s">
        <v>265</v>
      </c>
      <c r="B95" s="312"/>
      <c r="C95" s="312"/>
      <c r="D95" s="312"/>
      <c r="E95" s="31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 s="2"/>
      <c r="CF95" s="2"/>
    </row>
    <row r="96" spans="1:84" ht="12.65" customHeight="1" x14ac:dyDescent="0.35">
      <c r="A96" s="317" t="s">
        <v>266</v>
      </c>
      <c r="B96" s="317"/>
      <c r="C96" s="317"/>
      <c r="D96" s="317"/>
      <c r="E96" s="317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 s="2"/>
      <c r="CF96" s="2"/>
    </row>
    <row r="97" spans="1:84" ht="12.65" customHeight="1" x14ac:dyDescent="0.35">
      <c r="A97" s="295" t="s">
        <v>267</v>
      </c>
      <c r="B97" s="313" t="s">
        <v>256</v>
      </c>
      <c r="C97" s="189"/>
      <c r="D97" s="295"/>
      <c r="E97" s="295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 s="2"/>
      <c r="CF97" s="2"/>
    </row>
    <row r="98" spans="1:84" ht="12.65" customHeight="1" x14ac:dyDescent="0.35">
      <c r="A98" s="295" t="s">
        <v>259</v>
      </c>
      <c r="B98" s="313" t="s">
        <v>256</v>
      </c>
      <c r="C98" s="189"/>
      <c r="D98" s="295"/>
      <c r="E98" s="295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 s="2"/>
      <c r="CF98" s="2"/>
    </row>
    <row r="99" spans="1:84" ht="12.65" customHeight="1" x14ac:dyDescent="0.35">
      <c r="A99" s="295" t="s">
        <v>268</v>
      </c>
      <c r="B99" s="313" t="s">
        <v>256</v>
      </c>
      <c r="C99" s="189" t="s">
        <v>1278</v>
      </c>
      <c r="D99" s="295"/>
      <c r="E99" s="295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 s="2"/>
      <c r="CF99" s="2"/>
    </row>
    <row r="100" spans="1:84" ht="12.65" customHeight="1" x14ac:dyDescent="0.35">
      <c r="A100" s="317" t="s">
        <v>269</v>
      </c>
      <c r="B100" s="317"/>
      <c r="C100" s="317"/>
      <c r="D100" s="317"/>
      <c r="E100" s="317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 s="2"/>
      <c r="CF100" s="2"/>
    </row>
    <row r="101" spans="1:84" ht="12.65" customHeight="1" x14ac:dyDescent="0.35">
      <c r="A101" s="295" t="s">
        <v>270</v>
      </c>
      <c r="B101" s="313" t="s">
        <v>256</v>
      </c>
      <c r="C101" s="189"/>
      <c r="D101" s="295"/>
      <c r="E101" s="295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 s="2"/>
      <c r="CF101" s="2"/>
    </row>
    <row r="102" spans="1:84" ht="12.65" customHeight="1" x14ac:dyDescent="0.35">
      <c r="A102" s="295" t="s">
        <v>132</v>
      </c>
      <c r="B102" s="313" t="s">
        <v>256</v>
      </c>
      <c r="C102" s="222"/>
      <c r="D102" s="295"/>
      <c r="E102" s="295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 s="2"/>
      <c r="CF102" s="2"/>
    </row>
    <row r="103" spans="1:84" ht="12.65" customHeight="1" x14ac:dyDescent="0.35">
      <c r="A103" s="317" t="s">
        <v>271</v>
      </c>
      <c r="B103" s="317"/>
      <c r="C103" s="317"/>
      <c r="D103" s="317"/>
      <c r="E103" s="317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 s="2"/>
      <c r="CF103" s="2"/>
    </row>
    <row r="104" spans="1:84" ht="12.65" customHeight="1" x14ac:dyDescent="0.35">
      <c r="A104" s="295" t="s">
        <v>272</v>
      </c>
      <c r="B104" s="313" t="s">
        <v>256</v>
      </c>
      <c r="C104" s="189"/>
      <c r="D104" s="295"/>
      <c r="E104" s="295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  <c r="BU104" s="2"/>
      <c r="BV104" s="2"/>
      <c r="BW104" s="2"/>
      <c r="BX104" s="2"/>
      <c r="BY104" s="2"/>
      <c r="BZ104" s="2"/>
      <c r="CA104" s="2"/>
      <c r="CB104" s="2"/>
      <c r="CC104" s="2"/>
      <c r="CD104" s="2"/>
      <c r="CE104" s="2"/>
      <c r="CF104" s="2"/>
    </row>
    <row r="105" spans="1:84" ht="12.65" customHeight="1" x14ac:dyDescent="0.35">
      <c r="A105" s="295" t="s">
        <v>273</v>
      </c>
      <c r="B105" s="313" t="s">
        <v>256</v>
      </c>
      <c r="C105" s="189"/>
      <c r="D105" s="295"/>
      <c r="E105" s="295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  <c r="BU105" s="2"/>
      <c r="BV105" s="2"/>
      <c r="BW105" s="2"/>
      <c r="BX105" s="2"/>
      <c r="BY105" s="2"/>
      <c r="BZ105" s="2"/>
      <c r="CA105" s="2"/>
      <c r="CB105" s="2"/>
      <c r="CC105" s="2"/>
      <c r="CD105" s="2"/>
      <c r="CE105" s="2"/>
      <c r="CF105" s="2"/>
    </row>
    <row r="106" spans="1:84" ht="12.65" customHeight="1" x14ac:dyDescent="0.35">
      <c r="A106" s="295" t="s">
        <v>274</v>
      </c>
      <c r="B106" s="313" t="s">
        <v>256</v>
      </c>
      <c r="C106" s="189"/>
      <c r="D106" s="295"/>
      <c r="E106" s="295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  <c r="BU106" s="2"/>
      <c r="BV106" s="2"/>
      <c r="BW106" s="2"/>
      <c r="BX106" s="2"/>
      <c r="BY106" s="2"/>
      <c r="BZ106" s="2"/>
      <c r="CA106" s="2"/>
      <c r="CB106" s="2"/>
      <c r="CC106" s="2"/>
      <c r="CD106" s="2"/>
      <c r="CE106" s="2"/>
      <c r="CF106" s="2"/>
    </row>
    <row r="107" spans="1:84" ht="12.65" customHeight="1" x14ac:dyDescent="0.35">
      <c r="A107" s="295"/>
      <c r="B107" s="313"/>
      <c r="C107" s="318"/>
      <c r="D107" s="295"/>
      <c r="E107" s="295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  <c r="BU107" s="2"/>
      <c r="BV107" s="2"/>
      <c r="BW107" s="2"/>
      <c r="BX107" s="2"/>
      <c r="BY107" s="2"/>
      <c r="BZ107" s="2"/>
      <c r="CA107" s="2"/>
      <c r="CB107" s="2"/>
      <c r="CC107" s="2"/>
      <c r="CD107" s="2"/>
      <c r="CE107" s="2"/>
      <c r="CF107" s="2"/>
    </row>
    <row r="108" spans="1:84" ht="21.75" customHeight="1" x14ac:dyDescent="0.35">
      <c r="A108" s="319" t="s">
        <v>275</v>
      </c>
      <c r="B108" s="312"/>
      <c r="C108" s="312"/>
      <c r="D108" s="312"/>
      <c r="E108" s="31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  <c r="BU108" s="2"/>
      <c r="BV108" s="2"/>
      <c r="BW108" s="2"/>
      <c r="BX108" s="2"/>
      <c r="BY108" s="2"/>
      <c r="BZ108" s="2"/>
      <c r="CA108" s="2"/>
      <c r="CB108" s="2"/>
      <c r="CC108" s="2"/>
      <c r="CD108" s="2"/>
      <c r="CE108" s="2"/>
      <c r="CF108" s="2"/>
    </row>
    <row r="109" spans="1:84" ht="13.5" customHeight="1" x14ac:dyDescent="0.35">
      <c r="A109" s="295"/>
      <c r="B109" s="313"/>
      <c r="C109" s="318"/>
      <c r="D109" s="295"/>
      <c r="E109" s="295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  <c r="BU109" s="2"/>
      <c r="BV109" s="2"/>
      <c r="BW109" s="2"/>
      <c r="BX109" s="2"/>
      <c r="BY109" s="2"/>
      <c r="BZ109" s="2"/>
      <c r="CA109" s="2"/>
      <c r="CB109" s="2"/>
      <c r="CC109" s="2"/>
      <c r="CD109" s="2"/>
      <c r="CE109" s="2"/>
      <c r="CF109" s="2"/>
    </row>
    <row r="110" spans="1:84" ht="13.5" customHeight="1" x14ac:dyDescent="0.35">
      <c r="A110" s="302" t="s">
        <v>276</v>
      </c>
      <c r="B110" s="295"/>
      <c r="C110" s="296" t="s">
        <v>277</v>
      </c>
      <c r="D110" s="297" t="s">
        <v>215</v>
      </c>
      <c r="E110" s="295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  <c r="BU110" s="2"/>
      <c r="BV110" s="2"/>
      <c r="BW110" s="2"/>
      <c r="BX110" s="2"/>
      <c r="BY110" s="2"/>
      <c r="BZ110" s="2"/>
      <c r="CA110" s="2"/>
      <c r="CB110" s="2"/>
      <c r="CC110" s="2"/>
      <c r="CD110" s="2"/>
      <c r="CE110" s="2"/>
      <c r="CF110" s="2"/>
    </row>
    <row r="111" spans="1:84" ht="12.65" customHeight="1" x14ac:dyDescent="0.35">
      <c r="A111" s="295" t="s">
        <v>278</v>
      </c>
      <c r="B111" s="313" t="s">
        <v>256</v>
      </c>
      <c r="C111" s="189">
        <v>13819</v>
      </c>
      <c r="D111" s="174">
        <v>61292</v>
      </c>
      <c r="E111" s="295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  <c r="BU111" s="2"/>
      <c r="BV111" s="2"/>
      <c r="BW111" s="2"/>
      <c r="BX111" s="2"/>
      <c r="BY111" s="2"/>
      <c r="BZ111" s="2"/>
      <c r="CA111" s="2"/>
      <c r="CB111" s="2"/>
      <c r="CC111" s="2"/>
      <c r="CD111" s="2"/>
      <c r="CE111" s="2"/>
      <c r="CF111" s="2"/>
    </row>
    <row r="112" spans="1:84" ht="12.65" customHeight="1" x14ac:dyDescent="0.35">
      <c r="A112" s="295" t="s">
        <v>279</v>
      </c>
      <c r="B112" s="313" t="s">
        <v>256</v>
      </c>
      <c r="C112" s="189"/>
      <c r="D112" s="174"/>
      <c r="E112" s="295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  <c r="BU112" s="2"/>
      <c r="BV112" s="2"/>
      <c r="BW112" s="2"/>
      <c r="BX112" s="2"/>
      <c r="BY112" s="2"/>
      <c r="BZ112" s="2"/>
      <c r="CA112" s="2"/>
      <c r="CB112" s="2"/>
      <c r="CC112" s="2"/>
      <c r="CD112" s="2"/>
      <c r="CE112" s="2"/>
      <c r="CF112" s="2"/>
    </row>
    <row r="113" spans="1:84" ht="12.65" customHeight="1" x14ac:dyDescent="0.35">
      <c r="A113" s="295" t="s">
        <v>280</v>
      </c>
      <c r="B113" s="313" t="s">
        <v>256</v>
      </c>
      <c r="C113" s="189"/>
      <c r="D113" s="174"/>
      <c r="E113" s="295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  <c r="BU113" s="2"/>
      <c r="BV113" s="2"/>
      <c r="BW113" s="2"/>
      <c r="BX113" s="2"/>
      <c r="BY113" s="2"/>
      <c r="BZ113" s="2"/>
      <c r="CA113" s="2"/>
      <c r="CB113" s="2"/>
      <c r="CC113" s="2"/>
      <c r="CD113" s="2"/>
      <c r="CE113" s="2"/>
      <c r="CF113" s="2"/>
    </row>
    <row r="114" spans="1:84" ht="12.65" customHeight="1" x14ac:dyDescent="0.35">
      <c r="A114" s="295" t="s">
        <v>281</v>
      </c>
      <c r="B114" s="313" t="s">
        <v>256</v>
      </c>
      <c r="C114" s="189">
        <v>4451</v>
      </c>
      <c r="D114" s="174"/>
      <c r="E114" s="295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  <c r="BU114" s="2"/>
      <c r="BV114" s="2"/>
      <c r="BW114" s="2"/>
      <c r="BX114" s="2"/>
      <c r="BY114" s="2"/>
      <c r="BZ114" s="2"/>
      <c r="CA114" s="2"/>
      <c r="CB114" s="2"/>
      <c r="CC114" s="2"/>
      <c r="CD114" s="2"/>
      <c r="CE114" s="2"/>
      <c r="CF114" s="2"/>
    </row>
    <row r="115" spans="1:84" ht="12.65" customHeight="1" x14ac:dyDescent="0.35">
      <c r="A115" s="302" t="s">
        <v>282</v>
      </c>
      <c r="B115" s="295"/>
      <c r="C115" s="296" t="s">
        <v>167</v>
      </c>
      <c r="D115" s="295"/>
      <c r="E115" s="295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  <c r="BU115" s="2"/>
      <c r="BV115" s="2"/>
      <c r="BW115" s="2"/>
      <c r="BX115" s="2"/>
      <c r="BY115" s="2"/>
      <c r="BZ115" s="2"/>
      <c r="CA115" s="2"/>
      <c r="CB115" s="2"/>
      <c r="CC115" s="2"/>
      <c r="CD115" s="2"/>
      <c r="CE115" s="2"/>
      <c r="CF115" s="2"/>
    </row>
    <row r="116" spans="1:84" ht="12.65" customHeight="1" x14ac:dyDescent="0.35">
      <c r="A116" s="295" t="s">
        <v>283</v>
      </c>
      <c r="B116" s="313" t="s">
        <v>256</v>
      </c>
      <c r="C116" s="189">
        <v>20</v>
      </c>
      <c r="D116" s="295"/>
      <c r="E116" s="295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  <c r="BU116" s="2"/>
      <c r="BV116" s="2"/>
      <c r="BW116" s="2"/>
      <c r="BX116" s="2"/>
      <c r="BY116" s="2"/>
      <c r="BZ116" s="2"/>
      <c r="CA116" s="2"/>
      <c r="CB116" s="2"/>
      <c r="CC116" s="2"/>
      <c r="CD116" s="2"/>
      <c r="CE116" s="2"/>
      <c r="CF116" s="2"/>
    </row>
    <row r="117" spans="1:84" ht="12.65" customHeight="1" x14ac:dyDescent="0.35">
      <c r="A117" s="295" t="s">
        <v>284</v>
      </c>
      <c r="B117" s="313" t="s">
        <v>256</v>
      </c>
      <c r="C117" s="189">
        <v>31</v>
      </c>
      <c r="D117" s="295"/>
      <c r="E117" s="295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  <c r="BU117" s="2"/>
      <c r="BV117" s="2"/>
      <c r="BW117" s="2"/>
      <c r="BX117" s="2"/>
      <c r="BY117" s="2"/>
      <c r="BZ117" s="2"/>
      <c r="CA117" s="2"/>
      <c r="CB117" s="2"/>
      <c r="CC117" s="2"/>
      <c r="CD117" s="2"/>
      <c r="CE117" s="2"/>
      <c r="CF117" s="2"/>
    </row>
    <row r="118" spans="1:84" ht="12.65" customHeight="1" x14ac:dyDescent="0.35">
      <c r="A118" s="295" t="s">
        <v>1238</v>
      </c>
      <c r="B118" s="313" t="s">
        <v>256</v>
      </c>
      <c r="C118" s="189">
        <v>153</v>
      </c>
      <c r="D118" s="295"/>
      <c r="E118" s="295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  <c r="BT118" s="2"/>
      <c r="BU118" s="2"/>
      <c r="BV118" s="2"/>
      <c r="BW118" s="2"/>
      <c r="BX118" s="2"/>
      <c r="BY118" s="2"/>
      <c r="BZ118" s="2"/>
      <c r="CA118" s="2"/>
      <c r="CB118" s="2"/>
      <c r="CC118" s="2"/>
      <c r="CD118" s="2"/>
      <c r="CE118" s="2"/>
      <c r="CF118" s="2"/>
    </row>
    <row r="119" spans="1:84" ht="12.65" customHeight="1" x14ac:dyDescent="0.35">
      <c r="A119" s="295" t="s">
        <v>285</v>
      </c>
      <c r="B119" s="313" t="s">
        <v>256</v>
      </c>
      <c r="C119" s="189">
        <v>1</v>
      </c>
      <c r="D119" s="295"/>
      <c r="E119" s="295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  <c r="BU119" s="2"/>
      <c r="BV119" s="2"/>
      <c r="BW119" s="2"/>
      <c r="BX119" s="2"/>
      <c r="BY119" s="2"/>
      <c r="BZ119" s="2"/>
      <c r="CA119" s="2"/>
      <c r="CB119" s="2"/>
      <c r="CC119" s="2"/>
      <c r="CD119" s="2"/>
      <c r="CE119" s="2"/>
      <c r="CF119" s="2"/>
    </row>
    <row r="120" spans="1:84" ht="12.65" customHeight="1" x14ac:dyDescent="0.35">
      <c r="A120" s="295" t="s">
        <v>286</v>
      </c>
      <c r="B120" s="313" t="s">
        <v>256</v>
      </c>
      <c r="C120" s="189">
        <v>36</v>
      </c>
      <c r="D120" s="295"/>
      <c r="E120" s="295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2"/>
      <c r="BU120" s="2"/>
      <c r="BV120" s="2"/>
      <c r="BW120" s="2"/>
      <c r="BX120" s="2"/>
      <c r="BY120" s="2"/>
      <c r="BZ120" s="2"/>
      <c r="CA120" s="2"/>
      <c r="CB120" s="2"/>
      <c r="CC120" s="2"/>
      <c r="CD120" s="2"/>
      <c r="CE120" s="2"/>
      <c r="CF120" s="2"/>
    </row>
    <row r="121" spans="1:84" ht="12.65" customHeight="1" x14ac:dyDescent="0.35">
      <c r="A121" s="295" t="s">
        <v>287</v>
      </c>
      <c r="B121" s="313" t="s">
        <v>256</v>
      </c>
      <c r="C121" s="189">
        <v>14</v>
      </c>
      <c r="D121" s="295"/>
      <c r="E121" s="295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2"/>
      <c r="BU121" s="2"/>
      <c r="BV121" s="2"/>
      <c r="BW121" s="2"/>
      <c r="BX121" s="2"/>
      <c r="BY121" s="2"/>
      <c r="BZ121" s="2"/>
      <c r="CA121" s="2"/>
      <c r="CB121" s="2"/>
      <c r="CC121" s="2"/>
      <c r="CD121" s="2"/>
      <c r="CE121" s="2"/>
      <c r="CF121" s="2"/>
    </row>
    <row r="122" spans="1:84" ht="12.65" customHeight="1" x14ac:dyDescent="0.35">
      <c r="A122" s="295" t="s">
        <v>97</v>
      </c>
      <c r="B122" s="313" t="s">
        <v>256</v>
      </c>
      <c r="C122" s="189"/>
      <c r="D122" s="295"/>
      <c r="E122" s="295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  <c r="BS122" s="2"/>
      <c r="BT122" s="2"/>
      <c r="BU122" s="2"/>
      <c r="BV122" s="2"/>
      <c r="BW122" s="2"/>
      <c r="BX122" s="2"/>
      <c r="BY122" s="2"/>
      <c r="BZ122" s="2"/>
      <c r="CA122" s="2"/>
      <c r="CB122" s="2"/>
      <c r="CC122" s="2"/>
      <c r="CD122" s="2"/>
      <c r="CE122" s="2"/>
      <c r="CF122" s="2"/>
    </row>
    <row r="123" spans="1:84" ht="12.65" customHeight="1" x14ac:dyDescent="0.35">
      <c r="A123" s="295" t="s">
        <v>288</v>
      </c>
      <c r="B123" s="313" t="s">
        <v>256</v>
      </c>
      <c r="C123" s="189"/>
      <c r="D123" s="295"/>
      <c r="E123" s="295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  <c r="BS123" s="2"/>
      <c r="BT123" s="2"/>
      <c r="BU123" s="2"/>
      <c r="BV123" s="2"/>
      <c r="BW123" s="2"/>
      <c r="BX123" s="2"/>
      <c r="BY123" s="2"/>
      <c r="BZ123" s="2"/>
      <c r="CA123" s="2"/>
      <c r="CB123" s="2"/>
      <c r="CC123" s="2"/>
      <c r="CD123" s="2"/>
      <c r="CE123" s="2"/>
      <c r="CF123" s="2"/>
    </row>
    <row r="124" spans="1:84" ht="12.65" customHeight="1" x14ac:dyDescent="0.35">
      <c r="A124" s="295" t="s">
        <v>289</v>
      </c>
      <c r="B124" s="313"/>
      <c r="C124" s="189"/>
      <c r="D124" s="295"/>
      <c r="E124" s="295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  <c r="BU124" s="2"/>
      <c r="BV124" s="2"/>
      <c r="BW124" s="2"/>
      <c r="BX124" s="2"/>
      <c r="BY124" s="2"/>
      <c r="BZ124" s="2"/>
      <c r="CA124" s="2"/>
      <c r="CB124" s="2"/>
      <c r="CC124" s="2"/>
      <c r="CD124" s="2"/>
      <c r="CE124" s="2"/>
      <c r="CF124" s="2"/>
    </row>
    <row r="125" spans="1:84" ht="12.65" customHeight="1" x14ac:dyDescent="0.35">
      <c r="A125" s="295" t="s">
        <v>280</v>
      </c>
      <c r="B125" s="313" t="s">
        <v>256</v>
      </c>
      <c r="C125" s="189"/>
      <c r="D125" s="295"/>
      <c r="E125" s="295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  <c r="BU125" s="2"/>
      <c r="BV125" s="2"/>
      <c r="BW125" s="2"/>
      <c r="BX125" s="2"/>
      <c r="BY125" s="2"/>
      <c r="BZ125" s="2"/>
      <c r="CA125" s="2"/>
      <c r="CB125" s="2"/>
      <c r="CC125" s="2"/>
      <c r="CD125" s="2"/>
      <c r="CE125" s="2"/>
      <c r="CF125" s="2"/>
    </row>
    <row r="126" spans="1:84" ht="12.65" customHeight="1" x14ac:dyDescent="0.35">
      <c r="A126" s="295" t="s">
        <v>290</v>
      </c>
      <c r="B126" s="313" t="s">
        <v>256</v>
      </c>
      <c r="C126" s="189">
        <v>41</v>
      </c>
      <c r="D126" s="295"/>
      <c r="E126" s="295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S126" s="2"/>
      <c r="BT126" s="2"/>
      <c r="BU126" s="2"/>
      <c r="BV126" s="2"/>
      <c r="BW126" s="2"/>
      <c r="BX126" s="2"/>
      <c r="BY126" s="2"/>
      <c r="BZ126" s="2"/>
      <c r="CA126" s="2"/>
      <c r="CB126" s="2"/>
      <c r="CC126" s="2"/>
      <c r="CD126" s="2"/>
      <c r="CE126" s="2"/>
      <c r="CF126" s="2"/>
    </row>
    <row r="127" spans="1:84" ht="12.65" customHeight="1" x14ac:dyDescent="0.35">
      <c r="A127" s="295" t="s">
        <v>291</v>
      </c>
      <c r="B127" s="295"/>
      <c r="C127" s="303"/>
      <c r="D127" s="295"/>
      <c r="E127" s="295">
        <f>SUM(C116:C126)</f>
        <v>296</v>
      </c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2"/>
      <c r="BT127" s="2"/>
      <c r="BU127" s="2"/>
      <c r="BV127" s="2"/>
      <c r="BW127" s="2"/>
      <c r="BX127" s="2"/>
      <c r="BY127" s="2"/>
      <c r="BZ127" s="2"/>
      <c r="CA127" s="2"/>
      <c r="CB127" s="2"/>
      <c r="CC127" s="2"/>
      <c r="CD127" s="2"/>
      <c r="CE127" s="2"/>
      <c r="CF127" s="2"/>
    </row>
    <row r="128" spans="1:84" ht="12.65" customHeight="1" x14ac:dyDescent="0.35">
      <c r="A128" s="295" t="s">
        <v>292</v>
      </c>
      <c r="B128" s="313" t="s">
        <v>256</v>
      </c>
      <c r="C128" s="189">
        <v>318</v>
      </c>
      <c r="D128" s="295"/>
      <c r="E128" s="295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S128" s="2"/>
      <c r="BT128" s="2"/>
      <c r="BU128" s="2"/>
      <c r="BV128" s="2"/>
      <c r="BW128" s="2"/>
      <c r="BX128" s="2"/>
      <c r="BY128" s="2"/>
      <c r="BZ128" s="2"/>
      <c r="CA128" s="2"/>
      <c r="CB128" s="2"/>
      <c r="CC128" s="2"/>
      <c r="CD128" s="2"/>
      <c r="CE128" s="2"/>
      <c r="CF128" s="2"/>
    </row>
    <row r="129" spans="1:84" ht="12.65" customHeight="1" x14ac:dyDescent="0.35">
      <c r="A129" s="295" t="s">
        <v>293</v>
      </c>
      <c r="B129" s="313" t="s">
        <v>256</v>
      </c>
      <c r="C129" s="189"/>
      <c r="D129" s="295"/>
      <c r="E129" s="295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/>
      <c r="BS129" s="2"/>
      <c r="BT129" s="2"/>
      <c r="BU129" s="2"/>
      <c r="BV129" s="2"/>
      <c r="BW129" s="2"/>
      <c r="BX129" s="2"/>
      <c r="BY129" s="2"/>
      <c r="BZ129" s="2"/>
      <c r="CA129" s="2"/>
      <c r="CB129" s="2"/>
      <c r="CC129" s="2"/>
      <c r="CD129" s="2"/>
      <c r="CE129" s="2"/>
      <c r="CF129" s="2"/>
    </row>
    <row r="130" spans="1:84" ht="12.65" customHeight="1" x14ac:dyDescent="0.35">
      <c r="A130" s="295"/>
      <c r="B130" s="295"/>
      <c r="C130" s="303"/>
      <c r="D130" s="295"/>
      <c r="E130" s="295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  <c r="BR130" s="2"/>
      <c r="BS130" s="2"/>
      <c r="BT130" s="2"/>
      <c r="BU130" s="2"/>
      <c r="BV130" s="2"/>
      <c r="BW130" s="2"/>
      <c r="BX130" s="2"/>
      <c r="BY130" s="2"/>
      <c r="BZ130" s="2"/>
      <c r="CA130" s="2"/>
      <c r="CB130" s="2"/>
      <c r="CC130" s="2"/>
      <c r="CD130" s="2"/>
      <c r="CE130" s="2"/>
      <c r="CF130" s="2"/>
    </row>
    <row r="131" spans="1:84" ht="12.65" customHeight="1" x14ac:dyDescent="0.35">
      <c r="A131" s="295" t="s">
        <v>294</v>
      </c>
      <c r="B131" s="313" t="s">
        <v>256</v>
      </c>
      <c r="C131" s="189"/>
      <c r="D131" s="295"/>
      <c r="E131" s="295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  <c r="BS131" s="2"/>
      <c r="BT131" s="2"/>
      <c r="BU131" s="2"/>
      <c r="BV131" s="2"/>
      <c r="BW131" s="2"/>
      <c r="BX131" s="2"/>
      <c r="BY131" s="2"/>
      <c r="BZ131" s="2"/>
      <c r="CA131" s="2"/>
      <c r="CB131" s="2"/>
      <c r="CC131" s="2"/>
      <c r="CD131" s="2"/>
      <c r="CE131" s="2"/>
      <c r="CF131" s="2"/>
    </row>
    <row r="132" spans="1:84" ht="12.65" customHeight="1" x14ac:dyDescent="0.35">
      <c r="A132" s="295"/>
      <c r="B132" s="295"/>
      <c r="C132" s="303"/>
      <c r="D132" s="295"/>
      <c r="E132" s="295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  <c r="BR132" s="2"/>
      <c r="BS132" s="2"/>
      <c r="BT132" s="2"/>
      <c r="BU132" s="2"/>
      <c r="BV132" s="2"/>
      <c r="BW132" s="2"/>
      <c r="BX132" s="2"/>
      <c r="BY132" s="2"/>
      <c r="BZ132" s="2"/>
      <c r="CA132" s="2"/>
      <c r="CB132" s="2"/>
      <c r="CC132" s="2"/>
      <c r="CD132" s="2"/>
      <c r="CE132" s="2"/>
      <c r="CF132" s="2"/>
    </row>
    <row r="133" spans="1:84" ht="12.65" customHeight="1" x14ac:dyDescent="0.35">
      <c r="A133" s="295"/>
      <c r="B133" s="295"/>
      <c r="C133" s="303"/>
      <c r="D133" s="295"/>
      <c r="E133" s="295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  <c r="BS133" s="2"/>
      <c r="BT133" s="2"/>
      <c r="BU133" s="2"/>
      <c r="BV133" s="2"/>
      <c r="BW133" s="2"/>
      <c r="BX133" s="2"/>
      <c r="BY133" s="2"/>
      <c r="BZ133" s="2"/>
      <c r="CA133" s="2"/>
      <c r="CB133" s="2"/>
      <c r="CC133" s="2"/>
      <c r="CD133" s="2"/>
      <c r="CE133" s="2"/>
      <c r="CF133" s="2"/>
    </row>
    <row r="134" spans="1:84" ht="12.65" customHeight="1" x14ac:dyDescent="0.35">
      <c r="A134" s="295"/>
      <c r="B134" s="295"/>
      <c r="C134" s="303"/>
      <c r="D134" s="295"/>
      <c r="E134" s="295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/>
      <c r="BS134" s="2"/>
      <c r="BT134" s="2"/>
      <c r="BU134" s="2"/>
      <c r="BV134" s="2"/>
      <c r="BW134" s="2"/>
      <c r="BX134" s="2"/>
      <c r="BY134" s="2"/>
      <c r="BZ134" s="2"/>
      <c r="CA134" s="2"/>
      <c r="CB134" s="2"/>
      <c r="CC134" s="2"/>
      <c r="CD134" s="2"/>
      <c r="CE134" s="2"/>
      <c r="CF134" s="2"/>
    </row>
    <row r="135" spans="1:84" ht="12.65" customHeight="1" x14ac:dyDescent="0.35">
      <c r="A135" s="295"/>
      <c r="B135" s="295"/>
      <c r="C135" s="303"/>
      <c r="D135" s="295"/>
      <c r="E135" s="295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  <c r="BR135" s="2"/>
      <c r="BS135" s="2"/>
      <c r="BT135" s="2"/>
      <c r="BU135" s="2"/>
      <c r="BV135" s="2"/>
      <c r="BW135" s="2"/>
      <c r="BX135" s="2"/>
      <c r="BY135" s="2"/>
      <c r="BZ135" s="2"/>
      <c r="CA135" s="2"/>
      <c r="CB135" s="2"/>
      <c r="CC135" s="2"/>
      <c r="CD135" s="2"/>
      <c r="CE135" s="2"/>
      <c r="CF135" s="2"/>
    </row>
    <row r="136" spans="1:84" ht="18" customHeight="1" x14ac:dyDescent="0.35">
      <c r="A136" s="312" t="s">
        <v>1239</v>
      </c>
      <c r="B136" s="319"/>
      <c r="C136" s="319"/>
      <c r="D136" s="319"/>
      <c r="E136" s="319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  <c r="BS136" s="2"/>
      <c r="BT136" s="2"/>
      <c r="BU136" s="2"/>
      <c r="BV136" s="2"/>
      <c r="BW136" s="2"/>
      <c r="BX136" s="2"/>
      <c r="BY136" s="2"/>
      <c r="BZ136" s="2"/>
      <c r="CA136" s="2"/>
      <c r="CB136" s="2"/>
      <c r="CC136" s="2"/>
      <c r="CD136" s="2"/>
      <c r="CE136" s="2"/>
      <c r="CF136" s="2"/>
    </row>
    <row r="137" spans="1:84" ht="12.65" customHeight="1" x14ac:dyDescent="0.35">
      <c r="A137" s="320" t="s">
        <v>295</v>
      </c>
      <c r="B137" s="321" t="s">
        <v>296</v>
      </c>
      <c r="C137" s="322" t="s">
        <v>297</v>
      </c>
      <c r="D137" s="321" t="s">
        <v>132</v>
      </c>
      <c r="E137" s="321" t="s">
        <v>203</v>
      </c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  <c r="BR137" s="2"/>
      <c r="BS137" s="2"/>
      <c r="BT137" s="2"/>
      <c r="BU137" s="2"/>
      <c r="BV137" s="2"/>
      <c r="BW137" s="2"/>
      <c r="BX137" s="2"/>
      <c r="BY137" s="2"/>
      <c r="BZ137" s="2"/>
      <c r="CA137" s="2"/>
      <c r="CB137" s="2"/>
      <c r="CC137" s="2"/>
      <c r="CD137" s="2"/>
      <c r="CE137" s="2"/>
      <c r="CF137" s="2"/>
    </row>
    <row r="138" spans="1:84" ht="12.65" customHeight="1" x14ac:dyDescent="0.35">
      <c r="A138" s="295" t="s">
        <v>277</v>
      </c>
      <c r="B138" s="174">
        <v>5284</v>
      </c>
      <c r="C138" s="189">
        <v>2335</v>
      </c>
      <c r="D138" s="174">
        <f>13819-B138-C138</f>
        <v>6200</v>
      </c>
      <c r="E138" s="295">
        <f>SUM(B138:D138)</f>
        <v>13819</v>
      </c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  <c r="BR138" s="2"/>
      <c r="BS138" s="2"/>
      <c r="BT138" s="2"/>
      <c r="BU138" s="2"/>
      <c r="BV138" s="2"/>
      <c r="BW138" s="2"/>
      <c r="BX138" s="2"/>
      <c r="BY138" s="2"/>
      <c r="BZ138" s="2"/>
      <c r="CA138" s="2"/>
      <c r="CB138" s="2"/>
      <c r="CC138" s="2"/>
      <c r="CD138" s="2"/>
      <c r="CE138" s="2"/>
      <c r="CF138" s="2"/>
    </row>
    <row r="139" spans="1:84" ht="12.65" customHeight="1" x14ac:dyDescent="0.35">
      <c r="A139" s="295" t="s">
        <v>215</v>
      </c>
      <c r="B139" s="174">
        <v>36261</v>
      </c>
      <c r="C139" s="189">
        <v>10340</v>
      </c>
      <c r="D139" s="174">
        <f>61292-B139-C139</f>
        <v>14691</v>
      </c>
      <c r="E139" s="295">
        <f>SUM(B139:D139)</f>
        <v>61292</v>
      </c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  <c r="BR139" s="2"/>
      <c r="BS139" s="2"/>
      <c r="BT139" s="2"/>
      <c r="BU139" s="2"/>
      <c r="BV139" s="2"/>
      <c r="BW139" s="2"/>
      <c r="BX139" s="2"/>
      <c r="BY139" s="2"/>
      <c r="BZ139" s="2"/>
      <c r="CA139" s="2"/>
      <c r="CB139" s="2"/>
      <c r="CC139" s="2"/>
      <c r="CD139" s="2"/>
      <c r="CE139" s="2"/>
      <c r="CF139" s="2"/>
    </row>
    <row r="140" spans="1:84" ht="12.65" customHeight="1" x14ac:dyDescent="0.35">
      <c r="A140" s="295" t="s">
        <v>298</v>
      </c>
      <c r="B140" s="174"/>
      <c r="C140" s="174"/>
      <c r="D140" s="174"/>
      <c r="E140" s="295">
        <f>SUM(B140:D140)</f>
        <v>0</v>
      </c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  <c r="BR140" s="2"/>
      <c r="BS140" s="2"/>
      <c r="BT140" s="2"/>
      <c r="BU140" s="2"/>
      <c r="BV140" s="2"/>
      <c r="BW140" s="2"/>
      <c r="BX140" s="2"/>
      <c r="BY140" s="2"/>
      <c r="BZ140" s="2"/>
      <c r="CA140" s="2"/>
      <c r="CB140" s="2"/>
      <c r="CC140" s="2"/>
      <c r="CD140" s="2"/>
      <c r="CE140" s="2"/>
      <c r="CF140" s="2"/>
    </row>
    <row r="141" spans="1:84" ht="12.65" customHeight="1" x14ac:dyDescent="0.35">
      <c r="A141" s="295" t="s">
        <v>245</v>
      </c>
      <c r="B141" s="174">
        <v>384217848</v>
      </c>
      <c r="C141" s="189">
        <v>101925545</v>
      </c>
      <c r="D141" s="174">
        <v>320203861</v>
      </c>
      <c r="E141" s="295">
        <f>SUM(B141:D141)</f>
        <v>806347254</v>
      </c>
      <c r="F141" s="323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  <c r="BR141" s="2"/>
      <c r="BS141" s="2"/>
      <c r="BT141" s="2"/>
      <c r="BU141" s="2"/>
      <c r="BV141" s="2"/>
      <c r="BW141" s="2"/>
      <c r="BX141" s="2"/>
      <c r="BY141" s="2"/>
      <c r="BZ141" s="2"/>
      <c r="CA141" s="2"/>
      <c r="CB141" s="2"/>
      <c r="CC141" s="2"/>
      <c r="CD141" s="2"/>
      <c r="CE141" s="2"/>
      <c r="CF141" s="2"/>
    </row>
    <row r="142" spans="1:84" ht="12.65" customHeight="1" x14ac:dyDescent="0.35">
      <c r="A142" s="295" t="s">
        <v>246</v>
      </c>
      <c r="B142" s="174">
        <v>427887519</v>
      </c>
      <c r="C142" s="189">
        <v>93151294</v>
      </c>
      <c r="D142" s="174">
        <v>577139349</v>
      </c>
      <c r="E142" s="295">
        <f>SUM(B142:D142)</f>
        <v>1098178162</v>
      </c>
      <c r="F142" s="323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  <c r="BR142" s="2"/>
      <c r="BS142" s="2"/>
      <c r="BT142" s="2"/>
      <c r="BU142" s="2"/>
      <c r="BV142" s="2"/>
      <c r="BW142" s="2"/>
      <c r="BX142" s="2"/>
      <c r="BY142" s="2"/>
      <c r="BZ142" s="2"/>
      <c r="CA142" s="2"/>
      <c r="CB142" s="2"/>
      <c r="CC142" s="2"/>
      <c r="CD142" s="2"/>
      <c r="CE142" s="2"/>
      <c r="CF142" s="2"/>
    </row>
    <row r="143" spans="1:84" ht="12.65" customHeight="1" x14ac:dyDescent="0.35">
      <c r="A143" s="320" t="s">
        <v>299</v>
      </c>
      <c r="B143" s="321" t="s">
        <v>296</v>
      </c>
      <c r="C143" s="322" t="s">
        <v>297</v>
      </c>
      <c r="D143" s="321" t="s">
        <v>132</v>
      </c>
      <c r="E143" s="321" t="s">
        <v>203</v>
      </c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  <c r="BR143" s="2"/>
      <c r="BS143" s="2"/>
      <c r="BT143" s="2"/>
      <c r="BU143" s="2"/>
      <c r="BV143" s="2"/>
      <c r="BW143" s="2"/>
      <c r="BX143" s="2"/>
      <c r="BY143" s="2"/>
      <c r="BZ143" s="2"/>
      <c r="CA143" s="2"/>
      <c r="CB143" s="2"/>
      <c r="CC143" s="2"/>
      <c r="CD143" s="2"/>
      <c r="CE143" s="2"/>
      <c r="CF143" s="2"/>
    </row>
    <row r="144" spans="1:84" ht="12.65" customHeight="1" x14ac:dyDescent="0.35">
      <c r="A144" s="295" t="s">
        <v>277</v>
      </c>
      <c r="B144" s="174"/>
      <c r="C144" s="189"/>
      <c r="D144" s="174"/>
      <c r="E144" s="295">
        <f>SUM(B144:D144)</f>
        <v>0</v>
      </c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  <c r="BR144" s="2"/>
      <c r="BS144" s="2"/>
      <c r="BT144" s="2"/>
      <c r="BU144" s="2"/>
      <c r="BV144" s="2"/>
      <c r="BW144" s="2"/>
      <c r="BX144" s="2"/>
      <c r="BY144" s="2"/>
      <c r="BZ144" s="2"/>
      <c r="CA144" s="2"/>
      <c r="CB144" s="2"/>
      <c r="CC144" s="2"/>
      <c r="CD144" s="2"/>
      <c r="CE144" s="2"/>
      <c r="CF144" s="2"/>
    </row>
    <row r="145" spans="1:84" ht="12.65" customHeight="1" x14ac:dyDescent="0.35">
      <c r="A145" s="295" t="s">
        <v>215</v>
      </c>
      <c r="B145" s="174"/>
      <c r="C145" s="189"/>
      <c r="D145" s="174"/>
      <c r="E145" s="295">
        <f>SUM(B145:D145)</f>
        <v>0</v>
      </c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  <c r="BS145" s="2"/>
      <c r="BT145" s="2"/>
      <c r="BU145" s="2"/>
      <c r="BV145" s="2"/>
      <c r="BW145" s="2"/>
      <c r="BX145" s="2"/>
      <c r="BY145" s="2"/>
      <c r="BZ145" s="2"/>
      <c r="CA145" s="2"/>
      <c r="CB145" s="2"/>
      <c r="CC145" s="2"/>
      <c r="CD145" s="2"/>
      <c r="CE145" s="2"/>
      <c r="CF145" s="2"/>
    </row>
    <row r="146" spans="1:84" ht="12.65" customHeight="1" x14ac:dyDescent="0.35">
      <c r="A146" s="295" t="s">
        <v>298</v>
      </c>
      <c r="B146" s="174"/>
      <c r="C146" s="189"/>
      <c r="D146" s="174"/>
      <c r="E146" s="295">
        <f>SUM(B146:D146)</f>
        <v>0</v>
      </c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/>
      <c r="BS146" s="2"/>
      <c r="BT146" s="2"/>
      <c r="BU146" s="2"/>
      <c r="BV146" s="2"/>
      <c r="BW146" s="2"/>
      <c r="BX146" s="2"/>
      <c r="BY146" s="2"/>
      <c r="BZ146" s="2"/>
      <c r="CA146" s="2"/>
      <c r="CB146" s="2"/>
      <c r="CC146" s="2"/>
      <c r="CD146" s="2"/>
      <c r="CE146" s="2"/>
      <c r="CF146" s="2"/>
    </row>
    <row r="147" spans="1:84" ht="12.65" customHeight="1" x14ac:dyDescent="0.35">
      <c r="A147" s="295" t="s">
        <v>245</v>
      </c>
      <c r="B147" s="174"/>
      <c r="C147" s="189"/>
      <c r="D147" s="174"/>
      <c r="E147" s="295">
        <f>SUM(B147:D147)</f>
        <v>0</v>
      </c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  <c r="BR147" s="2"/>
      <c r="BS147" s="2"/>
      <c r="BT147" s="2"/>
      <c r="BU147" s="2"/>
      <c r="BV147" s="2"/>
      <c r="BW147" s="2"/>
      <c r="BX147" s="2"/>
      <c r="BY147" s="2"/>
      <c r="BZ147" s="2"/>
      <c r="CA147" s="2"/>
      <c r="CB147" s="2"/>
      <c r="CC147" s="2"/>
      <c r="CD147" s="2"/>
      <c r="CE147" s="2"/>
      <c r="CF147" s="2"/>
    </row>
    <row r="148" spans="1:84" ht="12.65" customHeight="1" x14ac:dyDescent="0.35">
      <c r="A148" s="295" t="s">
        <v>246</v>
      </c>
      <c r="B148" s="174"/>
      <c r="C148" s="189"/>
      <c r="D148" s="174"/>
      <c r="E148" s="295">
        <f>SUM(B148:D148)</f>
        <v>0</v>
      </c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  <c r="BS148" s="2"/>
      <c r="BT148" s="2"/>
      <c r="BU148" s="2"/>
      <c r="BV148" s="2"/>
      <c r="BW148" s="2"/>
      <c r="BX148" s="2"/>
      <c r="BY148" s="2"/>
      <c r="BZ148" s="2"/>
      <c r="CA148" s="2"/>
      <c r="CB148" s="2"/>
      <c r="CC148" s="2"/>
      <c r="CD148" s="2"/>
      <c r="CE148" s="2"/>
      <c r="CF148" s="2"/>
    </row>
    <row r="149" spans="1:84" ht="12.65" customHeight="1" x14ac:dyDescent="0.35">
      <c r="A149" s="320" t="s">
        <v>300</v>
      </c>
      <c r="B149" s="321" t="s">
        <v>296</v>
      </c>
      <c r="C149" s="322" t="s">
        <v>297</v>
      </c>
      <c r="D149" s="321" t="s">
        <v>132</v>
      </c>
      <c r="E149" s="321" t="s">
        <v>203</v>
      </c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  <c r="BR149" s="2"/>
      <c r="BS149" s="2"/>
      <c r="BT149" s="2"/>
      <c r="BU149" s="2"/>
      <c r="BV149" s="2"/>
      <c r="BW149" s="2"/>
      <c r="BX149" s="2"/>
      <c r="BY149" s="2"/>
      <c r="BZ149" s="2"/>
      <c r="CA149" s="2"/>
      <c r="CB149" s="2"/>
      <c r="CC149" s="2"/>
      <c r="CD149" s="2"/>
      <c r="CE149" s="2"/>
      <c r="CF149" s="2"/>
    </row>
    <row r="150" spans="1:84" ht="12.65" customHeight="1" x14ac:dyDescent="0.35">
      <c r="A150" s="295" t="s">
        <v>277</v>
      </c>
      <c r="B150" s="174"/>
      <c r="C150" s="189"/>
      <c r="D150" s="174"/>
      <c r="E150" s="295">
        <f>SUM(B150:D150)</f>
        <v>0</v>
      </c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  <c r="BS150" s="2"/>
      <c r="BT150" s="2"/>
      <c r="BU150" s="2"/>
      <c r="BV150" s="2"/>
      <c r="BW150" s="2"/>
      <c r="BX150" s="2"/>
      <c r="BY150" s="2"/>
      <c r="BZ150" s="2"/>
      <c r="CA150" s="2"/>
      <c r="CB150" s="2"/>
      <c r="CC150" s="2"/>
      <c r="CD150" s="2"/>
      <c r="CE150" s="2"/>
      <c r="CF150" s="2"/>
    </row>
    <row r="151" spans="1:84" ht="12.65" customHeight="1" x14ac:dyDescent="0.35">
      <c r="A151" s="295" t="s">
        <v>215</v>
      </c>
      <c r="B151" s="174"/>
      <c r="C151" s="189"/>
      <c r="D151" s="174"/>
      <c r="E151" s="295">
        <f>SUM(B151:D151)</f>
        <v>0</v>
      </c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  <c r="BS151" s="2"/>
      <c r="BT151" s="2"/>
      <c r="BU151" s="2"/>
      <c r="BV151" s="2"/>
      <c r="BW151" s="2"/>
      <c r="BX151" s="2"/>
      <c r="BY151" s="2"/>
      <c r="BZ151" s="2"/>
      <c r="CA151" s="2"/>
      <c r="CB151" s="2"/>
      <c r="CC151" s="2"/>
      <c r="CD151" s="2"/>
      <c r="CE151" s="2"/>
      <c r="CF151" s="2"/>
    </row>
    <row r="152" spans="1:84" ht="12.65" customHeight="1" x14ac:dyDescent="0.35">
      <c r="A152" s="295" t="s">
        <v>298</v>
      </c>
      <c r="B152" s="174"/>
      <c r="C152" s="189"/>
      <c r="D152" s="174"/>
      <c r="E152" s="295">
        <f>SUM(B152:D152)</f>
        <v>0</v>
      </c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  <c r="BS152" s="2"/>
      <c r="BT152" s="2"/>
      <c r="BU152" s="2"/>
      <c r="BV152" s="2"/>
      <c r="BW152" s="2"/>
      <c r="BX152" s="2"/>
      <c r="BY152" s="2"/>
      <c r="BZ152" s="2"/>
      <c r="CA152" s="2"/>
      <c r="CB152" s="2"/>
      <c r="CC152" s="2"/>
      <c r="CD152" s="2"/>
      <c r="CE152" s="2"/>
      <c r="CF152" s="2"/>
    </row>
    <row r="153" spans="1:84" ht="12.65" customHeight="1" x14ac:dyDescent="0.35">
      <c r="A153" s="295" t="s">
        <v>245</v>
      </c>
      <c r="B153" s="174"/>
      <c r="C153" s="189"/>
      <c r="D153" s="174"/>
      <c r="E153" s="295">
        <f>SUM(B153:D153)</f>
        <v>0</v>
      </c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2"/>
      <c r="BT153" s="2"/>
      <c r="BU153" s="2"/>
      <c r="BV153" s="2"/>
      <c r="BW153" s="2"/>
      <c r="BX153" s="2"/>
      <c r="BY153" s="2"/>
      <c r="BZ153" s="2"/>
      <c r="CA153" s="2"/>
      <c r="CB153" s="2"/>
      <c r="CC153" s="2"/>
      <c r="CD153" s="2"/>
      <c r="CE153" s="2"/>
      <c r="CF153" s="2"/>
    </row>
    <row r="154" spans="1:84" ht="12.65" customHeight="1" x14ac:dyDescent="0.35">
      <c r="A154" s="295" t="s">
        <v>246</v>
      </c>
      <c r="B154" s="174"/>
      <c r="C154" s="189"/>
      <c r="D154" s="174"/>
      <c r="E154" s="295">
        <f>SUM(B154:D154)</f>
        <v>0</v>
      </c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S154" s="2"/>
      <c r="BT154" s="2"/>
      <c r="BU154" s="2"/>
      <c r="BV154" s="2"/>
      <c r="BW154" s="2"/>
      <c r="BX154" s="2"/>
      <c r="BY154" s="2"/>
      <c r="BZ154" s="2"/>
      <c r="CA154" s="2"/>
      <c r="CB154" s="2"/>
      <c r="CC154" s="2"/>
      <c r="CD154" s="2"/>
      <c r="CE154" s="2"/>
      <c r="CF154" s="2"/>
    </row>
    <row r="155" spans="1:84" ht="12.65" customHeight="1" x14ac:dyDescent="0.35">
      <c r="A155" s="301"/>
      <c r="B155" s="301"/>
      <c r="C155" s="324"/>
      <c r="D155" s="325"/>
      <c r="E155" s="295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2"/>
      <c r="BT155" s="2"/>
      <c r="BU155" s="2"/>
      <c r="BV155" s="2"/>
      <c r="BW155" s="2"/>
      <c r="BX155" s="2"/>
      <c r="BY155" s="2"/>
      <c r="BZ155" s="2"/>
      <c r="CA155" s="2"/>
      <c r="CB155" s="2"/>
      <c r="CC155" s="2"/>
      <c r="CD155" s="2"/>
      <c r="CE155" s="2"/>
      <c r="CF155" s="2"/>
    </row>
    <row r="156" spans="1:84" ht="12.65" customHeight="1" x14ac:dyDescent="0.35">
      <c r="A156" s="320" t="s">
        <v>301</v>
      </c>
      <c r="B156" s="321" t="s">
        <v>302</v>
      </c>
      <c r="C156" s="322" t="s">
        <v>303</v>
      </c>
      <c r="D156" s="295"/>
      <c r="E156" s="295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  <c r="BS156" s="2"/>
      <c r="BT156" s="2"/>
      <c r="BU156" s="2"/>
      <c r="BV156" s="2"/>
      <c r="BW156" s="2"/>
      <c r="BX156" s="2"/>
      <c r="BY156" s="2"/>
      <c r="BZ156" s="2"/>
      <c r="CA156" s="2"/>
      <c r="CB156" s="2"/>
      <c r="CC156" s="2"/>
      <c r="CD156" s="2"/>
      <c r="CE156" s="2"/>
      <c r="CF156" s="2"/>
    </row>
    <row r="157" spans="1:84" ht="12.65" customHeight="1" x14ac:dyDescent="0.35">
      <c r="A157" s="301" t="s">
        <v>304</v>
      </c>
      <c r="B157" s="174">
        <v>6897598</v>
      </c>
      <c r="C157" s="174">
        <v>15025519</v>
      </c>
      <c r="D157" s="295"/>
      <c r="E157" s="295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"/>
      <c r="BT157" s="2"/>
      <c r="BU157" s="2"/>
      <c r="BV157" s="2"/>
      <c r="BW157" s="2"/>
      <c r="BX157" s="2"/>
      <c r="BY157" s="2"/>
      <c r="BZ157" s="2"/>
      <c r="CA157" s="2"/>
      <c r="CB157" s="2"/>
      <c r="CC157" s="2"/>
      <c r="CD157" s="2"/>
      <c r="CE157" s="2"/>
      <c r="CF157" s="2"/>
    </row>
    <row r="158" spans="1:84" ht="12.65" customHeight="1" x14ac:dyDescent="0.35">
      <c r="A158" s="301"/>
      <c r="B158" s="325"/>
      <c r="C158" s="324"/>
      <c r="D158" s="295"/>
      <c r="E158" s="295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  <c r="BT158" s="2"/>
      <c r="BU158" s="2"/>
      <c r="BV158" s="2"/>
      <c r="BW158" s="2"/>
      <c r="BX158" s="2"/>
      <c r="BY158" s="2"/>
      <c r="BZ158" s="2"/>
      <c r="CA158" s="2"/>
      <c r="CB158" s="2"/>
      <c r="CC158" s="2"/>
      <c r="CD158" s="2"/>
      <c r="CE158" s="2"/>
      <c r="CF158" s="2"/>
    </row>
    <row r="159" spans="1:84" ht="12.65" customHeight="1" x14ac:dyDescent="0.35">
      <c r="A159" s="301"/>
      <c r="B159" s="301"/>
      <c r="C159" s="324"/>
      <c r="D159" s="325"/>
      <c r="E159" s="295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  <c r="BU159" s="2"/>
      <c r="BV159" s="2"/>
      <c r="BW159" s="2"/>
      <c r="BX159" s="2"/>
      <c r="BY159" s="2"/>
      <c r="BZ159" s="2"/>
      <c r="CA159" s="2"/>
      <c r="CB159" s="2"/>
      <c r="CC159" s="2"/>
      <c r="CD159" s="2"/>
      <c r="CE159" s="2"/>
      <c r="CF159" s="2"/>
    </row>
    <row r="160" spans="1:84" ht="12.65" customHeight="1" x14ac:dyDescent="0.35">
      <c r="A160" s="301"/>
      <c r="B160" s="301"/>
      <c r="C160" s="324"/>
      <c r="D160" s="325"/>
      <c r="E160" s="295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  <c r="BU160" s="2"/>
      <c r="BV160" s="2"/>
      <c r="BW160" s="2"/>
      <c r="BX160" s="2"/>
      <c r="BY160" s="2"/>
      <c r="BZ160" s="2"/>
      <c r="CA160" s="2"/>
      <c r="CB160" s="2"/>
      <c r="CC160" s="2"/>
      <c r="CD160" s="2"/>
      <c r="CE160" s="2"/>
      <c r="CF160" s="2"/>
    </row>
    <row r="161" spans="1:84" ht="12.65" customHeight="1" x14ac:dyDescent="0.35">
      <c r="A161" s="301"/>
      <c r="B161" s="301"/>
      <c r="C161" s="324"/>
      <c r="D161" s="325"/>
      <c r="E161" s="295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  <c r="BS161" s="2"/>
      <c r="BT161" s="2"/>
      <c r="BU161" s="2"/>
      <c r="BV161" s="2"/>
      <c r="BW161" s="2"/>
      <c r="BX161" s="2"/>
      <c r="BY161" s="2"/>
      <c r="BZ161" s="2"/>
      <c r="CA161" s="2"/>
      <c r="CB161" s="2"/>
      <c r="CC161" s="2"/>
      <c r="CD161" s="2"/>
      <c r="CE161" s="2"/>
      <c r="CF161" s="2"/>
    </row>
    <row r="162" spans="1:84" ht="12.65" customHeight="1" x14ac:dyDescent="0.35">
      <c r="A162" s="301"/>
      <c r="B162" s="301"/>
      <c r="C162" s="324"/>
      <c r="D162" s="325"/>
      <c r="E162" s="295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  <c r="BS162" s="2"/>
      <c r="BT162" s="2"/>
      <c r="BU162" s="2"/>
      <c r="BV162" s="2"/>
      <c r="BW162" s="2"/>
      <c r="BX162" s="2"/>
      <c r="BY162" s="2"/>
      <c r="BZ162" s="2"/>
      <c r="CA162" s="2"/>
      <c r="CB162" s="2"/>
      <c r="CC162" s="2"/>
      <c r="CD162" s="2"/>
      <c r="CE162" s="2"/>
      <c r="CF162" s="2"/>
    </row>
    <row r="163" spans="1:84" ht="21.75" customHeight="1" x14ac:dyDescent="0.35">
      <c r="A163" s="319" t="s">
        <v>305</v>
      </c>
      <c r="B163" s="312"/>
      <c r="C163" s="312"/>
      <c r="D163" s="312"/>
      <c r="E163" s="31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S163" s="2"/>
      <c r="BT163" s="2"/>
      <c r="BU163" s="2"/>
      <c r="BV163" s="2"/>
      <c r="BW163" s="2"/>
      <c r="BX163" s="2"/>
      <c r="BY163" s="2"/>
      <c r="BZ163" s="2"/>
      <c r="CA163" s="2"/>
      <c r="CB163" s="2"/>
      <c r="CC163" s="2"/>
      <c r="CD163" s="2"/>
      <c r="CE163" s="2"/>
      <c r="CF163" s="2"/>
    </row>
    <row r="164" spans="1:84" ht="11.5" customHeight="1" x14ac:dyDescent="0.35">
      <c r="A164" s="317" t="s">
        <v>306</v>
      </c>
      <c r="B164" s="317"/>
      <c r="C164" s="317"/>
      <c r="D164" s="317"/>
      <c r="E164" s="317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  <c r="BT164" s="2"/>
      <c r="BU164" s="2"/>
      <c r="BV164" s="2"/>
      <c r="BW164" s="2"/>
      <c r="BX164" s="2"/>
      <c r="BY164" s="2"/>
      <c r="BZ164" s="2"/>
      <c r="CA164" s="2"/>
      <c r="CB164" s="2"/>
      <c r="CC164" s="2"/>
      <c r="CD164" s="2"/>
      <c r="CE164" s="2"/>
      <c r="CF164" s="2"/>
    </row>
    <row r="165" spans="1:84" ht="11.5" customHeight="1" x14ac:dyDescent="0.35">
      <c r="A165" s="295" t="s">
        <v>307</v>
      </c>
      <c r="B165" s="313" t="s">
        <v>256</v>
      </c>
      <c r="C165" s="189">
        <v>25386270</v>
      </c>
      <c r="D165" s="295"/>
      <c r="E165" s="295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  <c r="BT165" s="2"/>
      <c r="BU165" s="2"/>
      <c r="BV165" s="2"/>
      <c r="BW165" s="2"/>
      <c r="BX165" s="2"/>
      <c r="BY165" s="2"/>
      <c r="BZ165" s="2"/>
      <c r="CA165" s="2"/>
      <c r="CB165" s="2"/>
      <c r="CC165" s="2"/>
      <c r="CD165" s="2"/>
      <c r="CE165" s="2"/>
      <c r="CF165" s="2"/>
    </row>
    <row r="166" spans="1:84" ht="11.5" customHeight="1" x14ac:dyDescent="0.35">
      <c r="A166" s="295" t="s">
        <v>308</v>
      </c>
      <c r="B166" s="313" t="s">
        <v>256</v>
      </c>
      <c r="C166" s="189">
        <v>1298310</v>
      </c>
      <c r="D166" s="295"/>
      <c r="E166" s="295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  <c r="BT166" s="2"/>
      <c r="BU166" s="2"/>
      <c r="BV166" s="2"/>
      <c r="BW166" s="2"/>
      <c r="BX166" s="2"/>
      <c r="BY166" s="2"/>
      <c r="BZ166" s="2"/>
      <c r="CA166" s="2"/>
      <c r="CB166" s="2"/>
      <c r="CC166" s="2"/>
      <c r="CD166" s="2"/>
      <c r="CE166" s="2"/>
      <c r="CF166" s="2"/>
    </row>
    <row r="167" spans="1:84" ht="11.5" customHeight="1" x14ac:dyDescent="0.35">
      <c r="A167" s="301" t="s">
        <v>309</v>
      </c>
      <c r="B167" s="313" t="s">
        <v>256</v>
      </c>
      <c r="C167" s="189">
        <v>2638618</v>
      </c>
      <c r="D167" s="295"/>
      <c r="E167" s="295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  <c r="BU167" s="2"/>
      <c r="BV167" s="2"/>
      <c r="BW167" s="2"/>
      <c r="BX167" s="2"/>
      <c r="BY167" s="2"/>
      <c r="BZ167" s="2"/>
      <c r="CA167" s="2"/>
      <c r="CB167" s="2"/>
      <c r="CC167" s="2"/>
      <c r="CD167" s="2"/>
      <c r="CE167" s="2"/>
      <c r="CF167" s="2"/>
    </row>
    <row r="168" spans="1:84" ht="11.5" customHeight="1" x14ac:dyDescent="0.35">
      <c r="A168" s="295" t="s">
        <v>310</v>
      </c>
      <c r="B168" s="313" t="s">
        <v>256</v>
      </c>
      <c r="C168" s="189">
        <v>40248712</v>
      </c>
      <c r="D168" s="295"/>
      <c r="E168" s="295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  <c r="BT168" s="2"/>
      <c r="BU168" s="2"/>
      <c r="BV168" s="2"/>
      <c r="BW168" s="2"/>
      <c r="BX168" s="2"/>
      <c r="BY168" s="2"/>
      <c r="BZ168" s="2"/>
      <c r="CA168" s="2"/>
      <c r="CB168" s="2"/>
      <c r="CC168" s="2"/>
      <c r="CD168" s="2"/>
      <c r="CE168" s="2"/>
      <c r="CF168" s="2"/>
    </row>
    <row r="169" spans="1:84" ht="11.5" customHeight="1" x14ac:dyDescent="0.35">
      <c r="A169" s="295" t="s">
        <v>311</v>
      </c>
      <c r="B169" s="313" t="s">
        <v>256</v>
      </c>
      <c r="C169" s="189">
        <v>203216</v>
      </c>
      <c r="D169" s="295"/>
      <c r="E169" s="295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  <c r="BU169" s="2"/>
      <c r="BV169" s="2"/>
      <c r="BW169" s="2"/>
      <c r="BX169" s="2"/>
      <c r="BY169" s="2"/>
      <c r="BZ169" s="2"/>
      <c r="CA169" s="2"/>
      <c r="CB169" s="2"/>
      <c r="CC169" s="2"/>
      <c r="CD169" s="2"/>
      <c r="CE169" s="2"/>
      <c r="CF169" s="2"/>
    </row>
    <row r="170" spans="1:84" ht="11.5" customHeight="1" x14ac:dyDescent="0.35">
      <c r="A170" s="295" t="s">
        <v>312</v>
      </c>
      <c r="B170" s="313" t="s">
        <v>256</v>
      </c>
      <c r="C170" s="189">
        <v>19533469</v>
      </c>
      <c r="D170" s="295"/>
      <c r="E170" s="295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  <c r="BU170" s="2"/>
      <c r="BV170" s="2"/>
      <c r="BW170" s="2"/>
      <c r="BX170" s="2"/>
      <c r="BY170" s="2"/>
      <c r="BZ170" s="2"/>
      <c r="CA170" s="2"/>
      <c r="CB170" s="2"/>
      <c r="CC170" s="2"/>
      <c r="CD170" s="2"/>
      <c r="CE170" s="2"/>
      <c r="CF170" s="2"/>
    </row>
    <row r="171" spans="1:84" ht="11.5" customHeight="1" x14ac:dyDescent="0.35">
      <c r="A171" s="295" t="s">
        <v>313</v>
      </c>
      <c r="B171" s="313" t="s">
        <v>256</v>
      </c>
      <c r="C171" s="189">
        <v>3190480</v>
      </c>
      <c r="D171" s="295"/>
      <c r="E171" s="295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S171" s="2"/>
      <c r="BT171" s="2"/>
      <c r="BU171" s="2"/>
      <c r="BV171" s="2"/>
      <c r="BW171" s="2"/>
      <c r="BX171" s="2"/>
      <c r="BY171" s="2"/>
      <c r="BZ171" s="2"/>
      <c r="CA171" s="2"/>
      <c r="CB171" s="2"/>
      <c r="CC171" s="2"/>
      <c r="CD171" s="2"/>
      <c r="CE171" s="2"/>
      <c r="CF171" s="2"/>
    </row>
    <row r="172" spans="1:84" ht="11.5" customHeight="1" x14ac:dyDescent="0.35">
      <c r="A172" s="295" t="s">
        <v>313</v>
      </c>
      <c r="B172" s="313" t="s">
        <v>256</v>
      </c>
      <c r="C172" s="189"/>
      <c r="D172" s="295"/>
      <c r="E172" s="295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  <c r="BS172" s="2"/>
      <c r="BT172" s="2"/>
      <c r="BU172" s="2"/>
      <c r="BV172" s="2"/>
      <c r="BW172" s="2"/>
      <c r="BX172" s="2"/>
      <c r="BY172" s="2"/>
      <c r="BZ172" s="2"/>
      <c r="CA172" s="2"/>
      <c r="CB172" s="2"/>
      <c r="CC172" s="2"/>
      <c r="CD172" s="2"/>
      <c r="CE172" s="2"/>
      <c r="CF172" s="2"/>
    </row>
    <row r="173" spans="1:84" ht="11.5" customHeight="1" x14ac:dyDescent="0.35">
      <c r="A173" s="295" t="s">
        <v>203</v>
      </c>
      <c r="B173" s="295"/>
      <c r="C173" s="303"/>
      <c r="D173" s="295">
        <f>SUM(C165:C172)</f>
        <v>92499075</v>
      </c>
      <c r="E173" s="295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  <c r="BR173" s="2"/>
      <c r="BS173" s="2"/>
      <c r="BT173" s="2"/>
      <c r="BU173" s="2"/>
      <c r="BV173" s="2"/>
      <c r="BW173" s="2"/>
      <c r="BX173" s="2"/>
      <c r="BY173" s="2"/>
      <c r="BZ173" s="2"/>
      <c r="CA173" s="2"/>
      <c r="CB173" s="2"/>
      <c r="CC173" s="2"/>
      <c r="CD173" s="2"/>
      <c r="CE173" s="2"/>
      <c r="CF173" s="2"/>
    </row>
    <row r="174" spans="1:84" ht="11.5" customHeight="1" x14ac:dyDescent="0.35">
      <c r="A174" s="317" t="s">
        <v>314</v>
      </c>
      <c r="B174" s="317"/>
      <c r="C174" s="317"/>
      <c r="D174" s="317"/>
      <c r="E174" s="317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  <c r="BQ174" s="2"/>
      <c r="BR174" s="2"/>
      <c r="BS174" s="2"/>
      <c r="BT174" s="2"/>
      <c r="BU174" s="2"/>
      <c r="BV174" s="2"/>
      <c r="BW174" s="2"/>
      <c r="BX174" s="2"/>
      <c r="BY174" s="2"/>
      <c r="BZ174" s="2"/>
      <c r="CA174" s="2"/>
      <c r="CB174" s="2"/>
      <c r="CC174" s="2"/>
      <c r="CD174" s="2"/>
      <c r="CE174" s="2"/>
      <c r="CF174" s="2"/>
    </row>
    <row r="175" spans="1:84" ht="11.5" customHeight="1" x14ac:dyDescent="0.35">
      <c r="A175" s="295" t="s">
        <v>315</v>
      </c>
      <c r="B175" s="313" t="s">
        <v>256</v>
      </c>
      <c r="C175" s="189">
        <v>12517188</v>
      </c>
      <c r="D175" s="295"/>
      <c r="E175" s="295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  <c r="BP175" s="2"/>
      <c r="BQ175" s="2"/>
      <c r="BR175" s="2"/>
      <c r="BS175" s="2"/>
      <c r="BT175" s="2"/>
      <c r="BU175" s="2"/>
      <c r="BV175" s="2"/>
      <c r="BW175" s="2"/>
      <c r="BX175" s="2"/>
      <c r="BY175" s="2"/>
      <c r="BZ175" s="2"/>
      <c r="CA175" s="2"/>
      <c r="CB175" s="2"/>
      <c r="CC175" s="2"/>
      <c r="CD175" s="2"/>
      <c r="CE175" s="2"/>
      <c r="CF175" s="2"/>
    </row>
    <row r="176" spans="1:84" ht="11.5" customHeight="1" x14ac:dyDescent="0.35">
      <c r="A176" s="295" t="s">
        <v>316</v>
      </c>
      <c r="B176" s="313" t="s">
        <v>256</v>
      </c>
      <c r="C176" s="189">
        <v>2946918</v>
      </c>
      <c r="D176" s="295"/>
      <c r="E176" s="295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  <c r="BQ176" s="2"/>
      <c r="BR176" s="2"/>
      <c r="BS176" s="2"/>
      <c r="BT176" s="2"/>
      <c r="BU176" s="2"/>
      <c r="BV176" s="2"/>
      <c r="BW176" s="2"/>
      <c r="BX176" s="2"/>
      <c r="BY176" s="2"/>
      <c r="BZ176" s="2"/>
      <c r="CA176" s="2"/>
      <c r="CB176" s="2"/>
      <c r="CC176" s="2"/>
      <c r="CD176" s="2"/>
      <c r="CE176" s="2"/>
      <c r="CF176" s="2"/>
    </row>
    <row r="177" spans="1:84" ht="11.5" customHeight="1" x14ac:dyDescent="0.35">
      <c r="A177" s="295" t="s">
        <v>203</v>
      </c>
      <c r="B177" s="295"/>
      <c r="C177" s="303"/>
      <c r="D177" s="295">
        <f>SUM(C175:C176)</f>
        <v>15464106</v>
      </c>
      <c r="E177" s="295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  <c r="BN177" s="2"/>
      <c r="BO177" s="2"/>
      <c r="BP177" s="2"/>
      <c r="BQ177" s="2"/>
      <c r="BR177" s="2"/>
      <c r="BS177" s="2"/>
      <c r="BT177" s="2"/>
      <c r="BU177" s="2"/>
      <c r="BV177" s="2"/>
      <c r="BW177" s="2"/>
      <c r="BX177" s="2"/>
      <c r="BY177" s="2"/>
      <c r="BZ177" s="2"/>
      <c r="CA177" s="2"/>
      <c r="CB177" s="2"/>
      <c r="CC177" s="2"/>
      <c r="CD177" s="2"/>
      <c r="CE177" s="2"/>
      <c r="CF177" s="2"/>
    </row>
    <row r="178" spans="1:84" ht="11.5" customHeight="1" x14ac:dyDescent="0.35">
      <c r="A178" s="317" t="s">
        <v>317</v>
      </c>
      <c r="B178" s="317"/>
      <c r="C178" s="317"/>
      <c r="D178" s="317"/>
      <c r="E178" s="317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  <c r="BO178" s="2"/>
      <c r="BP178" s="2"/>
      <c r="BQ178" s="2"/>
      <c r="BR178" s="2"/>
      <c r="BS178" s="2"/>
      <c r="BT178" s="2"/>
      <c r="BU178" s="2"/>
      <c r="BV178" s="2"/>
      <c r="BW178" s="2"/>
      <c r="BX178" s="2"/>
      <c r="BY178" s="2"/>
      <c r="BZ178" s="2"/>
      <c r="CA178" s="2"/>
      <c r="CB178" s="2"/>
      <c r="CC178" s="2"/>
      <c r="CD178" s="2"/>
      <c r="CE178" s="2"/>
      <c r="CF178" s="2"/>
    </row>
    <row r="179" spans="1:84" ht="11.5" customHeight="1" x14ac:dyDescent="0.35">
      <c r="A179" s="295" t="s">
        <v>318</v>
      </c>
      <c r="B179" s="313" t="s">
        <v>256</v>
      </c>
      <c r="C179" s="189">
        <v>1393996</v>
      </c>
      <c r="D179" s="295"/>
      <c r="E179" s="295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  <c r="BN179" s="2"/>
      <c r="BO179" s="2"/>
      <c r="BP179" s="2"/>
      <c r="BQ179" s="2"/>
      <c r="BR179" s="2"/>
      <c r="BS179" s="2"/>
      <c r="BT179" s="2"/>
      <c r="BU179" s="2"/>
      <c r="BV179" s="2"/>
      <c r="BW179" s="2"/>
      <c r="BX179" s="2"/>
      <c r="BY179" s="2"/>
      <c r="BZ179" s="2"/>
      <c r="CA179" s="2"/>
      <c r="CB179" s="2"/>
      <c r="CC179" s="2"/>
      <c r="CD179" s="2"/>
      <c r="CE179" s="2"/>
      <c r="CF179" s="2"/>
    </row>
    <row r="180" spans="1:84" ht="11.5" customHeight="1" x14ac:dyDescent="0.35">
      <c r="A180" s="295" t="s">
        <v>319</v>
      </c>
      <c r="B180" s="313" t="s">
        <v>256</v>
      </c>
      <c r="C180" s="189">
        <v>1383198</v>
      </c>
      <c r="D180" s="295"/>
      <c r="E180" s="295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  <c r="BJ180" s="2"/>
      <c r="BK180" s="2"/>
      <c r="BL180" s="2"/>
      <c r="BM180" s="2"/>
      <c r="BN180" s="2"/>
      <c r="BO180" s="2"/>
      <c r="BP180" s="2"/>
      <c r="BQ180" s="2"/>
      <c r="BR180" s="2"/>
      <c r="BS180" s="2"/>
      <c r="BT180" s="2"/>
      <c r="BU180" s="2"/>
      <c r="BV180" s="2"/>
      <c r="BW180" s="2"/>
      <c r="BX180" s="2"/>
      <c r="BY180" s="2"/>
      <c r="BZ180" s="2"/>
      <c r="CA180" s="2"/>
      <c r="CB180" s="2"/>
      <c r="CC180" s="2"/>
      <c r="CD180" s="2"/>
      <c r="CE180" s="2"/>
      <c r="CF180" s="2"/>
    </row>
    <row r="181" spans="1:84" ht="11.5" customHeight="1" x14ac:dyDescent="0.35">
      <c r="A181" s="295" t="s">
        <v>203</v>
      </c>
      <c r="B181" s="295"/>
      <c r="C181" s="303"/>
      <c r="D181" s="295">
        <f>SUM(C179:C180)</f>
        <v>2777194</v>
      </c>
      <c r="E181" s="295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  <c r="BK181" s="2"/>
      <c r="BL181" s="2"/>
      <c r="BM181" s="2"/>
      <c r="BN181" s="2"/>
      <c r="BO181" s="2"/>
      <c r="BP181" s="2"/>
      <c r="BQ181" s="2"/>
      <c r="BR181" s="2"/>
      <c r="BS181" s="2"/>
      <c r="BT181" s="2"/>
      <c r="BU181" s="2"/>
      <c r="BV181" s="2"/>
      <c r="BW181" s="2"/>
      <c r="BX181" s="2"/>
      <c r="BY181" s="2"/>
      <c r="BZ181" s="2"/>
      <c r="CA181" s="2"/>
      <c r="CB181" s="2"/>
      <c r="CC181" s="2"/>
      <c r="CD181" s="2"/>
      <c r="CE181" s="2"/>
      <c r="CF181" s="2"/>
    </row>
    <row r="182" spans="1:84" ht="11.5" customHeight="1" x14ac:dyDescent="0.35">
      <c r="A182" s="317" t="s">
        <v>320</v>
      </c>
      <c r="B182" s="317"/>
      <c r="C182" s="317"/>
      <c r="D182" s="317"/>
      <c r="E182" s="317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  <c r="BJ182" s="2"/>
      <c r="BK182" s="2"/>
      <c r="BL182" s="2"/>
      <c r="BM182" s="2"/>
      <c r="BN182" s="2"/>
      <c r="BO182" s="2"/>
      <c r="BP182" s="2"/>
      <c r="BQ182" s="2"/>
      <c r="BR182" s="2"/>
      <c r="BS182" s="2"/>
      <c r="BT182" s="2"/>
      <c r="BU182" s="2"/>
      <c r="BV182" s="2"/>
      <c r="BW182" s="2"/>
      <c r="BX182" s="2"/>
      <c r="BY182" s="2"/>
      <c r="BZ182" s="2"/>
      <c r="CA182" s="2"/>
      <c r="CB182" s="2"/>
      <c r="CC182" s="2"/>
      <c r="CD182" s="2"/>
      <c r="CE182" s="2"/>
      <c r="CF182" s="2"/>
    </row>
    <row r="183" spans="1:84" ht="11.5" customHeight="1" x14ac:dyDescent="0.35">
      <c r="A183" s="295" t="s">
        <v>321</v>
      </c>
      <c r="B183" s="313" t="s">
        <v>256</v>
      </c>
      <c r="C183" s="189">
        <v>403403</v>
      </c>
      <c r="D183" s="295"/>
      <c r="E183" s="295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  <c r="BJ183" s="2"/>
      <c r="BK183" s="2"/>
      <c r="BL183" s="2"/>
      <c r="BM183" s="2"/>
      <c r="BN183" s="2"/>
      <c r="BO183" s="2"/>
      <c r="BP183" s="2"/>
      <c r="BQ183" s="2"/>
      <c r="BR183" s="2"/>
      <c r="BS183" s="2"/>
      <c r="BT183" s="2"/>
      <c r="BU183" s="2"/>
      <c r="BV183" s="2"/>
      <c r="BW183" s="2"/>
      <c r="BX183" s="2"/>
      <c r="BY183" s="2"/>
      <c r="BZ183" s="2"/>
      <c r="CA183" s="2"/>
      <c r="CB183" s="2"/>
      <c r="CC183" s="2"/>
      <c r="CD183" s="2"/>
      <c r="CE183" s="2"/>
      <c r="CF183" s="2"/>
    </row>
    <row r="184" spans="1:84" ht="11.5" customHeight="1" x14ac:dyDescent="0.35">
      <c r="A184" s="295" t="s">
        <v>322</v>
      </c>
      <c r="B184" s="313" t="s">
        <v>256</v>
      </c>
      <c r="C184" s="189">
        <f>168126+74989+5948058+496340</f>
        <v>6687513</v>
      </c>
      <c r="D184" s="295"/>
      <c r="E184" s="295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  <c r="BJ184" s="2"/>
      <c r="BK184" s="2"/>
      <c r="BL184" s="2"/>
      <c r="BM184" s="2"/>
      <c r="BN184" s="2"/>
      <c r="BO184" s="2"/>
      <c r="BP184" s="2"/>
      <c r="BQ184" s="2"/>
      <c r="BR184" s="2"/>
      <c r="BS184" s="2"/>
      <c r="BT184" s="2"/>
      <c r="BU184" s="2"/>
      <c r="BV184" s="2"/>
      <c r="BW184" s="2"/>
      <c r="BX184" s="2"/>
      <c r="BY184" s="2"/>
      <c r="BZ184" s="2"/>
      <c r="CA184" s="2"/>
      <c r="CB184" s="2"/>
      <c r="CC184" s="2"/>
      <c r="CD184" s="2"/>
      <c r="CE184" s="2"/>
      <c r="CF184" s="2"/>
    </row>
    <row r="185" spans="1:84" ht="11.5" customHeight="1" x14ac:dyDescent="0.35">
      <c r="A185" s="295" t="s">
        <v>132</v>
      </c>
      <c r="B185" s="313" t="s">
        <v>256</v>
      </c>
      <c r="C185" s="189"/>
      <c r="D185" s="295"/>
      <c r="E185" s="295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  <c r="BL185" s="2"/>
      <c r="BM185" s="2"/>
      <c r="BN185" s="2"/>
      <c r="BO185" s="2"/>
      <c r="BP185" s="2"/>
      <c r="BQ185" s="2"/>
      <c r="BR185" s="2"/>
      <c r="BS185" s="2"/>
      <c r="BT185" s="2"/>
      <c r="BU185" s="2"/>
      <c r="BV185" s="2"/>
      <c r="BW185" s="2"/>
      <c r="BX185" s="2"/>
      <c r="BY185" s="2"/>
      <c r="BZ185" s="2"/>
      <c r="CA185" s="2"/>
      <c r="CB185" s="2"/>
      <c r="CC185" s="2"/>
      <c r="CD185" s="2"/>
      <c r="CE185" s="2"/>
      <c r="CF185" s="2"/>
    </row>
    <row r="186" spans="1:84" ht="11.5" customHeight="1" x14ac:dyDescent="0.35">
      <c r="A186" s="295" t="s">
        <v>203</v>
      </c>
      <c r="B186" s="295"/>
      <c r="C186" s="303"/>
      <c r="D186" s="295">
        <f>SUM(C183:C185)</f>
        <v>7090916</v>
      </c>
      <c r="E186" s="295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  <c r="BG186" s="2"/>
      <c r="BH186" s="2"/>
      <c r="BI186" s="2"/>
      <c r="BJ186" s="2"/>
      <c r="BK186" s="2"/>
      <c r="BL186" s="2"/>
      <c r="BM186" s="2"/>
      <c r="BN186" s="2"/>
      <c r="BO186" s="2"/>
      <c r="BP186" s="2"/>
      <c r="BQ186" s="2"/>
      <c r="BR186" s="2"/>
      <c r="BS186" s="2"/>
      <c r="BT186" s="2"/>
      <c r="BU186" s="2"/>
      <c r="BV186" s="2"/>
      <c r="BW186" s="2"/>
      <c r="BX186" s="2"/>
      <c r="BY186" s="2"/>
      <c r="BZ186" s="2"/>
      <c r="CA186" s="2"/>
      <c r="CB186" s="2"/>
      <c r="CC186" s="2"/>
      <c r="CD186" s="2"/>
      <c r="CE186" s="2"/>
      <c r="CF186" s="2"/>
    </row>
    <row r="187" spans="1:84" ht="11.5" customHeight="1" x14ac:dyDescent="0.35">
      <c r="A187" s="317" t="s">
        <v>323</v>
      </c>
      <c r="B187" s="317"/>
      <c r="C187" s="317"/>
      <c r="D187" s="317"/>
      <c r="E187" s="317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  <c r="BH187" s="2"/>
      <c r="BI187" s="2"/>
      <c r="BJ187" s="2"/>
      <c r="BK187" s="2"/>
      <c r="BL187" s="2"/>
      <c r="BM187" s="2"/>
      <c r="BN187" s="2"/>
      <c r="BO187" s="2"/>
      <c r="BP187" s="2"/>
      <c r="BQ187" s="2"/>
      <c r="BR187" s="2"/>
      <c r="BS187" s="2"/>
      <c r="BT187" s="2"/>
      <c r="BU187" s="2"/>
      <c r="BV187" s="2"/>
      <c r="BW187" s="2"/>
      <c r="BX187" s="2"/>
      <c r="BY187" s="2"/>
      <c r="BZ187" s="2"/>
      <c r="CA187" s="2"/>
      <c r="CB187" s="2"/>
      <c r="CC187" s="2"/>
      <c r="CD187" s="2"/>
      <c r="CE187" s="2"/>
      <c r="CF187" s="2"/>
    </row>
    <row r="188" spans="1:84" ht="11.5" customHeight="1" x14ac:dyDescent="0.35">
      <c r="A188" s="295" t="s">
        <v>324</v>
      </c>
      <c r="B188" s="313" t="s">
        <v>256</v>
      </c>
      <c r="C188" s="189">
        <v>9105986</v>
      </c>
      <c r="D188" s="295"/>
      <c r="E188" s="295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  <c r="BH188" s="2"/>
      <c r="BI188" s="2"/>
      <c r="BJ188" s="2"/>
      <c r="BK188" s="2"/>
      <c r="BL188" s="2"/>
      <c r="BM188" s="2"/>
      <c r="BN188" s="2"/>
      <c r="BO188" s="2"/>
      <c r="BP188" s="2"/>
      <c r="BQ188" s="2"/>
      <c r="BR188" s="2"/>
      <c r="BS188" s="2"/>
      <c r="BT188" s="2"/>
      <c r="BU188" s="2"/>
      <c r="BV188" s="2"/>
      <c r="BW188" s="2"/>
      <c r="BX188" s="2"/>
      <c r="BY188" s="2"/>
      <c r="BZ188" s="2"/>
      <c r="CA188" s="2"/>
      <c r="CB188" s="2"/>
      <c r="CC188" s="2"/>
      <c r="CD188" s="2"/>
      <c r="CE188" s="2"/>
      <c r="CF188" s="2"/>
    </row>
    <row r="189" spans="1:84" ht="11.5" customHeight="1" x14ac:dyDescent="0.35">
      <c r="A189" s="295" t="s">
        <v>325</v>
      </c>
      <c r="B189" s="313" t="s">
        <v>256</v>
      </c>
      <c r="C189" s="189"/>
      <c r="D189" s="295"/>
      <c r="E189" s="295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  <c r="BH189" s="2"/>
      <c r="BI189" s="2"/>
      <c r="BJ189" s="2"/>
      <c r="BK189" s="2"/>
      <c r="BL189" s="2"/>
      <c r="BM189" s="2"/>
      <c r="BN189" s="2"/>
      <c r="BO189" s="2"/>
      <c r="BP189" s="2"/>
      <c r="BQ189" s="2"/>
      <c r="BR189" s="2"/>
      <c r="BS189" s="2"/>
      <c r="BT189" s="2"/>
      <c r="BU189" s="2"/>
      <c r="BV189" s="2"/>
      <c r="BW189" s="2"/>
      <c r="BX189" s="2"/>
      <c r="BY189" s="2"/>
      <c r="BZ189" s="2"/>
      <c r="CA189" s="2"/>
      <c r="CB189" s="2"/>
      <c r="CC189" s="2"/>
      <c r="CD189" s="2"/>
      <c r="CE189" s="2"/>
      <c r="CF189" s="2"/>
    </row>
    <row r="190" spans="1:84" ht="11.5" customHeight="1" x14ac:dyDescent="0.35">
      <c r="A190" s="295" t="s">
        <v>203</v>
      </c>
      <c r="B190" s="295"/>
      <c r="C190" s="303"/>
      <c r="D190" s="295">
        <f>SUM(C188:C189)</f>
        <v>9105986</v>
      </c>
      <c r="E190" s="295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  <c r="BF190" s="2"/>
      <c r="BG190" s="2"/>
      <c r="BH190" s="2"/>
      <c r="BI190" s="2"/>
      <c r="BJ190" s="2"/>
      <c r="BK190" s="2"/>
      <c r="BL190" s="2"/>
      <c r="BM190" s="2"/>
      <c r="BN190" s="2"/>
      <c r="BO190" s="2"/>
      <c r="BP190" s="2"/>
      <c r="BQ190" s="2"/>
      <c r="BR190" s="2"/>
      <c r="BS190" s="2"/>
      <c r="BT190" s="2"/>
      <c r="BU190" s="2"/>
      <c r="BV190" s="2"/>
      <c r="BW190" s="2"/>
      <c r="BX190" s="2"/>
      <c r="BY190" s="2"/>
      <c r="BZ190" s="2"/>
      <c r="CA190" s="2"/>
      <c r="CB190" s="2"/>
      <c r="CC190" s="2"/>
      <c r="CD190" s="2"/>
      <c r="CE190" s="2"/>
      <c r="CF190" s="2"/>
    </row>
    <row r="191" spans="1:84" ht="11.5" customHeight="1" x14ac:dyDescent="0.35">
      <c r="A191" s="295"/>
      <c r="B191" s="295"/>
      <c r="C191" s="303"/>
      <c r="D191" s="295"/>
      <c r="E191" s="295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  <c r="BA191" s="2"/>
      <c r="BB191" s="2"/>
      <c r="BC191" s="2"/>
      <c r="BD191" s="2"/>
      <c r="BE191" s="2"/>
      <c r="BF191" s="2"/>
      <c r="BG191" s="2"/>
      <c r="BH191" s="2"/>
      <c r="BI191" s="2"/>
      <c r="BJ191" s="2"/>
      <c r="BK191" s="2"/>
      <c r="BL191" s="2"/>
      <c r="BM191" s="2"/>
      <c r="BN191" s="2"/>
      <c r="BO191" s="2"/>
      <c r="BP191" s="2"/>
      <c r="BQ191" s="2"/>
      <c r="BR191" s="2"/>
      <c r="BS191" s="2"/>
      <c r="BT191" s="2"/>
      <c r="BU191" s="2"/>
      <c r="BV191" s="2"/>
      <c r="BW191" s="2"/>
      <c r="BX191" s="2"/>
      <c r="BY191" s="2"/>
      <c r="BZ191" s="2"/>
      <c r="CA191" s="2"/>
      <c r="CB191" s="2"/>
      <c r="CC191" s="2"/>
      <c r="CD191" s="2"/>
      <c r="CE191" s="2"/>
      <c r="CF191" s="2"/>
    </row>
    <row r="192" spans="1:84" ht="18" customHeight="1" x14ac:dyDescent="0.35">
      <c r="A192" s="312" t="s">
        <v>326</v>
      </c>
      <c r="B192" s="312"/>
      <c r="C192" s="312"/>
      <c r="D192" s="312"/>
      <c r="E192" s="31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  <c r="AY192" s="2"/>
      <c r="AZ192" s="2"/>
      <c r="BA192" s="2"/>
      <c r="BB192" s="2"/>
      <c r="BC192" s="2"/>
      <c r="BD192" s="2"/>
      <c r="BE192" s="2"/>
      <c r="BF192" s="2"/>
      <c r="BG192" s="2"/>
      <c r="BH192" s="2"/>
      <c r="BI192" s="2"/>
      <c r="BJ192" s="2"/>
      <c r="BK192" s="2"/>
      <c r="BL192" s="2"/>
      <c r="BM192" s="2"/>
      <c r="BN192" s="2"/>
      <c r="BO192" s="2"/>
      <c r="BP192" s="2"/>
      <c r="BQ192" s="2"/>
      <c r="BR192" s="2"/>
      <c r="BS192" s="2"/>
      <c r="BT192" s="2"/>
      <c r="BU192" s="2"/>
      <c r="BV192" s="2"/>
      <c r="BW192" s="2"/>
      <c r="BX192" s="2"/>
      <c r="BY192" s="2"/>
      <c r="BZ192" s="2"/>
      <c r="CA192" s="2"/>
      <c r="CB192" s="2"/>
      <c r="CC192" s="2"/>
      <c r="CD192" s="2"/>
      <c r="CE192" s="2"/>
      <c r="CF192" s="2"/>
    </row>
    <row r="193" spans="1:84" ht="12.65" customHeight="1" x14ac:dyDescent="0.35">
      <c r="A193" s="319" t="s">
        <v>327</v>
      </c>
      <c r="B193" s="312"/>
      <c r="C193" s="312"/>
      <c r="D193" s="312"/>
      <c r="E193" s="31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2"/>
      <c r="BE193" s="2"/>
      <c r="BF193" s="2"/>
      <c r="BG193" s="2"/>
      <c r="BH193" s="2"/>
      <c r="BI193" s="2"/>
      <c r="BJ193" s="2"/>
      <c r="BK193" s="2"/>
      <c r="BL193" s="2"/>
      <c r="BM193" s="2"/>
      <c r="BN193" s="2"/>
      <c r="BO193" s="2"/>
      <c r="BP193" s="2"/>
      <c r="BQ193" s="2"/>
      <c r="BR193" s="2"/>
      <c r="BS193" s="2"/>
      <c r="BT193" s="2"/>
      <c r="BU193" s="2"/>
      <c r="BV193" s="2"/>
      <c r="BW193" s="2"/>
      <c r="BX193" s="2"/>
      <c r="BY193" s="2"/>
      <c r="BZ193" s="2"/>
      <c r="CA193" s="2"/>
      <c r="CB193" s="2"/>
      <c r="CC193" s="2"/>
      <c r="CD193" s="2"/>
      <c r="CE193" s="2"/>
      <c r="CF193" s="2"/>
    </row>
    <row r="194" spans="1:84" ht="12.65" customHeight="1" x14ac:dyDescent="0.35">
      <c r="A194" s="302"/>
      <c r="B194" s="297" t="s">
        <v>328</v>
      </c>
      <c r="C194" s="296" t="s">
        <v>329</v>
      </c>
      <c r="D194" s="297" t="s">
        <v>330</v>
      </c>
      <c r="E194" s="297" t="s">
        <v>331</v>
      </c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  <c r="BH194" s="2"/>
      <c r="BI194" s="2"/>
      <c r="BJ194" s="2"/>
      <c r="BK194" s="2"/>
      <c r="BL194" s="2"/>
      <c r="BM194" s="2"/>
      <c r="BN194" s="2"/>
      <c r="BO194" s="2"/>
      <c r="BP194" s="2"/>
      <c r="BQ194" s="2"/>
      <c r="BR194" s="2"/>
      <c r="BS194" s="2"/>
      <c r="BT194" s="2"/>
      <c r="BU194" s="2"/>
      <c r="BV194" s="2"/>
      <c r="BW194" s="2"/>
      <c r="BX194" s="2"/>
      <c r="BY194" s="2"/>
      <c r="BZ194" s="2"/>
      <c r="CA194" s="2"/>
      <c r="CB194" s="2"/>
      <c r="CC194" s="2"/>
      <c r="CD194" s="2"/>
      <c r="CE194" s="2"/>
      <c r="CF194" s="2"/>
    </row>
    <row r="195" spans="1:84" ht="12.65" customHeight="1" x14ac:dyDescent="0.35">
      <c r="A195" s="295" t="s">
        <v>332</v>
      </c>
      <c r="B195" s="174">
        <v>4913659.68</v>
      </c>
      <c r="C195" s="189"/>
      <c r="D195" s="174"/>
      <c r="E195" s="295">
        <f t="shared" ref="E195:E203" si="11">SUM(B195:C195)-D195</f>
        <v>4913659.68</v>
      </c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2"/>
      <c r="BF195" s="2"/>
      <c r="BG195" s="2"/>
      <c r="BH195" s="2"/>
      <c r="BI195" s="2"/>
      <c r="BJ195" s="2"/>
      <c r="BK195" s="2"/>
      <c r="BL195" s="2"/>
      <c r="BM195" s="2"/>
      <c r="BN195" s="2"/>
      <c r="BO195" s="2"/>
      <c r="BP195" s="2"/>
      <c r="BQ195" s="2"/>
      <c r="BR195" s="2"/>
      <c r="BS195" s="2"/>
      <c r="BT195" s="2"/>
      <c r="BU195" s="2"/>
      <c r="BV195" s="2"/>
      <c r="BW195" s="2"/>
      <c r="BX195" s="2"/>
      <c r="BY195" s="2"/>
      <c r="BZ195" s="2"/>
      <c r="CA195" s="2"/>
      <c r="CB195" s="2"/>
      <c r="CC195" s="2"/>
      <c r="CD195" s="2"/>
      <c r="CE195" s="2"/>
      <c r="CF195" s="2"/>
    </row>
    <row r="196" spans="1:84" ht="12.65" customHeight="1" x14ac:dyDescent="0.35">
      <c r="A196" s="295" t="s">
        <v>333</v>
      </c>
      <c r="B196" s="174">
        <v>13718295.779999999</v>
      </c>
      <c r="C196" s="189"/>
      <c r="D196" s="174">
        <v>594384.47</v>
      </c>
      <c r="E196" s="295">
        <f t="shared" si="11"/>
        <v>13123911.309999999</v>
      </c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  <c r="BI196" s="2"/>
      <c r="BJ196" s="2"/>
      <c r="BK196" s="2"/>
      <c r="BL196" s="2"/>
      <c r="BM196" s="2"/>
      <c r="BN196" s="2"/>
      <c r="BO196" s="2"/>
      <c r="BP196" s="2"/>
      <c r="BQ196" s="2"/>
      <c r="BR196" s="2"/>
      <c r="BS196" s="2"/>
      <c r="BT196" s="2"/>
      <c r="BU196" s="2"/>
      <c r="BV196" s="2"/>
      <c r="BW196" s="2"/>
      <c r="BX196" s="2"/>
      <c r="BY196" s="2"/>
      <c r="BZ196" s="2"/>
      <c r="CA196" s="2"/>
      <c r="CB196" s="2"/>
      <c r="CC196" s="2"/>
      <c r="CD196" s="2"/>
      <c r="CE196" s="2"/>
      <c r="CF196" s="2"/>
    </row>
    <row r="197" spans="1:84" ht="12.65" customHeight="1" x14ac:dyDescent="0.35">
      <c r="A197" s="295" t="s">
        <v>334</v>
      </c>
      <c r="B197" s="174">
        <v>336138181.80000001</v>
      </c>
      <c r="C197" s="189">
        <v>4238175.8499999996</v>
      </c>
      <c r="D197" s="174"/>
      <c r="E197" s="295">
        <f t="shared" si="11"/>
        <v>340376357.65000004</v>
      </c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  <c r="BF197" s="2"/>
      <c r="BG197" s="2"/>
      <c r="BH197" s="2"/>
      <c r="BI197" s="2"/>
      <c r="BJ197" s="2"/>
      <c r="BK197" s="2"/>
      <c r="BL197" s="2"/>
      <c r="BM197" s="2"/>
      <c r="BN197" s="2"/>
      <c r="BO197" s="2"/>
      <c r="BP197" s="2"/>
      <c r="BQ197" s="2"/>
      <c r="BR197" s="2"/>
      <c r="BS197" s="2"/>
      <c r="BT197" s="2"/>
      <c r="BU197" s="2"/>
      <c r="BV197" s="2"/>
      <c r="BW197" s="2"/>
      <c r="BX197" s="2"/>
      <c r="BY197" s="2"/>
      <c r="BZ197" s="2"/>
      <c r="CA197" s="2"/>
      <c r="CB197" s="2"/>
      <c r="CC197" s="2"/>
      <c r="CD197" s="2"/>
      <c r="CE197" s="2"/>
      <c r="CF197" s="2"/>
    </row>
    <row r="198" spans="1:84" ht="12.65" customHeight="1" x14ac:dyDescent="0.35">
      <c r="A198" s="295" t="s">
        <v>335</v>
      </c>
      <c r="B198" s="174">
        <v>127496857.58</v>
      </c>
      <c r="C198" s="189">
        <v>2784576.09</v>
      </c>
      <c r="D198" s="174">
        <v>1873.98</v>
      </c>
      <c r="E198" s="295">
        <f t="shared" si="11"/>
        <v>130279559.69</v>
      </c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2"/>
      <c r="BE198" s="2"/>
      <c r="BF198" s="2"/>
      <c r="BG198" s="2"/>
      <c r="BH198" s="2"/>
      <c r="BI198" s="2"/>
      <c r="BJ198" s="2"/>
      <c r="BK198" s="2"/>
      <c r="BL198" s="2"/>
      <c r="BM198" s="2"/>
      <c r="BN198" s="2"/>
      <c r="BO198" s="2"/>
      <c r="BP198" s="2"/>
      <c r="BQ198" s="2"/>
      <c r="BR198" s="2"/>
      <c r="BS198" s="2"/>
      <c r="BT198" s="2"/>
      <c r="BU198" s="2"/>
      <c r="BV198" s="2"/>
      <c r="BW198" s="2"/>
      <c r="BX198" s="2"/>
      <c r="BY198" s="2"/>
      <c r="BZ198" s="2"/>
      <c r="CA198" s="2"/>
      <c r="CB198" s="2"/>
      <c r="CC198" s="2"/>
      <c r="CD198" s="2"/>
      <c r="CE198" s="2"/>
      <c r="CF198" s="2"/>
    </row>
    <row r="199" spans="1:84" ht="12.65" customHeight="1" x14ac:dyDescent="0.35">
      <c r="A199" s="295" t="s">
        <v>336</v>
      </c>
      <c r="B199" s="174">
        <v>50609.42</v>
      </c>
      <c r="C199" s="189"/>
      <c r="D199" s="174">
        <v>27486.38</v>
      </c>
      <c r="E199" s="295">
        <f t="shared" si="11"/>
        <v>23123.039999999997</v>
      </c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2"/>
      <c r="BF199" s="2"/>
      <c r="BG199" s="2"/>
      <c r="BH199" s="2"/>
      <c r="BI199" s="2"/>
      <c r="BJ199" s="2"/>
      <c r="BK199" s="2"/>
      <c r="BL199" s="2"/>
      <c r="BM199" s="2"/>
      <c r="BN199" s="2"/>
      <c r="BO199" s="2"/>
      <c r="BP199" s="2"/>
      <c r="BQ199" s="2"/>
      <c r="BR199" s="2"/>
      <c r="BS199" s="2"/>
      <c r="BT199" s="2"/>
      <c r="BU199" s="2"/>
      <c r="BV199" s="2"/>
      <c r="BW199" s="2"/>
      <c r="BX199" s="2"/>
      <c r="BY199" s="2"/>
      <c r="BZ199" s="2"/>
      <c r="CA199" s="2"/>
      <c r="CB199" s="2"/>
      <c r="CC199" s="2"/>
      <c r="CD199" s="2"/>
      <c r="CE199" s="2"/>
      <c r="CF199" s="2"/>
    </row>
    <row r="200" spans="1:84" ht="12.65" customHeight="1" x14ac:dyDescent="0.35">
      <c r="A200" s="295" t="s">
        <v>337</v>
      </c>
      <c r="B200" s="174">
        <v>297478483.68000001</v>
      </c>
      <c r="C200" s="189">
        <v>18248091.109999999</v>
      </c>
      <c r="D200" s="174">
        <v>14623251.42</v>
      </c>
      <c r="E200" s="295">
        <f t="shared" si="11"/>
        <v>301103323.37</v>
      </c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  <c r="BG200" s="2"/>
      <c r="BH200" s="2"/>
      <c r="BI200" s="2"/>
      <c r="BJ200" s="2"/>
      <c r="BK200" s="2"/>
      <c r="BL200" s="2"/>
      <c r="BM200" s="2"/>
      <c r="BN200" s="2"/>
      <c r="BO200" s="2"/>
      <c r="BP200" s="2"/>
      <c r="BQ200" s="2"/>
      <c r="BR200" s="2"/>
      <c r="BS200" s="2"/>
      <c r="BT200" s="2"/>
      <c r="BU200" s="2"/>
      <c r="BV200" s="2"/>
      <c r="BW200" s="2"/>
      <c r="BX200" s="2"/>
      <c r="BY200" s="2"/>
      <c r="BZ200" s="2"/>
      <c r="CA200" s="2"/>
      <c r="CB200" s="2"/>
      <c r="CC200" s="2"/>
      <c r="CD200" s="2"/>
      <c r="CE200" s="2"/>
      <c r="CF200" s="2"/>
    </row>
    <row r="201" spans="1:84" ht="12.65" customHeight="1" x14ac:dyDescent="0.35">
      <c r="A201" s="295" t="s">
        <v>338</v>
      </c>
      <c r="B201" s="174">
        <v>0</v>
      </c>
      <c r="C201" s="189"/>
      <c r="D201" s="174"/>
      <c r="E201" s="295">
        <f t="shared" si="11"/>
        <v>0</v>
      </c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  <c r="BD201" s="2"/>
      <c r="BE201" s="2"/>
      <c r="BF201" s="2"/>
      <c r="BG201" s="2"/>
      <c r="BH201" s="2"/>
      <c r="BI201" s="2"/>
      <c r="BJ201" s="2"/>
      <c r="BK201" s="2"/>
      <c r="BL201" s="2"/>
      <c r="BM201" s="2"/>
      <c r="BN201" s="2"/>
      <c r="BO201" s="2"/>
      <c r="BP201" s="2"/>
      <c r="BQ201" s="2"/>
      <c r="BR201" s="2"/>
      <c r="BS201" s="2"/>
      <c r="BT201" s="2"/>
      <c r="BU201" s="2"/>
      <c r="BV201" s="2"/>
      <c r="BW201" s="2"/>
      <c r="BX201" s="2"/>
      <c r="BY201" s="2"/>
      <c r="BZ201" s="2"/>
      <c r="CA201" s="2"/>
      <c r="CB201" s="2"/>
      <c r="CC201" s="2"/>
      <c r="CD201" s="2"/>
      <c r="CE201" s="2"/>
      <c r="CF201" s="2"/>
    </row>
    <row r="202" spans="1:84" ht="12.65" customHeight="1" x14ac:dyDescent="0.35">
      <c r="A202" s="295" t="s">
        <v>339</v>
      </c>
      <c r="B202" s="174">
        <v>38462716.149999999</v>
      </c>
      <c r="C202" s="189">
        <v>1477905.64</v>
      </c>
      <c r="D202" s="174"/>
      <c r="E202" s="295">
        <f t="shared" si="11"/>
        <v>39940621.789999999</v>
      </c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  <c r="BC202" s="2"/>
      <c r="BD202" s="2"/>
      <c r="BE202" s="2"/>
      <c r="BF202" s="2"/>
      <c r="BG202" s="2"/>
      <c r="BH202" s="2"/>
      <c r="BI202" s="2"/>
      <c r="BJ202" s="2"/>
      <c r="BK202" s="2"/>
      <c r="BL202" s="2"/>
      <c r="BM202" s="2"/>
      <c r="BN202" s="2"/>
      <c r="BO202" s="2"/>
      <c r="BP202" s="2"/>
      <c r="BQ202" s="2"/>
      <c r="BR202" s="2"/>
      <c r="BS202" s="2"/>
      <c r="BT202" s="2"/>
      <c r="BU202" s="2"/>
      <c r="BV202" s="2"/>
      <c r="BW202" s="2"/>
      <c r="BX202" s="2"/>
      <c r="BY202" s="2"/>
      <c r="BZ202" s="2"/>
      <c r="CA202" s="2"/>
      <c r="CB202" s="2"/>
      <c r="CC202" s="2"/>
      <c r="CD202" s="2"/>
      <c r="CE202" s="2"/>
      <c r="CF202" s="2"/>
    </row>
    <row r="203" spans="1:84" ht="12.65" customHeight="1" x14ac:dyDescent="0.35">
      <c r="A203" s="295" t="s">
        <v>340</v>
      </c>
      <c r="B203" s="174">
        <v>25691086.539999999</v>
      </c>
      <c r="C203" s="189">
        <v>24995416.859999999</v>
      </c>
      <c r="D203" s="174">
        <v>26112650.690000001</v>
      </c>
      <c r="E203" s="295">
        <f t="shared" si="11"/>
        <v>24573852.709999997</v>
      </c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2"/>
      <c r="BF203" s="2"/>
      <c r="BG203" s="2"/>
      <c r="BH203" s="2"/>
      <c r="BI203" s="2"/>
      <c r="BJ203" s="2"/>
      <c r="BK203" s="2"/>
      <c r="BL203" s="2"/>
      <c r="BM203" s="2"/>
      <c r="BN203" s="2"/>
      <c r="BO203" s="2"/>
      <c r="BP203" s="2"/>
      <c r="BQ203" s="2"/>
      <c r="BR203" s="2"/>
      <c r="BS203" s="2"/>
      <c r="BT203" s="2"/>
      <c r="BU203" s="2"/>
      <c r="BV203" s="2"/>
      <c r="BW203" s="2"/>
      <c r="BX203" s="2"/>
      <c r="BY203" s="2"/>
      <c r="BZ203" s="2"/>
      <c r="CA203" s="2"/>
      <c r="CB203" s="2"/>
      <c r="CC203" s="2"/>
      <c r="CD203" s="2"/>
      <c r="CE203" s="2"/>
      <c r="CF203" s="2"/>
    </row>
    <row r="204" spans="1:84" ht="12.65" customHeight="1" x14ac:dyDescent="0.35">
      <c r="A204" s="295" t="s">
        <v>203</v>
      </c>
      <c r="B204" s="295">
        <f>SUM(B195:B203)</f>
        <v>843949890.63</v>
      </c>
      <c r="C204" s="303">
        <f>SUM(C195:C203)</f>
        <v>51744165.549999997</v>
      </c>
      <c r="D204" s="295">
        <f>SUM(D195:D203)</f>
        <v>41359646.939999998</v>
      </c>
      <c r="E204" s="295">
        <f>SUM(E195:E203)</f>
        <v>854334409.24000001</v>
      </c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  <c r="BG204" s="2"/>
      <c r="BH204" s="2"/>
      <c r="BI204" s="2"/>
      <c r="BJ204" s="2"/>
      <c r="BK204" s="2"/>
      <c r="BL204" s="2"/>
      <c r="BM204" s="2"/>
      <c r="BN204" s="2"/>
      <c r="BO204" s="2"/>
      <c r="BP204" s="2"/>
      <c r="BQ204" s="2"/>
      <c r="BR204" s="2"/>
      <c r="BS204" s="2"/>
      <c r="BT204" s="2"/>
      <c r="BU204" s="2"/>
      <c r="BV204" s="2"/>
      <c r="BW204" s="2"/>
      <c r="BX204" s="2"/>
      <c r="BY204" s="2"/>
      <c r="BZ204" s="2"/>
      <c r="CA204" s="2"/>
      <c r="CB204" s="2"/>
      <c r="CC204" s="2"/>
      <c r="CD204" s="2"/>
      <c r="CE204" s="2"/>
      <c r="CF204" s="2"/>
    </row>
    <row r="205" spans="1:84" ht="12.65" customHeight="1" x14ac:dyDescent="0.35">
      <c r="A205" s="295"/>
      <c r="B205" s="295"/>
      <c r="C205" s="303"/>
      <c r="D205" s="295"/>
      <c r="E205" s="295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  <c r="BD205" s="2"/>
      <c r="BE205" s="2"/>
      <c r="BF205" s="2"/>
      <c r="BG205" s="2"/>
      <c r="BH205" s="2"/>
      <c r="BI205" s="2"/>
      <c r="BJ205" s="2"/>
      <c r="BK205" s="2"/>
      <c r="BL205" s="2"/>
      <c r="BM205" s="2"/>
      <c r="BN205" s="2"/>
      <c r="BO205" s="2"/>
      <c r="BP205" s="2"/>
      <c r="BQ205" s="2"/>
      <c r="BR205" s="2"/>
      <c r="BS205" s="2"/>
      <c r="BT205" s="2"/>
      <c r="BU205" s="2"/>
      <c r="BV205" s="2"/>
      <c r="BW205" s="2"/>
      <c r="BX205" s="2"/>
      <c r="BY205" s="2"/>
      <c r="BZ205" s="2"/>
      <c r="CA205" s="2"/>
      <c r="CB205" s="2"/>
      <c r="CC205" s="2"/>
      <c r="CD205" s="2"/>
      <c r="CE205" s="2"/>
      <c r="CF205" s="2"/>
    </row>
    <row r="206" spans="1:84" ht="12.65" customHeight="1" x14ac:dyDescent="0.35">
      <c r="A206" s="319" t="s">
        <v>341</v>
      </c>
      <c r="B206" s="319"/>
      <c r="C206" s="319"/>
      <c r="D206" s="319"/>
      <c r="E206" s="319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2"/>
      <c r="BE206" s="2"/>
      <c r="BF206" s="2"/>
      <c r="BG206" s="2"/>
      <c r="BH206" s="2"/>
      <c r="BI206" s="2"/>
      <c r="BJ206" s="2"/>
      <c r="BK206" s="2"/>
      <c r="BL206" s="2"/>
      <c r="BM206" s="2"/>
      <c r="BN206" s="2"/>
      <c r="BO206" s="2"/>
      <c r="BP206" s="2"/>
      <c r="BQ206" s="2"/>
      <c r="BR206" s="2"/>
      <c r="BS206" s="2"/>
      <c r="BT206" s="2"/>
      <c r="BU206" s="2"/>
      <c r="BV206" s="2"/>
      <c r="BW206" s="2"/>
      <c r="BX206" s="2"/>
      <c r="BY206" s="2"/>
      <c r="BZ206" s="2"/>
      <c r="CA206" s="2"/>
      <c r="CB206" s="2"/>
      <c r="CC206" s="2"/>
      <c r="CD206" s="2"/>
      <c r="CE206" s="2"/>
      <c r="CF206" s="2"/>
    </row>
    <row r="207" spans="1:84" ht="12.65" customHeight="1" x14ac:dyDescent="0.35">
      <c r="A207" s="302"/>
      <c r="B207" s="297" t="s">
        <v>328</v>
      </c>
      <c r="C207" s="296" t="s">
        <v>329</v>
      </c>
      <c r="D207" s="297" t="s">
        <v>330</v>
      </c>
      <c r="E207" s="297" t="s">
        <v>331</v>
      </c>
      <c r="F207" s="2"/>
      <c r="G207" s="2"/>
      <c r="H207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  <c r="BE207" s="2"/>
      <c r="BF207" s="2"/>
      <c r="BG207" s="2"/>
      <c r="BH207" s="2"/>
      <c r="BI207" s="2"/>
      <c r="BJ207" s="2"/>
      <c r="BK207" s="2"/>
      <c r="BL207" s="2"/>
      <c r="BM207" s="2"/>
      <c r="BN207" s="2"/>
      <c r="BO207" s="2"/>
      <c r="BP207" s="2"/>
      <c r="BQ207" s="2"/>
      <c r="BR207" s="2"/>
      <c r="BS207" s="2"/>
      <c r="BT207" s="2"/>
      <c r="BU207" s="2"/>
      <c r="BV207" s="2"/>
      <c r="BW207" s="2"/>
      <c r="BX207" s="2"/>
      <c r="BY207" s="2"/>
      <c r="BZ207" s="2"/>
      <c r="CA207" s="2"/>
      <c r="CB207" s="2"/>
      <c r="CC207" s="2"/>
      <c r="CD207" s="2"/>
      <c r="CE207" s="2"/>
      <c r="CF207" s="2"/>
    </row>
    <row r="208" spans="1:84" ht="12.65" customHeight="1" x14ac:dyDescent="0.35">
      <c r="A208" s="295" t="s">
        <v>332</v>
      </c>
      <c r="B208" s="325"/>
      <c r="C208" s="324"/>
      <c r="D208" s="325"/>
      <c r="E208" s="295"/>
      <c r="F208" s="2"/>
      <c r="G208" s="2"/>
      <c r="H208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  <c r="BE208" s="2"/>
      <c r="BF208" s="2"/>
      <c r="BG208" s="2"/>
      <c r="BH208" s="2"/>
      <c r="BI208" s="2"/>
      <c r="BJ208" s="2"/>
      <c r="BK208" s="2"/>
      <c r="BL208" s="2"/>
      <c r="BM208" s="2"/>
      <c r="BN208" s="2"/>
      <c r="BO208" s="2"/>
      <c r="BP208" s="2"/>
      <c r="BQ208" s="2"/>
      <c r="BR208" s="2"/>
      <c r="BS208" s="2"/>
      <c r="BT208" s="2"/>
      <c r="BU208" s="2"/>
      <c r="BV208" s="2"/>
      <c r="BW208" s="2"/>
      <c r="BX208" s="2"/>
      <c r="BY208" s="2"/>
      <c r="BZ208" s="2"/>
      <c r="CA208" s="2"/>
      <c r="CB208" s="2"/>
      <c r="CC208" s="2"/>
      <c r="CD208" s="2"/>
      <c r="CE208" s="2"/>
      <c r="CF208" s="2"/>
    </row>
    <row r="209" spans="1:84" ht="12.65" customHeight="1" x14ac:dyDescent="0.35">
      <c r="A209" s="295" t="s">
        <v>333</v>
      </c>
      <c r="B209" s="174">
        <v>11543030.199999999</v>
      </c>
      <c r="C209" s="189">
        <v>359408.82</v>
      </c>
      <c r="D209" s="174">
        <v>594384.47</v>
      </c>
      <c r="E209" s="295">
        <f t="shared" ref="E209:E216" si="12">SUM(B209:C209)-D209</f>
        <v>11308054.549999999</v>
      </c>
      <c r="F209" s="2"/>
      <c r="G209" s="2"/>
      <c r="H209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  <c r="BE209" s="2"/>
      <c r="BF209" s="2"/>
      <c r="BG209" s="2"/>
      <c r="BH209" s="2"/>
      <c r="BI209" s="2"/>
      <c r="BJ209" s="2"/>
      <c r="BK209" s="2"/>
      <c r="BL209" s="2"/>
      <c r="BM209" s="2"/>
      <c r="BN209" s="2"/>
      <c r="BO209" s="2"/>
      <c r="BP209" s="2"/>
      <c r="BQ209" s="2"/>
      <c r="BR209" s="2"/>
      <c r="BS209" s="2"/>
      <c r="BT209" s="2"/>
      <c r="BU209" s="2"/>
      <c r="BV209" s="2"/>
      <c r="BW209" s="2"/>
      <c r="BX209" s="2"/>
      <c r="BY209" s="2"/>
      <c r="BZ209" s="2"/>
      <c r="CA209" s="2"/>
      <c r="CB209" s="2"/>
      <c r="CC209" s="2"/>
      <c r="CD209" s="2"/>
      <c r="CE209" s="2"/>
      <c r="CF209" s="2"/>
    </row>
    <row r="210" spans="1:84" ht="12.65" customHeight="1" x14ac:dyDescent="0.35">
      <c r="A210" s="295" t="s">
        <v>334</v>
      </c>
      <c r="B210" s="174">
        <v>171122095.91999999</v>
      </c>
      <c r="C210" s="189">
        <v>11338082.73</v>
      </c>
      <c r="D210" s="174"/>
      <c r="E210" s="295">
        <f t="shared" si="12"/>
        <v>182460178.64999998</v>
      </c>
      <c r="F210" s="2"/>
      <c r="G210" s="2"/>
      <c r="H210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  <c r="BD210" s="2"/>
      <c r="BE210" s="2"/>
      <c r="BF210" s="2"/>
      <c r="BG210" s="2"/>
      <c r="BH210" s="2"/>
      <c r="BI210" s="2"/>
      <c r="BJ210" s="2"/>
      <c r="BK210" s="2"/>
      <c r="BL210" s="2"/>
      <c r="BM210" s="2"/>
      <c r="BN210" s="2"/>
      <c r="BO210" s="2"/>
      <c r="BP210" s="2"/>
      <c r="BQ210" s="2"/>
      <c r="BR210" s="2"/>
      <c r="BS210" s="2"/>
      <c r="BT210" s="2"/>
      <c r="BU210" s="2"/>
      <c r="BV210" s="2"/>
      <c r="BW210" s="2"/>
      <c r="BX210" s="2"/>
      <c r="BY210" s="2"/>
      <c r="BZ210" s="2"/>
      <c r="CA210" s="2"/>
      <c r="CB210" s="2"/>
      <c r="CC210" s="2"/>
      <c r="CD210" s="2"/>
      <c r="CE210" s="2"/>
      <c r="CF210" s="2"/>
    </row>
    <row r="211" spans="1:84" ht="12.65" customHeight="1" x14ac:dyDescent="0.35">
      <c r="A211" s="295" t="s">
        <v>335</v>
      </c>
      <c r="B211" s="174">
        <v>91988696.510000005</v>
      </c>
      <c r="C211" s="189">
        <v>4267675.76</v>
      </c>
      <c r="D211" s="174">
        <v>1873.98</v>
      </c>
      <c r="E211" s="295">
        <f t="shared" si="12"/>
        <v>96254498.290000007</v>
      </c>
      <c r="F211" s="2"/>
      <c r="G211" s="2"/>
      <c r="H211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  <c r="BD211" s="2"/>
      <c r="BE211" s="2"/>
      <c r="BF211" s="2"/>
      <c r="BG211" s="2"/>
      <c r="BH211" s="2"/>
      <c r="BI211" s="2"/>
      <c r="BJ211" s="2"/>
      <c r="BK211" s="2"/>
      <c r="BL211" s="2"/>
      <c r="BM211" s="2"/>
      <c r="BN211" s="2"/>
      <c r="BO211" s="2"/>
      <c r="BP211" s="2"/>
      <c r="BQ211" s="2"/>
      <c r="BR211" s="2"/>
      <c r="BS211" s="2"/>
      <c r="BT211" s="2"/>
      <c r="BU211" s="2"/>
      <c r="BV211" s="2"/>
      <c r="BW211" s="2"/>
      <c r="BX211" s="2"/>
      <c r="BY211" s="2"/>
      <c r="BZ211" s="2"/>
      <c r="CA211" s="2"/>
      <c r="CB211" s="2"/>
      <c r="CC211" s="2"/>
      <c r="CD211" s="2"/>
      <c r="CE211" s="2"/>
      <c r="CF211" s="2"/>
    </row>
    <row r="212" spans="1:84" ht="12.65" customHeight="1" x14ac:dyDescent="0.35">
      <c r="A212" s="295" t="s">
        <v>336</v>
      </c>
      <c r="B212" s="174">
        <v>47806.75</v>
      </c>
      <c r="C212" s="189">
        <v>947.43</v>
      </c>
      <c r="D212" s="174">
        <v>27486.38</v>
      </c>
      <c r="E212" s="295">
        <f t="shared" si="12"/>
        <v>21267.8</v>
      </c>
      <c r="F212" s="2"/>
      <c r="G212" s="2"/>
      <c r="H21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  <c r="BC212" s="2"/>
      <c r="BD212" s="2"/>
      <c r="BE212" s="2"/>
      <c r="BF212" s="2"/>
      <c r="BG212" s="2"/>
      <c r="BH212" s="2"/>
      <c r="BI212" s="2"/>
      <c r="BJ212" s="2"/>
      <c r="BK212" s="2"/>
      <c r="BL212" s="2"/>
      <c r="BM212" s="2"/>
      <c r="BN212" s="2"/>
      <c r="BO212" s="2"/>
      <c r="BP212" s="2"/>
      <c r="BQ212" s="2"/>
      <c r="BR212" s="2"/>
      <c r="BS212" s="2"/>
      <c r="BT212" s="2"/>
      <c r="BU212" s="2"/>
      <c r="BV212" s="2"/>
      <c r="BW212" s="2"/>
      <c r="BX212" s="2"/>
      <c r="BY212" s="2"/>
      <c r="BZ212" s="2"/>
      <c r="CA212" s="2"/>
      <c r="CB212" s="2"/>
      <c r="CC212" s="2"/>
      <c r="CD212" s="2"/>
      <c r="CE212" s="2"/>
      <c r="CF212" s="2"/>
    </row>
    <row r="213" spans="1:84" ht="12.65" customHeight="1" x14ac:dyDescent="0.35">
      <c r="A213" s="295" t="s">
        <v>337</v>
      </c>
      <c r="B213" s="174">
        <v>226932186.77000001</v>
      </c>
      <c r="C213" s="189">
        <v>17854952.609999999</v>
      </c>
      <c r="D213" s="174">
        <v>14623251.42</v>
      </c>
      <c r="E213" s="295">
        <f t="shared" si="12"/>
        <v>230163887.96000001</v>
      </c>
      <c r="F213" s="2"/>
      <c r="G213" s="2"/>
      <c r="H213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  <c r="BB213" s="2"/>
      <c r="BC213" s="2"/>
      <c r="BD213" s="2"/>
      <c r="BE213" s="2"/>
      <c r="BF213" s="2"/>
      <c r="BG213" s="2"/>
      <c r="BH213" s="2"/>
      <c r="BI213" s="2"/>
      <c r="BJ213" s="2"/>
      <c r="BK213" s="2"/>
      <c r="BL213" s="2"/>
      <c r="BM213" s="2"/>
      <c r="BN213" s="2"/>
      <c r="BO213" s="2"/>
      <c r="BP213" s="2"/>
      <c r="BQ213" s="2"/>
      <c r="BR213" s="2"/>
      <c r="BS213" s="2"/>
      <c r="BT213" s="2"/>
      <c r="BU213" s="2"/>
      <c r="BV213" s="2"/>
      <c r="BW213" s="2"/>
      <c r="BX213" s="2"/>
      <c r="BY213" s="2"/>
      <c r="BZ213" s="2"/>
      <c r="CA213" s="2"/>
      <c r="CB213" s="2"/>
      <c r="CC213" s="2"/>
      <c r="CD213" s="2"/>
      <c r="CE213" s="2"/>
      <c r="CF213" s="2"/>
    </row>
    <row r="214" spans="1:84" ht="12.65" customHeight="1" x14ac:dyDescent="0.35">
      <c r="A214" s="295" t="s">
        <v>338</v>
      </c>
      <c r="B214" s="174">
        <v>0</v>
      </c>
      <c r="C214" s="189"/>
      <c r="D214" s="174"/>
      <c r="E214" s="295">
        <f t="shared" si="12"/>
        <v>0</v>
      </c>
      <c r="F214" s="2"/>
      <c r="G214" s="2"/>
      <c r="H214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  <c r="BD214" s="2"/>
      <c r="BE214" s="2"/>
      <c r="BF214" s="2"/>
      <c r="BG214" s="2"/>
      <c r="BH214" s="2"/>
      <c r="BI214" s="2"/>
      <c r="BJ214" s="2"/>
      <c r="BK214" s="2"/>
      <c r="BL214" s="2"/>
      <c r="BM214" s="2"/>
      <c r="BN214" s="2"/>
      <c r="BO214" s="2"/>
      <c r="BP214" s="2"/>
      <c r="BQ214" s="2"/>
      <c r="BR214" s="2"/>
      <c r="BS214" s="2"/>
      <c r="BT214" s="2"/>
      <c r="BU214" s="2"/>
      <c r="BV214" s="2"/>
      <c r="BW214" s="2"/>
      <c r="BX214" s="2"/>
      <c r="BY214" s="2"/>
      <c r="BZ214" s="2"/>
      <c r="CA214" s="2"/>
      <c r="CB214" s="2"/>
      <c r="CC214" s="2"/>
      <c r="CD214" s="2"/>
      <c r="CE214" s="2"/>
      <c r="CF214" s="2"/>
    </row>
    <row r="215" spans="1:84" ht="12.65" customHeight="1" x14ac:dyDescent="0.35">
      <c r="A215" s="295" t="s">
        <v>339</v>
      </c>
      <c r="B215" s="174">
        <v>21487264.5</v>
      </c>
      <c r="C215" s="189">
        <v>2482052.7599999998</v>
      </c>
      <c r="D215" s="174"/>
      <c r="E215" s="295">
        <f t="shared" si="12"/>
        <v>23969317.259999998</v>
      </c>
      <c r="F215" s="2"/>
      <c r="G215" s="2"/>
      <c r="H215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  <c r="BA215" s="2"/>
      <c r="BB215" s="2"/>
      <c r="BC215" s="2"/>
      <c r="BD215" s="2"/>
      <c r="BE215" s="2"/>
      <c r="BF215" s="2"/>
      <c r="BG215" s="2"/>
      <c r="BH215" s="2"/>
      <c r="BI215" s="2"/>
      <c r="BJ215" s="2"/>
      <c r="BK215" s="2"/>
      <c r="BL215" s="2"/>
      <c r="BM215" s="2"/>
      <c r="BN215" s="2"/>
      <c r="BO215" s="2"/>
      <c r="BP215" s="2"/>
      <c r="BQ215" s="2"/>
      <c r="BR215" s="2"/>
      <c r="BS215" s="2"/>
      <c r="BT215" s="2"/>
      <c r="BU215" s="2"/>
      <c r="BV215" s="2"/>
      <c r="BW215" s="2"/>
      <c r="BX215" s="2"/>
      <c r="BY215" s="2"/>
      <c r="BZ215" s="2"/>
      <c r="CA215" s="2"/>
      <c r="CB215" s="2"/>
      <c r="CC215" s="2"/>
      <c r="CD215" s="2"/>
      <c r="CE215" s="2"/>
      <c r="CF215" s="2"/>
    </row>
    <row r="216" spans="1:84" ht="12.65" customHeight="1" x14ac:dyDescent="0.35">
      <c r="A216" s="295" t="s">
        <v>340</v>
      </c>
      <c r="B216" s="174">
        <v>0</v>
      </c>
      <c r="C216" s="189"/>
      <c r="D216" s="174"/>
      <c r="E216" s="295">
        <f t="shared" si="12"/>
        <v>0</v>
      </c>
      <c r="F216" s="2"/>
      <c r="G216" s="2"/>
      <c r="H216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  <c r="BC216" s="2"/>
      <c r="BD216" s="2"/>
      <c r="BE216" s="2"/>
      <c r="BF216" s="2"/>
      <c r="BG216" s="2"/>
      <c r="BH216" s="2"/>
      <c r="BI216" s="2"/>
      <c r="BJ216" s="2"/>
      <c r="BK216" s="2"/>
      <c r="BL216" s="2"/>
      <c r="BM216" s="2"/>
      <c r="BN216" s="2"/>
      <c r="BO216" s="2"/>
      <c r="BP216" s="2"/>
      <c r="BQ216" s="2"/>
      <c r="BR216" s="2"/>
      <c r="BS216" s="2"/>
      <c r="BT216" s="2"/>
      <c r="BU216" s="2"/>
      <c r="BV216" s="2"/>
      <c r="BW216" s="2"/>
      <c r="BX216" s="2"/>
      <c r="BY216" s="2"/>
      <c r="BZ216" s="2"/>
      <c r="CA216" s="2"/>
      <c r="CB216" s="2"/>
      <c r="CC216" s="2"/>
      <c r="CD216" s="2"/>
      <c r="CE216" s="2"/>
      <c r="CF216" s="2"/>
    </row>
    <row r="217" spans="1:84" ht="12.65" customHeight="1" x14ac:dyDescent="0.35">
      <c r="A217" s="295" t="s">
        <v>203</v>
      </c>
      <c r="B217" s="295">
        <f>SUM(B208:B216)</f>
        <v>523121080.64999998</v>
      </c>
      <c r="C217" s="303">
        <f>SUM(C208:C216)</f>
        <v>36303120.109999999</v>
      </c>
      <c r="D217" s="295">
        <f>SUM(D208:D216)</f>
        <v>15246996.25</v>
      </c>
      <c r="E217" s="295">
        <f>SUM(E208:E216)</f>
        <v>544177204.50999999</v>
      </c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2"/>
      <c r="BG217" s="2"/>
      <c r="BH217" s="2"/>
      <c r="BI217" s="2"/>
      <c r="BJ217" s="2"/>
      <c r="BK217" s="2"/>
      <c r="BL217" s="2"/>
      <c r="BM217" s="2"/>
      <c r="BN217" s="2"/>
      <c r="BO217" s="2"/>
      <c r="BP217" s="2"/>
      <c r="BQ217" s="2"/>
      <c r="BR217" s="2"/>
      <c r="BS217" s="2"/>
      <c r="BT217" s="2"/>
      <c r="BU217" s="2"/>
      <c r="BV217" s="2"/>
      <c r="BW217" s="2"/>
      <c r="BX217" s="2"/>
      <c r="BY217" s="2"/>
      <c r="BZ217" s="2"/>
      <c r="CA217" s="2"/>
      <c r="CB217" s="2"/>
      <c r="CC217" s="2"/>
      <c r="CD217" s="2"/>
      <c r="CE217" s="2"/>
      <c r="CF217" s="2"/>
    </row>
    <row r="218" spans="1:84" ht="12.65" customHeight="1" x14ac:dyDescent="0.35">
      <c r="A218" s="295"/>
      <c r="B218" s="295"/>
      <c r="C218" s="303"/>
      <c r="D218" s="295"/>
      <c r="E218" s="295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  <c r="BD218" s="2"/>
      <c r="BE218" s="2"/>
      <c r="BF218" s="2"/>
      <c r="BG218" s="2"/>
      <c r="BH218" s="2"/>
      <c r="BI218" s="2"/>
      <c r="BJ218" s="2"/>
      <c r="BK218" s="2"/>
      <c r="BL218" s="2"/>
      <c r="BM218" s="2"/>
      <c r="BN218" s="2"/>
      <c r="BO218" s="2"/>
      <c r="BP218" s="2"/>
      <c r="BQ218" s="2"/>
      <c r="BR218" s="2"/>
      <c r="BS218" s="2"/>
      <c r="BT218" s="2"/>
      <c r="BU218" s="2"/>
      <c r="BV218" s="2"/>
      <c r="BW218" s="2"/>
      <c r="BX218" s="2"/>
      <c r="BY218" s="2"/>
      <c r="BZ218" s="2"/>
      <c r="CA218" s="2"/>
      <c r="CB218" s="2"/>
      <c r="CC218" s="2"/>
      <c r="CD218" s="2"/>
      <c r="CE218" s="2"/>
      <c r="CF218" s="2"/>
    </row>
    <row r="219" spans="1:84" ht="21.75" customHeight="1" x14ac:dyDescent="0.35">
      <c r="A219" s="312" t="s">
        <v>342</v>
      </c>
      <c r="B219" s="312"/>
      <c r="C219" s="312"/>
      <c r="D219" s="312"/>
      <c r="E219" s="31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2"/>
      <c r="BF219" s="2"/>
      <c r="BG219" s="2"/>
      <c r="BH219" s="2"/>
      <c r="BI219" s="2"/>
      <c r="BJ219" s="2"/>
      <c r="BK219" s="2"/>
      <c r="BL219" s="2"/>
      <c r="BM219" s="2"/>
      <c r="BN219" s="2"/>
      <c r="BO219" s="2"/>
      <c r="BP219" s="2"/>
      <c r="BQ219" s="2"/>
      <c r="BR219" s="2"/>
      <c r="BS219" s="2"/>
      <c r="BT219" s="2"/>
      <c r="BU219" s="2"/>
      <c r="BV219" s="2"/>
      <c r="BW219" s="2"/>
      <c r="BX219" s="2"/>
      <c r="BY219" s="2"/>
      <c r="BZ219" s="2"/>
      <c r="CA219" s="2"/>
      <c r="CB219" s="2"/>
      <c r="CC219" s="2"/>
      <c r="CD219" s="2"/>
      <c r="CE219" s="2"/>
      <c r="CF219" s="2"/>
    </row>
    <row r="220" spans="1:84" ht="12.65" customHeight="1" x14ac:dyDescent="0.35">
      <c r="A220" s="312"/>
      <c r="B220" s="343" t="s">
        <v>1254</v>
      </c>
      <c r="C220" s="343"/>
      <c r="D220" s="312"/>
      <c r="E220" s="31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2"/>
      <c r="BC220" s="2"/>
      <c r="BD220" s="2"/>
      <c r="BE220" s="2"/>
      <c r="BF220" s="2"/>
      <c r="BG220" s="2"/>
      <c r="BH220" s="2"/>
      <c r="BI220" s="2"/>
      <c r="BJ220" s="2"/>
      <c r="BK220" s="2"/>
      <c r="BL220" s="2"/>
      <c r="BM220" s="2"/>
      <c r="BN220" s="2"/>
      <c r="BO220" s="2"/>
      <c r="BP220" s="2"/>
      <c r="BQ220" s="2"/>
      <c r="BR220" s="2"/>
      <c r="BS220" s="2"/>
      <c r="BT220" s="2"/>
      <c r="BU220" s="2"/>
      <c r="BV220" s="2"/>
      <c r="BW220" s="2"/>
      <c r="BX220" s="2"/>
      <c r="BY220" s="2"/>
      <c r="BZ220" s="2"/>
      <c r="CA220" s="2"/>
      <c r="CB220" s="2"/>
      <c r="CC220" s="2"/>
      <c r="CD220" s="2"/>
      <c r="CE220" s="2"/>
      <c r="CF220" s="2"/>
    </row>
    <row r="221" spans="1:84" ht="12.65" customHeight="1" x14ac:dyDescent="0.35">
      <c r="A221" s="326" t="s">
        <v>1254</v>
      </c>
      <c r="B221" s="312"/>
      <c r="C221" s="189">
        <v>14990941</v>
      </c>
      <c r="D221" s="313">
        <f>C221</f>
        <v>14990941</v>
      </c>
      <c r="E221" s="31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  <c r="BA221" s="2"/>
      <c r="BB221" s="2"/>
      <c r="BC221" s="2"/>
      <c r="BD221" s="2"/>
      <c r="BE221" s="2"/>
      <c r="BF221" s="2"/>
      <c r="BG221" s="2"/>
      <c r="BH221" s="2"/>
      <c r="BI221" s="2"/>
      <c r="BJ221" s="2"/>
      <c r="BK221" s="2"/>
      <c r="BL221" s="2"/>
      <c r="BM221" s="2"/>
      <c r="BN221" s="2"/>
      <c r="BO221" s="2"/>
      <c r="BP221" s="2"/>
      <c r="BQ221" s="2"/>
      <c r="BR221" s="2"/>
      <c r="BS221" s="2"/>
      <c r="BT221" s="2"/>
      <c r="BU221" s="2"/>
      <c r="BV221" s="2"/>
      <c r="BW221" s="2"/>
      <c r="BX221" s="2"/>
      <c r="BY221" s="2"/>
      <c r="BZ221" s="2"/>
      <c r="CA221" s="2"/>
      <c r="CB221" s="2"/>
      <c r="CC221" s="2"/>
      <c r="CD221" s="2"/>
      <c r="CE221" s="2"/>
      <c r="CF221" s="2"/>
    </row>
    <row r="222" spans="1:84" ht="12.65" customHeight="1" x14ac:dyDescent="0.35">
      <c r="A222" s="317" t="s">
        <v>343</v>
      </c>
      <c r="B222" s="317"/>
      <c r="C222" s="317"/>
      <c r="D222" s="317"/>
      <c r="E222" s="317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  <c r="AY222" s="2"/>
      <c r="AZ222" s="2"/>
      <c r="BA222" s="2"/>
      <c r="BB222" s="2"/>
      <c r="BC222" s="2"/>
      <c r="BD222" s="2"/>
      <c r="BE222" s="2"/>
      <c r="BF222" s="2"/>
      <c r="BG222" s="2"/>
      <c r="BH222" s="2"/>
      <c r="BI222" s="2"/>
      <c r="BJ222" s="2"/>
      <c r="BK222" s="2"/>
      <c r="BL222" s="2"/>
      <c r="BM222" s="2"/>
      <c r="BN222" s="2"/>
      <c r="BO222" s="2"/>
      <c r="BP222" s="2"/>
      <c r="BQ222" s="2"/>
      <c r="BR222" s="2"/>
      <c r="BS222" s="2"/>
      <c r="BT222" s="2"/>
      <c r="BU222" s="2"/>
      <c r="BV222" s="2"/>
      <c r="BW222" s="2"/>
      <c r="BX222" s="2"/>
      <c r="BY222" s="2"/>
      <c r="BZ222" s="2"/>
      <c r="CA222" s="2"/>
      <c r="CB222" s="2"/>
      <c r="CC222" s="2"/>
      <c r="CD222" s="2"/>
      <c r="CE222" s="2"/>
      <c r="CF222" s="2"/>
    </row>
    <row r="223" spans="1:84" ht="12.65" customHeight="1" x14ac:dyDescent="0.35">
      <c r="A223" s="295" t="s">
        <v>344</v>
      </c>
      <c r="B223" s="313" t="s">
        <v>256</v>
      </c>
      <c r="C223" s="189">
        <v>591409889</v>
      </c>
      <c r="D223" s="295"/>
      <c r="E223" s="295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2"/>
      <c r="AY223" s="2"/>
      <c r="AZ223" s="2"/>
      <c r="BA223" s="2"/>
      <c r="BB223" s="2"/>
      <c r="BC223" s="2"/>
      <c r="BD223" s="2"/>
      <c r="BE223" s="2"/>
      <c r="BF223" s="2"/>
      <c r="BG223" s="2"/>
      <c r="BH223" s="2"/>
      <c r="BI223" s="2"/>
      <c r="BJ223" s="2"/>
      <c r="BK223" s="2"/>
      <c r="BL223" s="2"/>
      <c r="BM223" s="2"/>
      <c r="BN223" s="2"/>
      <c r="BO223" s="2"/>
      <c r="BP223" s="2"/>
      <c r="BQ223" s="2"/>
      <c r="BR223" s="2"/>
      <c r="BS223" s="2"/>
      <c r="BT223" s="2"/>
      <c r="BU223" s="2"/>
      <c r="BV223" s="2"/>
      <c r="BW223" s="2"/>
      <c r="BX223" s="2"/>
      <c r="BY223" s="2"/>
      <c r="BZ223" s="2"/>
      <c r="CA223" s="2"/>
      <c r="CB223" s="2"/>
      <c r="CC223" s="2"/>
      <c r="CD223" s="2"/>
      <c r="CE223" s="2"/>
      <c r="CF223" s="2"/>
    </row>
    <row r="224" spans="1:84" ht="12.65" customHeight="1" x14ac:dyDescent="0.35">
      <c r="A224" s="295" t="s">
        <v>345</v>
      </c>
      <c r="B224" s="313" t="s">
        <v>256</v>
      </c>
      <c r="C224" s="189">
        <v>134379928</v>
      </c>
      <c r="D224" s="295"/>
      <c r="E224" s="295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  <c r="AZ224" s="2"/>
      <c r="BA224" s="2"/>
      <c r="BB224" s="2"/>
      <c r="BC224" s="2"/>
      <c r="BD224" s="2"/>
      <c r="BE224" s="2"/>
      <c r="BF224" s="2"/>
      <c r="BG224" s="2"/>
      <c r="BH224" s="2"/>
      <c r="BI224" s="2"/>
      <c r="BJ224" s="2"/>
      <c r="BK224" s="2"/>
      <c r="BL224" s="2"/>
      <c r="BM224" s="2"/>
      <c r="BN224" s="2"/>
      <c r="BO224" s="2"/>
      <c r="BP224" s="2"/>
      <c r="BQ224" s="2"/>
      <c r="BR224" s="2"/>
      <c r="BS224" s="2"/>
      <c r="BT224" s="2"/>
      <c r="BU224" s="2"/>
      <c r="BV224" s="2"/>
      <c r="BW224" s="2"/>
      <c r="BX224" s="2"/>
      <c r="BY224" s="2"/>
      <c r="BZ224" s="2"/>
      <c r="CA224" s="2"/>
      <c r="CB224" s="2"/>
      <c r="CC224" s="2"/>
      <c r="CD224" s="2"/>
      <c r="CE224" s="2"/>
      <c r="CF224" s="2"/>
    </row>
    <row r="225" spans="1:84" ht="12.65" customHeight="1" x14ac:dyDescent="0.35">
      <c r="A225" s="295" t="s">
        <v>346</v>
      </c>
      <c r="B225" s="313" t="s">
        <v>256</v>
      </c>
      <c r="C225" s="189">
        <v>8744407</v>
      </c>
      <c r="D225" s="295"/>
      <c r="E225" s="295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"/>
      <c r="AX225" s="2"/>
      <c r="AY225" s="2"/>
      <c r="AZ225" s="2"/>
      <c r="BA225" s="2"/>
      <c r="BB225" s="2"/>
      <c r="BC225" s="2"/>
      <c r="BD225" s="2"/>
      <c r="BE225" s="2"/>
      <c r="BF225" s="2"/>
      <c r="BG225" s="2"/>
      <c r="BH225" s="2"/>
      <c r="BI225" s="2"/>
      <c r="BJ225" s="2"/>
      <c r="BK225" s="2"/>
      <c r="BL225" s="2"/>
      <c r="BM225" s="2"/>
      <c r="BN225" s="2"/>
      <c r="BO225" s="2"/>
      <c r="BP225" s="2"/>
      <c r="BQ225" s="2"/>
      <c r="BR225" s="2"/>
      <c r="BS225" s="2"/>
      <c r="BT225" s="2"/>
      <c r="BU225" s="2"/>
      <c r="BV225" s="2"/>
      <c r="BW225" s="2"/>
      <c r="BX225" s="2"/>
      <c r="BY225" s="2"/>
      <c r="BZ225" s="2"/>
      <c r="CA225" s="2"/>
      <c r="CB225" s="2"/>
      <c r="CC225" s="2"/>
      <c r="CD225" s="2"/>
      <c r="CE225" s="2"/>
      <c r="CF225" s="2"/>
    </row>
    <row r="226" spans="1:84" ht="12.65" customHeight="1" x14ac:dyDescent="0.35">
      <c r="A226" s="295" t="s">
        <v>347</v>
      </c>
      <c r="B226" s="313" t="s">
        <v>256</v>
      </c>
      <c r="C226" s="189">
        <v>6818196</v>
      </c>
      <c r="D226" s="295"/>
      <c r="E226" s="295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  <c r="AW226" s="2"/>
      <c r="AX226" s="2"/>
      <c r="AY226" s="2"/>
      <c r="AZ226" s="2"/>
      <c r="BA226" s="2"/>
      <c r="BB226" s="2"/>
      <c r="BC226" s="2"/>
      <c r="BD226" s="2"/>
      <c r="BE226" s="2"/>
      <c r="BF226" s="2"/>
      <c r="BG226" s="2"/>
      <c r="BH226" s="2"/>
      <c r="BI226" s="2"/>
      <c r="BJ226" s="2"/>
      <c r="BK226" s="2"/>
      <c r="BL226" s="2"/>
      <c r="BM226" s="2"/>
      <c r="BN226" s="2"/>
      <c r="BO226" s="2"/>
      <c r="BP226" s="2"/>
      <c r="BQ226" s="2"/>
      <c r="BR226" s="2"/>
      <c r="BS226" s="2"/>
      <c r="BT226" s="2"/>
      <c r="BU226" s="2"/>
      <c r="BV226" s="2"/>
      <c r="BW226" s="2"/>
      <c r="BX226" s="2"/>
      <c r="BY226" s="2"/>
      <c r="BZ226" s="2"/>
      <c r="CA226" s="2"/>
      <c r="CB226" s="2"/>
      <c r="CC226" s="2"/>
      <c r="CD226" s="2"/>
      <c r="CE226" s="2"/>
      <c r="CF226" s="2"/>
    </row>
    <row r="227" spans="1:84" ht="12.65" customHeight="1" x14ac:dyDescent="0.35">
      <c r="A227" s="295" t="s">
        <v>348</v>
      </c>
      <c r="B227" s="313" t="s">
        <v>256</v>
      </c>
      <c r="C227" s="189">
        <v>470314582</v>
      </c>
      <c r="D227" s="295"/>
      <c r="E227" s="295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2"/>
      <c r="AV227" s="2"/>
      <c r="AW227" s="2"/>
      <c r="AX227" s="2"/>
      <c r="AY227" s="2"/>
      <c r="AZ227" s="2"/>
      <c r="BA227" s="2"/>
      <c r="BB227" s="2"/>
      <c r="BC227" s="2"/>
      <c r="BD227" s="2"/>
      <c r="BE227" s="2"/>
      <c r="BF227" s="2"/>
      <c r="BG227" s="2"/>
      <c r="BH227" s="2"/>
      <c r="BI227" s="2"/>
      <c r="BJ227" s="2"/>
      <c r="BK227" s="2"/>
      <c r="BL227" s="2"/>
      <c r="BM227" s="2"/>
      <c r="BN227" s="2"/>
      <c r="BO227" s="2"/>
      <c r="BP227" s="2"/>
      <c r="BQ227" s="2"/>
      <c r="BR227" s="2"/>
      <c r="BS227" s="2"/>
      <c r="BT227" s="2"/>
      <c r="BU227" s="2"/>
      <c r="BV227" s="2"/>
      <c r="BW227" s="2"/>
      <c r="BX227" s="2"/>
      <c r="BY227" s="2"/>
      <c r="BZ227" s="2"/>
      <c r="CA227" s="2"/>
      <c r="CB227" s="2"/>
      <c r="CC227" s="2"/>
      <c r="CD227" s="2"/>
      <c r="CE227" s="2"/>
      <c r="CF227" s="2"/>
    </row>
    <row r="228" spans="1:84" ht="12.65" customHeight="1" x14ac:dyDescent="0.35">
      <c r="A228" s="295" t="s">
        <v>349</v>
      </c>
      <c r="B228" s="313" t="s">
        <v>256</v>
      </c>
      <c r="C228" s="189">
        <f>1212049579-1211667002</f>
        <v>382577</v>
      </c>
      <c r="D228" s="295"/>
      <c r="E228" s="295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  <c r="AW228" s="2"/>
      <c r="AX228" s="2"/>
      <c r="AY228" s="2"/>
      <c r="AZ228" s="2"/>
      <c r="BA228" s="2"/>
      <c r="BB228" s="2"/>
      <c r="BC228" s="2"/>
      <c r="BD228" s="2"/>
      <c r="BE228" s="2"/>
      <c r="BF228" s="2"/>
      <c r="BG228" s="2"/>
      <c r="BH228" s="2"/>
      <c r="BI228" s="2"/>
      <c r="BJ228" s="2"/>
      <c r="BK228" s="2"/>
      <c r="BL228" s="2"/>
      <c r="BM228" s="2"/>
      <c r="BN228" s="2"/>
      <c r="BO228" s="2"/>
      <c r="BP228" s="2"/>
      <c r="BQ228" s="2"/>
      <c r="BR228" s="2"/>
      <c r="BS228" s="2"/>
      <c r="BT228" s="2"/>
      <c r="BU228" s="2"/>
      <c r="BV228" s="2"/>
      <c r="BW228" s="2"/>
      <c r="BX228" s="2"/>
      <c r="BY228" s="2"/>
      <c r="BZ228" s="2"/>
      <c r="CA228" s="2"/>
      <c r="CB228" s="2"/>
      <c r="CC228" s="2"/>
      <c r="CD228" s="2"/>
      <c r="CE228" s="2"/>
      <c r="CF228" s="2"/>
    </row>
    <row r="229" spans="1:84" ht="12.65" customHeight="1" x14ac:dyDescent="0.35">
      <c r="A229" s="295" t="s">
        <v>350</v>
      </c>
      <c r="B229" s="295"/>
      <c r="C229" s="303"/>
      <c r="D229" s="295">
        <f>SUM(C223:C228)</f>
        <v>1212049579</v>
      </c>
      <c r="E229" s="295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  <c r="AV229" s="2"/>
      <c r="AW229" s="2"/>
      <c r="AX229" s="2"/>
      <c r="AY229" s="2"/>
      <c r="AZ229" s="2"/>
      <c r="BA229" s="2"/>
      <c r="BB229" s="2"/>
      <c r="BC229" s="2"/>
      <c r="BD229" s="2"/>
      <c r="BE229" s="2"/>
      <c r="BF229" s="2"/>
      <c r="BG229" s="2"/>
      <c r="BH229" s="2"/>
      <c r="BI229" s="2"/>
      <c r="BJ229" s="2"/>
      <c r="BK229" s="2"/>
      <c r="BL229" s="2"/>
      <c r="BM229" s="2"/>
      <c r="BN229" s="2"/>
      <c r="BO229" s="2"/>
      <c r="BP229" s="2"/>
      <c r="BQ229" s="2"/>
      <c r="BR229" s="2"/>
      <c r="BS229" s="2"/>
      <c r="BT229" s="2"/>
      <c r="BU229" s="2"/>
      <c r="BV229" s="2"/>
      <c r="BW229" s="2"/>
      <c r="BX229" s="2"/>
      <c r="BY229" s="2"/>
      <c r="BZ229" s="2"/>
      <c r="CA229" s="2"/>
      <c r="CB229" s="2"/>
      <c r="CC229" s="2"/>
      <c r="CD229" s="2"/>
      <c r="CE229" s="2"/>
      <c r="CF229" s="2"/>
    </row>
    <row r="230" spans="1:84" ht="12.65" customHeight="1" x14ac:dyDescent="0.35">
      <c r="A230" s="317" t="s">
        <v>351</v>
      </c>
      <c r="B230" s="317"/>
      <c r="C230" s="317"/>
      <c r="D230" s="317"/>
      <c r="E230" s="317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  <c r="AW230" s="2"/>
      <c r="AX230" s="2"/>
      <c r="AY230" s="2"/>
      <c r="AZ230" s="2"/>
      <c r="BA230" s="2"/>
      <c r="BB230" s="2"/>
      <c r="BC230" s="2"/>
      <c r="BD230" s="2"/>
      <c r="BE230" s="2"/>
      <c r="BF230" s="2"/>
      <c r="BG230" s="2"/>
      <c r="BH230" s="2"/>
      <c r="BI230" s="2"/>
      <c r="BJ230" s="2"/>
      <c r="BK230" s="2"/>
      <c r="BL230" s="2"/>
      <c r="BM230" s="2"/>
      <c r="BN230" s="2"/>
      <c r="BO230" s="2"/>
      <c r="BP230" s="2"/>
      <c r="BQ230" s="2"/>
      <c r="BR230" s="2"/>
      <c r="BS230" s="2"/>
      <c r="BT230" s="2"/>
      <c r="BU230" s="2"/>
      <c r="BV230" s="2"/>
      <c r="BW230" s="2"/>
      <c r="BX230" s="2"/>
      <c r="BY230" s="2"/>
      <c r="BZ230" s="2"/>
      <c r="CA230" s="2"/>
      <c r="CB230" s="2"/>
      <c r="CC230" s="2"/>
      <c r="CD230" s="2"/>
      <c r="CE230" s="2"/>
      <c r="CF230" s="2"/>
    </row>
    <row r="231" spans="1:84" ht="12.65" customHeight="1" x14ac:dyDescent="0.35">
      <c r="A231" s="302" t="s">
        <v>352</v>
      </c>
      <c r="B231" s="313" t="s">
        <v>256</v>
      </c>
      <c r="C231" s="327">
        <v>3962</v>
      </c>
      <c r="D231" s="295"/>
      <c r="E231" s="295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  <c r="AY231" s="2"/>
      <c r="AZ231" s="2"/>
      <c r="BA231" s="2"/>
      <c r="BB231" s="2"/>
      <c r="BC231" s="2"/>
      <c r="BD231" s="2"/>
      <c r="BE231" s="2"/>
      <c r="BF231" s="2"/>
      <c r="BG231" s="2"/>
      <c r="BH231" s="2"/>
      <c r="BI231" s="2"/>
      <c r="BJ231" s="2"/>
      <c r="BK231" s="2"/>
      <c r="BL231" s="2"/>
      <c r="BM231" s="2"/>
      <c r="BN231" s="2"/>
      <c r="BO231" s="2"/>
      <c r="BP231" s="2"/>
      <c r="BQ231" s="2"/>
      <c r="BR231" s="2"/>
      <c r="BS231" s="2"/>
      <c r="BT231" s="2"/>
      <c r="BU231" s="2"/>
      <c r="BV231" s="2"/>
      <c r="BW231" s="2"/>
      <c r="BX231" s="2"/>
      <c r="BY231" s="2"/>
      <c r="BZ231" s="2"/>
      <c r="CA231" s="2"/>
      <c r="CB231" s="2"/>
      <c r="CC231" s="2"/>
      <c r="CD231" s="2"/>
      <c r="CE231" s="2"/>
      <c r="CF231" s="2"/>
    </row>
    <row r="232" spans="1:84" ht="12.65" customHeight="1" x14ac:dyDescent="0.35">
      <c r="A232" s="302"/>
      <c r="B232" s="313"/>
      <c r="C232" s="303"/>
      <c r="D232" s="295"/>
      <c r="E232" s="295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"/>
      <c r="AX232" s="2"/>
      <c r="AY232" s="2"/>
      <c r="AZ232" s="2"/>
      <c r="BA232" s="2"/>
      <c r="BB232" s="2"/>
      <c r="BC232" s="2"/>
      <c r="BD232" s="2"/>
      <c r="BE232" s="2"/>
      <c r="BF232" s="2"/>
      <c r="BG232" s="2"/>
      <c r="BH232" s="2"/>
      <c r="BI232" s="2"/>
      <c r="BJ232" s="2"/>
      <c r="BK232" s="2"/>
      <c r="BL232" s="2"/>
      <c r="BM232" s="2"/>
      <c r="BN232" s="2"/>
      <c r="BO232" s="2"/>
      <c r="BP232" s="2"/>
      <c r="BQ232" s="2"/>
      <c r="BR232" s="2"/>
      <c r="BS232" s="2"/>
      <c r="BT232" s="2"/>
      <c r="BU232" s="2"/>
      <c r="BV232" s="2"/>
      <c r="BW232" s="2"/>
      <c r="BX232" s="2"/>
      <c r="BY232" s="2"/>
      <c r="BZ232" s="2"/>
      <c r="CA232" s="2"/>
      <c r="CB232" s="2"/>
      <c r="CC232" s="2"/>
      <c r="CD232" s="2"/>
      <c r="CE232" s="2"/>
      <c r="CF232" s="2"/>
    </row>
    <row r="233" spans="1:84" ht="12.65" customHeight="1" x14ac:dyDescent="0.35">
      <c r="A233" s="302" t="s">
        <v>353</v>
      </c>
      <c r="B233" s="313" t="s">
        <v>256</v>
      </c>
      <c r="C233" s="189">
        <v>3489992</v>
      </c>
      <c r="D233" s="295"/>
      <c r="E233" s="295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  <c r="AW233" s="2"/>
      <c r="AX233" s="2"/>
      <c r="AY233" s="2"/>
      <c r="AZ233" s="2"/>
      <c r="BA233" s="2"/>
      <c r="BB233" s="2"/>
      <c r="BC233" s="2"/>
      <c r="BD233" s="2"/>
      <c r="BE233" s="2"/>
      <c r="BF233" s="2"/>
      <c r="BG233" s="2"/>
      <c r="BH233" s="2"/>
      <c r="BI233" s="2"/>
      <c r="BJ233" s="2"/>
      <c r="BK233" s="2"/>
      <c r="BL233" s="2"/>
      <c r="BM233" s="2"/>
      <c r="BN233" s="2"/>
      <c r="BO233" s="2"/>
      <c r="BP233" s="2"/>
      <c r="BQ233" s="2"/>
      <c r="BR233" s="2"/>
      <c r="BS233" s="2"/>
      <c r="BT233" s="2"/>
      <c r="BU233" s="2"/>
      <c r="BV233" s="2"/>
      <c r="BW233" s="2"/>
      <c r="BX233" s="2"/>
      <c r="BY233" s="2"/>
      <c r="BZ233" s="2"/>
      <c r="CA233" s="2"/>
      <c r="CB233" s="2"/>
      <c r="CC233" s="2"/>
      <c r="CD233" s="2"/>
      <c r="CE233" s="2"/>
      <c r="CF233" s="2"/>
    </row>
    <row r="234" spans="1:84" ht="12.65" customHeight="1" x14ac:dyDescent="0.35">
      <c r="A234" s="302" t="s">
        <v>354</v>
      </c>
      <c r="B234" s="313" t="s">
        <v>256</v>
      </c>
      <c r="C234" s="189">
        <v>4753080</v>
      </c>
      <c r="D234" s="295"/>
      <c r="E234" s="295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V234" s="2"/>
      <c r="AW234" s="2"/>
      <c r="AX234" s="2"/>
      <c r="AY234" s="2"/>
      <c r="AZ234" s="2"/>
      <c r="BA234" s="2"/>
      <c r="BB234" s="2"/>
      <c r="BC234" s="2"/>
      <c r="BD234" s="2"/>
      <c r="BE234" s="2"/>
      <c r="BF234" s="2"/>
      <c r="BG234" s="2"/>
      <c r="BH234" s="2"/>
      <c r="BI234" s="2"/>
      <c r="BJ234" s="2"/>
      <c r="BK234" s="2"/>
      <c r="BL234" s="2"/>
      <c r="BM234" s="2"/>
      <c r="BN234" s="2"/>
      <c r="BO234" s="2"/>
      <c r="BP234" s="2"/>
      <c r="BQ234" s="2"/>
      <c r="BR234" s="2"/>
      <c r="BS234" s="2"/>
      <c r="BT234" s="2"/>
      <c r="BU234" s="2"/>
      <c r="BV234" s="2"/>
      <c r="BW234" s="2"/>
      <c r="BX234" s="2"/>
      <c r="BY234" s="2"/>
      <c r="BZ234" s="2"/>
      <c r="CA234" s="2"/>
      <c r="CB234" s="2"/>
      <c r="CC234" s="2"/>
      <c r="CD234" s="2"/>
      <c r="CE234" s="2"/>
      <c r="CF234" s="2"/>
    </row>
    <row r="235" spans="1:84" ht="12.65" customHeight="1" x14ac:dyDescent="0.35">
      <c r="A235" s="295"/>
      <c r="B235" s="295"/>
      <c r="C235" s="303"/>
      <c r="D235" s="295"/>
      <c r="E235" s="295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V235" s="2"/>
      <c r="AW235" s="2"/>
      <c r="AX235" s="2"/>
      <c r="AY235" s="2"/>
      <c r="AZ235" s="2"/>
      <c r="BA235" s="2"/>
      <c r="BB235" s="2"/>
      <c r="BC235" s="2"/>
      <c r="BD235" s="2"/>
      <c r="BE235" s="2"/>
      <c r="BF235" s="2"/>
      <c r="BG235" s="2"/>
      <c r="BH235" s="2"/>
      <c r="BI235" s="2"/>
      <c r="BJ235" s="2"/>
      <c r="BK235" s="2"/>
      <c r="BL235" s="2"/>
      <c r="BM235" s="2"/>
      <c r="BN235" s="2"/>
      <c r="BO235" s="2"/>
      <c r="BP235" s="2"/>
      <c r="BQ235" s="2"/>
      <c r="BR235" s="2"/>
      <c r="BS235" s="2"/>
      <c r="BT235" s="2"/>
      <c r="BU235" s="2"/>
      <c r="BV235" s="2"/>
      <c r="BW235" s="2"/>
      <c r="BX235" s="2"/>
      <c r="BY235" s="2"/>
      <c r="BZ235" s="2"/>
      <c r="CA235" s="2"/>
      <c r="CB235" s="2"/>
      <c r="CC235" s="2"/>
      <c r="CD235" s="2"/>
      <c r="CE235" s="2"/>
      <c r="CF235" s="2"/>
    </row>
    <row r="236" spans="1:84" ht="12.65" customHeight="1" x14ac:dyDescent="0.35">
      <c r="A236" s="302" t="s">
        <v>355</v>
      </c>
      <c r="B236" s="295"/>
      <c r="C236" s="303"/>
      <c r="D236" s="295">
        <f>SUM(C233:C235)</f>
        <v>8243072</v>
      </c>
      <c r="E236" s="295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  <c r="AT236" s="2"/>
      <c r="AU236" s="2"/>
      <c r="AV236" s="2"/>
      <c r="AW236" s="2"/>
      <c r="AX236" s="2"/>
      <c r="AY236" s="2"/>
      <c r="AZ236" s="2"/>
      <c r="BA236" s="2"/>
      <c r="BB236" s="2"/>
      <c r="BC236" s="2"/>
      <c r="BD236" s="2"/>
      <c r="BE236" s="2"/>
      <c r="BF236" s="2"/>
      <c r="BG236" s="2"/>
      <c r="BH236" s="2"/>
      <c r="BI236" s="2"/>
      <c r="BJ236" s="2"/>
      <c r="BK236" s="2"/>
      <c r="BL236" s="2"/>
      <c r="BM236" s="2"/>
      <c r="BN236" s="2"/>
      <c r="BO236" s="2"/>
      <c r="BP236" s="2"/>
      <c r="BQ236" s="2"/>
      <c r="BR236" s="2"/>
      <c r="BS236" s="2"/>
      <c r="BT236" s="2"/>
      <c r="BU236" s="2"/>
      <c r="BV236" s="2"/>
      <c r="BW236" s="2"/>
      <c r="BX236" s="2"/>
      <c r="BY236" s="2"/>
      <c r="BZ236" s="2"/>
      <c r="CA236" s="2"/>
      <c r="CB236" s="2"/>
      <c r="CC236" s="2"/>
      <c r="CD236" s="2"/>
      <c r="CE236" s="2"/>
      <c r="CF236" s="2"/>
    </row>
    <row r="237" spans="1:84" ht="12.65" customHeight="1" x14ac:dyDescent="0.35">
      <c r="A237" s="317" t="s">
        <v>356</v>
      </c>
      <c r="B237" s="317"/>
      <c r="C237" s="317"/>
      <c r="D237" s="317"/>
      <c r="E237" s="317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2"/>
      <c r="AV237" s="2"/>
      <c r="AW237" s="2"/>
      <c r="AX237" s="2"/>
      <c r="AY237" s="2"/>
      <c r="AZ237" s="2"/>
      <c r="BA237" s="2"/>
      <c r="BB237" s="2"/>
      <c r="BC237" s="2"/>
      <c r="BD237" s="2"/>
      <c r="BE237" s="2"/>
      <c r="BF237" s="2"/>
      <c r="BG237" s="2"/>
      <c r="BH237" s="2"/>
      <c r="BI237" s="2"/>
      <c r="BJ237" s="2"/>
      <c r="BK237" s="2"/>
      <c r="BL237" s="2"/>
      <c r="BM237" s="2"/>
      <c r="BN237" s="2"/>
      <c r="BO237" s="2"/>
      <c r="BP237" s="2"/>
      <c r="BQ237" s="2"/>
      <c r="BR237" s="2"/>
      <c r="BS237" s="2"/>
      <c r="BT237" s="2"/>
      <c r="BU237" s="2"/>
      <c r="BV237" s="2"/>
      <c r="BW237" s="2"/>
      <c r="BX237" s="2"/>
      <c r="BY237" s="2"/>
      <c r="BZ237" s="2"/>
      <c r="CA237" s="2"/>
      <c r="CB237" s="2"/>
      <c r="CC237" s="2"/>
      <c r="CD237" s="2"/>
      <c r="CE237" s="2"/>
      <c r="CF237" s="2"/>
    </row>
    <row r="238" spans="1:84" ht="12.65" customHeight="1" x14ac:dyDescent="0.35">
      <c r="A238" s="295" t="s">
        <v>357</v>
      </c>
      <c r="B238" s="313" t="s">
        <v>256</v>
      </c>
      <c r="C238" s="189">
        <v>5233395</v>
      </c>
      <c r="D238" s="295"/>
      <c r="E238" s="295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  <c r="AT238" s="2"/>
      <c r="AU238" s="2"/>
      <c r="AV238" s="2"/>
      <c r="AW238" s="2"/>
      <c r="AX238" s="2"/>
      <c r="AY238" s="2"/>
      <c r="AZ238" s="2"/>
      <c r="BA238" s="2"/>
      <c r="BB238" s="2"/>
      <c r="BC238" s="2"/>
      <c r="BD238" s="2"/>
      <c r="BE238" s="2"/>
      <c r="BF238" s="2"/>
      <c r="BG238" s="2"/>
      <c r="BH238" s="2"/>
      <c r="BI238" s="2"/>
      <c r="BJ238" s="2"/>
      <c r="BK238" s="2"/>
      <c r="BL238" s="2"/>
      <c r="BM238" s="2"/>
      <c r="BN238" s="2"/>
      <c r="BO238" s="2"/>
      <c r="BP238" s="2"/>
      <c r="BQ238" s="2"/>
      <c r="BR238" s="2"/>
      <c r="BS238" s="2"/>
      <c r="BT238" s="2"/>
      <c r="BU238" s="2"/>
      <c r="BV238" s="2"/>
      <c r="BW238" s="2"/>
      <c r="BX238" s="2"/>
      <c r="BY238" s="2"/>
      <c r="BZ238" s="2"/>
      <c r="CA238" s="2"/>
      <c r="CB238" s="2"/>
      <c r="CC238" s="2"/>
      <c r="CD238" s="2"/>
      <c r="CE238" s="2"/>
      <c r="CF238" s="2"/>
    </row>
    <row r="239" spans="1:84" ht="12.65" customHeight="1" x14ac:dyDescent="0.35">
      <c r="A239" s="295" t="s">
        <v>356</v>
      </c>
      <c r="B239" s="313" t="s">
        <v>256</v>
      </c>
      <c r="C239" s="189"/>
      <c r="D239" s="295"/>
      <c r="E239" s="295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  <c r="AT239" s="2"/>
      <c r="AU239" s="2"/>
      <c r="AV239" s="2"/>
      <c r="AW239" s="2"/>
      <c r="AX239" s="2"/>
      <c r="AY239" s="2"/>
      <c r="AZ239" s="2"/>
      <c r="BA239" s="2"/>
      <c r="BB239" s="2"/>
      <c r="BC239" s="2"/>
      <c r="BD239" s="2"/>
      <c r="BE239" s="2"/>
      <c r="BF239" s="2"/>
      <c r="BG239" s="2"/>
      <c r="BH239" s="2"/>
      <c r="BI239" s="2"/>
      <c r="BJ239" s="2"/>
      <c r="BK239" s="2"/>
      <c r="BL239" s="2"/>
      <c r="BM239" s="2"/>
      <c r="BN239" s="2"/>
      <c r="BO239" s="2"/>
      <c r="BP239" s="2"/>
      <c r="BQ239" s="2"/>
      <c r="BR239" s="2"/>
      <c r="BS239" s="2"/>
      <c r="BT239" s="2"/>
      <c r="BU239" s="2"/>
      <c r="BV239" s="2"/>
      <c r="BW239" s="2"/>
      <c r="BX239" s="2"/>
      <c r="BY239" s="2"/>
      <c r="BZ239" s="2"/>
      <c r="CA239" s="2"/>
      <c r="CB239" s="2"/>
      <c r="CC239" s="2"/>
      <c r="CD239" s="2"/>
      <c r="CE239" s="2"/>
      <c r="CF239" s="2"/>
    </row>
    <row r="240" spans="1:84" ht="12.65" customHeight="1" x14ac:dyDescent="0.35">
      <c r="A240" s="295" t="s">
        <v>358</v>
      </c>
      <c r="B240" s="295"/>
      <c r="C240" s="303"/>
      <c r="D240" s="295">
        <f>SUM(C238:C239)</f>
        <v>5233395</v>
      </c>
      <c r="E240" s="295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"/>
      <c r="AT240" s="2"/>
      <c r="AU240" s="2"/>
      <c r="AV240" s="2"/>
      <c r="AW240" s="2"/>
      <c r="AX240" s="2"/>
      <c r="AY240" s="2"/>
      <c r="AZ240" s="2"/>
      <c r="BA240" s="2"/>
      <c r="BB240" s="2"/>
      <c r="BC240" s="2"/>
      <c r="BD240" s="2"/>
      <c r="BE240" s="2"/>
      <c r="BF240" s="2"/>
      <c r="BG240" s="2"/>
      <c r="BH240" s="2"/>
      <c r="BI240" s="2"/>
      <c r="BJ240" s="2"/>
      <c r="BK240" s="2"/>
      <c r="BL240" s="2"/>
      <c r="BM240" s="2"/>
      <c r="BN240" s="2"/>
      <c r="BO240" s="2"/>
      <c r="BP240" s="2"/>
      <c r="BQ240" s="2"/>
      <c r="BR240" s="2"/>
      <c r="BS240" s="2"/>
      <c r="BT240" s="2"/>
      <c r="BU240" s="2"/>
      <c r="BV240" s="2"/>
      <c r="BW240" s="2"/>
      <c r="BX240" s="2"/>
      <c r="BY240" s="2"/>
      <c r="BZ240" s="2"/>
      <c r="CA240" s="2"/>
      <c r="CB240" s="2"/>
      <c r="CC240" s="2"/>
      <c r="CD240" s="2"/>
      <c r="CE240" s="2"/>
      <c r="CF240" s="2"/>
    </row>
    <row r="241" spans="1:84" ht="12.65" customHeight="1" x14ac:dyDescent="0.35">
      <c r="A241" s="295"/>
      <c r="B241" s="295"/>
      <c r="C241" s="303"/>
      <c r="D241" s="295"/>
      <c r="E241" s="295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"/>
      <c r="AT241" s="2"/>
      <c r="AU241" s="2"/>
      <c r="AV241" s="2"/>
      <c r="AW241" s="2"/>
      <c r="AX241" s="2"/>
      <c r="AY241" s="2"/>
      <c r="AZ241" s="2"/>
      <c r="BA241" s="2"/>
      <c r="BB241" s="2"/>
      <c r="BC241" s="2"/>
      <c r="BD241" s="2"/>
      <c r="BE241" s="2"/>
      <c r="BF241" s="2"/>
      <c r="BG241" s="2"/>
      <c r="BH241" s="2"/>
      <c r="BI241" s="2"/>
      <c r="BJ241" s="2"/>
      <c r="BK241" s="2"/>
      <c r="BL241" s="2"/>
      <c r="BM241" s="2"/>
      <c r="BN241" s="2"/>
      <c r="BO241" s="2"/>
      <c r="BP241" s="2"/>
      <c r="BQ241" s="2"/>
      <c r="BR241" s="2"/>
      <c r="BS241" s="2"/>
      <c r="BT241" s="2"/>
      <c r="BU241" s="2"/>
      <c r="BV241" s="2"/>
      <c r="BW241" s="2"/>
      <c r="BX241" s="2"/>
      <c r="BY241" s="2"/>
      <c r="BZ241" s="2"/>
      <c r="CA241" s="2"/>
      <c r="CB241" s="2"/>
      <c r="CC241" s="2"/>
      <c r="CD241" s="2"/>
      <c r="CE241" s="2"/>
      <c r="CF241" s="2"/>
    </row>
    <row r="242" spans="1:84" ht="12.65" customHeight="1" x14ac:dyDescent="0.35">
      <c r="A242" s="295" t="s">
        <v>359</v>
      </c>
      <c r="B242" s="295"/>
      <c r="C242" s="303"/>
      <c r="D242" s="295">
        <f>D221+D229+D236+D240</f>
        <v>1240516987</v>
      </c>
      <c r="E242" s="295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"/>
      <c r="AT242" s="2"/>
      <c r="AU242" s="2"/>
      <c r="AV242" s="2"/>
      <c r="AW242" s="2"/>
      <c r="AX242" s="2"/>
      <c r="AY242" s="2"/>
      <c r="AZ242" s="2"/>
      <c r="BA242" s="2"/>
      <c r="BB242" s="2"/>
      <c r="BC242" s="2"/>
      <c r="BD242" s="2"/>
      <c r="BE242" s="2"/>
      <c r="BF242" s="2"/>
      <c r="BG242" s="2"/>
      <c r="BH242" s="2"/>
      <c r="BI242" s="2"/>
      <c r="BJ242" s="2"/>
      <c r="BK242" s="2"/>
      <c r="BL242" s="2"/>
      <c r="BM242" s="2"/>
      <c r="BN242" s="2"/>
      <c r="BO242" s="2"/>
      <c r="BP242" s="2"/>
      <c r="BQ242" s="2"/>
      <c r="BR242" s="2"/>
      <c r="BS242" s="2"/>
      <c r="BT242" s="2"/>
      <c r="BU242" s="2"/>
      <c r="BV242" s="2"/>
      <c r="BW242" s="2"/>
      <c r="BX242" s="2"/>
      <c r="BY242" s="2"/>
      <c r="BZ242" s="2"/>
      <c r="CA242" s="2"/>
      <c r="CB242" s="2"/>
      <c r="CC242" s="2"/>
      <c r="CD242" s="2"/>
      <c r="CE242" s="2"/>
      <c r="CF242" s="2"/>
    </row>
    <row r="243" spans="1:84" ht="12.65" customHeight="1" x14ac:dyDescent="0.35">
      <c r="A243" s="295"/>
      <c r="B243" s="295"/>
      <c r="C243" s="303"/>
      <c r="D243" s="295"/>
      <c r="E243" s="295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"/>
      <c r="AT243" s="2"/>
      <c r="AU243" s="2"/>
      <c r="AV243" s="2"/>
      <c r="AW243" s="2"/>
      <c r="AX243" s="2"/>
      <c r="AY243" s="2"/>
      <c r="AZ243" s="2"/>
      <c r="BA243" s="2"/>
      <c r="BB243" s="2"/>
      <c r="BC243" s="2"/>
      <c r="BD243" s="2"/>
      <c r="BE243" s="2"/>
      <c r="BF243" s="2"/>
      <c r="BG243" s="2"/>
      <c r="BH243" s="2"/>
      <c r="BI243" s="2"/>
      <c r="BJ243" s="2"/>
      <c r="BK243" s="2"/>
      <c r="BL243" s="2"/>
      <c r="BM243" s="2"/>
      <c r="BN243" s="2"/>
      <c r="BO243" s="2"/>
      <c r="BP243" s="2"/>
      <c r="BQ243" s="2"/>
      <c r="BR243" s="2"/>
      <c r="BS243" s="2"/>
      <c r="BT243" s="2"/>
      <c r="BU243" s="2"/>
      <c r="BV243" s="2"/>
      <c r="BW243" s="2"/>
      <c r="BX243" s="2"/>
      <c r="BY243" s="2"/>
      <c r="BZ243" s="2"/>
      <c r="CA243" s="2"/>
      <c r="CB243" s="2"/>
      <c r="CC243" s="2"/>
      <c r="CD243" s="2"/>
      <c r="CE243" s="2"/>
      <c r="CF243" s="2"/>
    </row>
    <row r="244" spans="1:84" ht="12.65" customHeight="1" x14ac:dyDescent="0.35">
      <c r="A244" s="295"/>
      <c r="B244" s="295"/>
      <c r="C244" s="303"/>
      <c r="D244" s="295"/>
      <c r="E244" s="295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2"/>
      <c r="AT244" s="2"/>
      <c r="AU244" s="2"/>
      <c r="AV244" s="2"/>
      <c r="AW244" s="2"/>
      <c r="AX244" s="2"/>
      <c r="AY244" s="2"/>
      <c r="AZ244" s="2"/>
      <c r="BA244" s="2"/>
      <c r="BB244" s="2"/>
      <c r="BC244" s="2"/>
      <c r="BD244" s="2"/>
      <c r="BE244" s="2"/>
      <c r="BF244" s="2"/>
      <c r="BG244" s="2"/>
      <c r="BH244" s="2"/>
      <c r="BI244" s="2"/>
      <c r="BJ244" s="2"/>
      <c r="BK244" s="2"/>
      <c r="BL244" s="2"/>
      <c r="BM244" s="2"/>
      <c r="BN244" s="2"/>
      <c r="BO244" s="2"/>
      <c r="BP244" s="2"/>
      <c r="BQ244" s="2"/>
      <c r="BR244" s="2"/>
      <c r="BS244" s="2"/>
      <c r="BT244" s="2"/>
      <c r="BU244" s="2"/>
      <c r="BV244" s="2"/>
      <c r="BW244" s="2"/>
      <c r="BX244" s="2"/>
      <c r="BY244" s="2"/>
      <c r="BZ244" s="2"/>
      <c r="CA244" s="2"/>
      <c r="CB244" s="2"/>
      <c r="CC244" s="2"/>
      <c r="CD244" s="2"/>
      <c r="CE244" s="2"/>
      <c r="CF244" s="2"/>
    </row>
    <row r="245" spans="1:84" ht="12.65" customHeight="1" x14ac:dyDescent="0.35">
      <c r="A245" s="295"/>
      <c r="B245" s="295"/>
      <c r="C245" s="303"/>
      <c r="D245" s="295"/>
      <c r="E245" s="295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2"/>
      <c r="AT245" s="2"/>
      <c r="AU245" s="2"/>
      <c r="AV245" s="2"/>
      <c r="AW245" s="2"/>
      <c r="AX245" s="2"/>
      <c r="AY245" s="2"/>
      <c r="AZ245" s="2"/>
      <c r="BA245" s="2"/>
      <c r="BB245" s="2"/>
      <c r="BC245" s="2"/>
      <c r="BD245" s="2"/>
      <c r="BE245" s="2"/>
      <c r="BF245" s="2"/>
      <c r="BG245" s="2"/>
      <c r="BH245" s="2"/>
      <c r="BI245" s="2"/>
      <c r="BJ245" s="2"/>
      <c r="BK245" s="2"/>
      <c r="BL245" s="2"/>
      <c r="BM245" s="2"/>
      <c r="BN245" s="2"/>
      <c r="BO245" s="2"/>
      <c r="BP245" s="2"/>
      <c r="BQ245" s="2"/>
      <c r="BR245" s="2"/>
      <c r="BS245" s="2"/>
      <c r="BT245" s="2"/>
      <c r="BU245" s="2"/>
      <c r="BV245" s="2"/>
      <c r="BW245" s="2"/>
      <c r="BX245" s="2"/>
      <c r="BY245" s="2"/>
      <c r="BZ245" s="2"/>
      <c r="CA245" s="2"/>
      <c r="CB245" s="2"/>
      <c r="CC245" s="2"/>
      <c r="CD245" s="2"/>
      <c r="CE245" s="2"/>
      <c r="CF245" s="2"/>
    </row>
    <row r="246" spans="1:84" ht="21.75" customHeight="1" x14ac:dyDescent="0.35">
      <c r="A246" s="295"/>
      <c r="B246" s="295"/>
      <c r="C246" s="303"/>
      <c r="D246" s="295"/>
      <c r="E246" s="295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2"/>
      <c r="AT246" s="2"/>
      <c r="AU246" s="2"/>
      <c r="AV246" s="2"/>
      <c r="AW246" s="2"/>
      <c r="AX246" s="2"/>
      <c r="AY246" s="2"/>
      <c r="AZ246" s="2"/>
      <c r="BA246" s="2"/>
      <c r="BB246" s="2"/>
      <c r="BC246" s="2"/>
      <c r="BD246" s="2"/>
      <c r="BE246" s="2"/>
      <c r="BF246" s="2"/>
      <c r="BG246" s="2"/>
      <c r="BH246" s="2"/>
      <c r="BI246" s="2"/>
      <c r="BJ246" s="2"/>
      <c r="BK246" s="2"/>
      <c r="BL246" s="2"/>
      <c r="BM246" s="2"/>
      <c r="BN246" s="2"/>
      <c r="BO246" s="2"/>
      <c r="BP246" s="2"/>
      <c r="BQ246" s="2"/>
      <c r="BR246" s="2"/>
      <c r="BS246" s="2"/>
      <c r="BT246" s="2"/>
      <c r="BU246" s="2"/>
      <c r="BV246" s="2"/>
      <c r="BW246" s="2"/>
      <c r="BX246" s="2"/>
      <c r="BY246" s="2"/>
      <c r="BZ246" s="2"/>
      <c r="CA246" s="2"/>
      <c r="CB246" s="2"/>
      <c r="CC246" s="2"/>
      <c r="CD246" s="2"/>
      <c r="CE246" s="2"/>
      <c r="CF246" s="2"/>
    </row>
    <row r="247" spans="1:84" ht="12.65" customHeight="1" x14ac:dyDescent="0.35">
      <c r="A247" s="295"/>
      <c r="B247" s="295"/>
      <c r="C247" s="303"/>
      <c r="D247" s="295"/>
      <c r="E247" s="295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2"/>
      <c r="AT247" s="2"/>
      <c r="AU247" s="2"/>
      <c r="AV247" s="2"/>
      <c r="AW247" s="2"/>
      <c r="AX247" s="2"/>
      <c r="AY247" s="2"/>
      <c r="AZ247" s="2"/>
      <c r="BA247" s="2"/>
      <c r="BB247" s="2"/>
      <c r="BC247" s="2"/>
      <c r="BD247" s="2"/>
      <c r="BE247" s="2"/>
      <c r="BF247" s="2"/>
      <c r="BG247" s="2"/>
      <c r="BH247" s="2"/>
      <c r="BI247" s="2"/>
      <c r="BJ247" s="2"/>
      <c r="BK247" s="2"/>
      <c r="BL247" s="2"/>
      <c r="BM247" s="2"/>
      <c r="BN247" s="2"/>
      <c r="BO247" s="2"/>
      <c r="BP247" s="2"/>
      <c r="BQ247" s="2"/>
      <c r="BR247" s="2"/>
      <c r="BS247" s="2"/>
      <c r="BT247" s="2"/>
      <c r="BU247" s="2"/>
      <c r="BV247" s="2"/>
      <c r="BW247" s="2"/>
      <c r="BX247" s="2"/>
      <c r="BY247" s="2"/>
      <c r="BZ247" s="2"/>
      <c r="CA247" s="2"/>
      <c r="CB247" s="2"/>
      <c r="CC247" s="2"/>
      <c r="CD247" s="2"/>
      <c r="CE247" s="2"/>
      <c r="CF247" s="2"/>
    </row>
    <row r="248" spans="1:84" ht="11.25" customHeight="1" x14ac:dyDescent="0.35">
      <c r="A248" s="312" t="s">
        <v>360</v>
      </c>
      <c r="B248" s="312"/>
      <c r="C248" s="312"/>
      <c r="D248" s="312"/>
      <c r="E248" s="31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2"/>
      <c r="AT248" s="2"/>
      <c r="AU248" s="2"/>
      <c r="AV248" s="2"/>
      <c r="AW248" s="2"/>
      <c r="AX248" s="2"/>
      <c r="AY248" s="2"/>
      <c r="AZ248" s="2"/>
      <c r="BA248" s="2"/>
      <c r="BB248" s="2"/>
      <c r="BC248" s="2"/>
      <c r="BD248" s="2"/>
      <c r="BE248" s="2"/>
      <c r="BF248" s="2"/>
      <c r="BG248" s="2"/>
      <c r="BH248" s="2"/>
      <c r="BI248" s="2"/>
      <c r="BJ248" s="2"/>
      <c r="BK248" s="2"/>
      <c r="BL248" s="2"/>
      <c r="BM248" s="2"/>
      <c r="BN248" s="2"/>
      <c r="BO248" s="2"/>
      <c r="BP248" s="2"/>
      <c r="BQ248" s="2"/>
      <c r="BR248" s="2"/>
      <c r="BS248" s="2"/>
      <c r="BT248" s="2"/>
      <c r="BU248" s="2"/>
      <c r="BV248" s="2"/>
      <c r="BW248" s="2"/>
      <c r="BX248" s="2"/>
      <c r="BY248" s="2"/>
      <c r="BZ248" s="2"/>
      <c r="CA248" s="2"/>
      <c r="CB248" s="2"/>
      <c r="CC248" s="2"/>
      <c r="CD248" s="2"/>
      <c r="CE248" s="2"/>
      <c r="CF248" s="2"/>
    </row>
    <row r="249" spans="1:84" ht="12.65" customHeight="1" x14ac:dyDescent="0.35">
      <c r="A249" s="317" t="s">
        <v>361</v>
      </c>
      <c r="B249" s="317"/>
      <c r="C249" s="317"/>
      <c r="D249" s="317"/>
      <c r="E249" s="317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2"/>
      <c r="AT249" s="2"/>
      <c r="AU249" s="2"/>
      <c r="AV249" s="2"/>
      <c r="AW249" s="2"/>
      <c r="AX249" s="2"/>
      <c r="AY249" s="2"/>
      <c r="AZ249" s="2"/>
      <c r="BA249" s="2"/>
      <c r="BB249" s="2"/>
      <c r="BC249" s="2"/>
      <c r="BD249" s="2"/>
      <c r="BE249" s="2"/>
      <c r="BF249" s="2"/>
      <c r="BG249" s="2"/>
      <c r="BH249" s="2"/>
      <c r="BI249" s="2"/>
      <c r="BJ249" s="2"/>
      <c r="BK249" s="2"/>
      <c r="BL249" s="2"/>
      <c r="BM249" s="2"/>
      <c r="BN249" s="2"/>
      <c r="BO249" s="2"/>
      <c r="BP249" s="2"/>
      <c r="BQ249" s="2"/>
      <c r="BR249" s="2"/>
      <c r="BS249" s="2"/>
      <c r="BT249" s="2"/>
      <c r="BU249" s="2"/>
      <c r="BV249" s="2"/>
      <c r="BW249" s="2"/>
      <c r="BX249" s="2"/>
      <c r="BY249" s="2"/>
      <c r="BZ249" s="2"/>
      <c r="CA249" s="2"/>
      <c r="CB249" s="2"/>
      <c r="CC249" s="2"/>
      <c r="CD249" s="2"/>
      <c r="CE249" s="2"/>
      <c r="CF249" s="2"/>
    </row>
    <row r="250" spans="1:84" ht="12.65" customHeight="1" x14ac:dyDescent="0.35">
      <c r="A250" s="295" t="s">
        <v>362</v>
      </c>
      <c r="B250" s="313" t="s">
        <v>256</v>
      </c>
      <c r="C250" s="189">
        <v>83951383</v>
      </c>
      <c r="D250" s="295"/>
      <c r="E250" s="295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2"/>
      <c r="AT250" s="2"/>
      <c r="AU250" s="2"/>
      <c r="AV250" s="2"/>
      <c r="AW250" s="2"/>
      <c r="AX250" s="2"/>
      <c r="AY250" s="2"/>
      <c r="AZ250" s="2"/>
      <c r="BA250" s="2"/>
      <c r="BB250" s="2"/>
      <c r="BC250" s="2"/>
      <c r="BD250" s="2"/>
      <c r="BE250" s="2"/>
      <c r="BF250" s="2"/>
      <c r="BG250" s="2"/>
      <c r="BH250" s="2"/>
      <c r="BI250" s="2"/>
      <c r="BJ250" s="2"/>
      <c r="BK250" s="2"/>
      <c r="BL250" s="2"/>
      <c r="BM250" s="2"/>
      <c r="BN250" s="2"/>
      <c r="BO250" s="2"/>
      <c r="BP250" s="2"/>
      <c r="BQ250" s="2"/>
      <c r="BR250" s="2"/>
      <c r="BS250" s="2"/>
      <c r="BT250" s="2"/>
      <c r="BU250" s="2"/>
      <c r="BV250" s="2"/>
      <c r="BW250" s="2"/>
      <c r="BX250" s="2"/>
      <c r="BY250" s="2"/>
      <c r="BZ250" s="2"/>
      <c r="CA250" s="2"/>
      <c r="CB250" s="2"/>
      <c r="CC250" s="2"/>
      <c r="CD250" s="2"/>
      <c r="CE250" s="2"/>
      <c r="CF250" s="2"/>
    </row>
    <row r="251" spans="1:84" ht="12.65" customHeight="1" x14ac:dyDescent="0.35">
      <c r="A251" s="295" t="s">
        <v>363</v>
      </c>
      <c r="B251" s="313" t="s">
        <v>256</v>
      </c>
      <c r="C251" s="189"/>
      <c r="D251" s="295"/>
      <c r="E251" s="295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2"/>
      <c r="AT251" s="2"/>
      <c r="AU251" s="2"/>
      <c r="AV251" s="2"/>
      <c r="AW251" s="2"/>
      <c r="AX251" s="2"/>
      <c r="AY251" s="2"/>
      <c r="AZ251" s="2"/>
      <c r="BA251" s="2"/>
      <c r="BB251" s="2"/>
      <c r="BC251" s="2"/>
      <c r="BD251" s="2"/>
      <c r="BE251" s="2"/>
      <c r="BF251" s="2"/>
      <c r="BG251" s="2"/>
      <c r="BH251" s="2"/>
      <c r="BI251" s="2"/>
      <c r="BJ251" s="2"/>
      <c r="BK251" s="2"/>
      <c r="BL251" s="2"/>
      <c r="BM251" s="2"/>
      <c r="BN251" s="2"/>
      <c r="BO251" s="2"/>
      <c r="BP251" s="2"/>
      <c r="BQ251" s="2"/>
      <c r="BR251" s="2"/>
      <c r="BS251" s="2"/>
      <c r="BT251" s="2"/>
      <c r="BU251" s="2"/>
      <c r="BV251" s="2"/>
      <c r="BW251" s="2"/>
      <c r="BX251" s="2"/>
      <c r="BY251" s="2"/>
      <c r="BZ251" s="2"/>
      <c r="CA251" s="2"/>
      <c r="CB251" s="2"/>
      <c r="CC251" s="2"/>
      <c r="CD251" s="2"/>
      <c r="CE251" s="2"/>
      <c r="CF251" s="2"/>
    </row>
    <row r="252" spans="1:84" ht="12.65" customHeight="1" x14ac:dyDescent="0.35">
      <c r="A252" s="295" t="s">
        <v>364</v>
      </c>
      <c r="B252" s="313" t="s">
        <v>256</v>
      </c>
      <c r="C252" s="189">
        <v>272895317</v>
      </c>
      <c r="D252" s="295"/>
      <c r="E252" s="295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  <c r="AQ252" s="2"/>
      <c r="AR252" s="2"/>
      <c r="AS252" s="2"/>
      <c r="AT252" s="2"/>
      <c r="AU252" s="2"/>
      <c r="AV252" s="2"/>
      <c r="AW252" s="2"/>
      <c r="AX252" s="2"/>
      <c r="AY252" s="2"/>
      <c r="AZ252" s="2"/>
      <c r="BA252" s="2"/>
      <c r="BB252" s="2"/>
      <c r="BC252" s="2"/>
      <c r="BD252" s="2"/>
      <c r="BE252" s="2"/>
      <c r="BF252" s="2"/>
      <c r="BG252" s="2"/>
      <c r="BH252" s="2"/>
      <c r="BI252" s="2"/>
      <c r="BJ252" s="2"/>
      <c r="BK252" s="2"/>
      <c r="BL252" s="2"/>
      <c r="BM252" s="2"/>
      <c r="BN252" s="2"/>
      <c r="BO252" s="2"/>
      <c r="BP252" s="2"/>
      <c r="BQ252" s="2"/>
      <c r="BR252" s="2"/>
      <c r="BS252" s="2"/>
      <c r="BT252" s="2"/>
      <c r="BU252" s="2"/>
      <c r="BV252" s="2"/>
      <c r="BW252" s="2"/>
      <c r="BX252" s="2"/>
      <c r="BY252" s="2"/>
      <c r="BZ252" s="2"/>
      <c r="CA252" s="2"/>
      <c r="CB252" s="2"/>
      <c r="CC252" s="2"/>
      <c r="CD252" s="2"/>
      <c r="CE252" s="2"/>
      <c r="CF252" s="2"/>
    </row>
    <row r="253" spans="1:84" ht="12.65" customHeight="1" x14ac:dyDescent="0.35">
      <c r="A253" s="295" t="s">
        <v>365</v>
      </c>
      <c r="B253" s="313" t="s">
        <v>256</v>
      </c>
      <c r="C253" s="189">
        <v>186599621</v>
      </c>
      <c r="D253" s="295"/>
      <c r="E253" s="295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  <c r="AQ253" s="2"/>
      <c r="AR253" s="2"/>
      <c r="AS253" s="2"/>
      <c r="AT253" s="2"/>
      <c r="AU253" s="2"/>
      <c r="AV253" s="2"/>
      <c r="AW253" s="2"/>
      <c r="AX253" s="2"/>
      <c r="AY253" s="2"/>
      <c r="AZ253" s="2"/>
      <c r="BA253" s="2"/>
      <c r="BB253" s="2"/>
      <c r="BC253" s="2"/>
      <c r="BD253" s="2"/>
      <c r="BE253" s="2"/>
      <c r="BF253" s="2"/>
      <c r="BG253" s="2"/>
      <c r="BH253" s="2"/>
      <c r="BI253" s="2"/>
      <c r="BJ253" s="2"/>
      <c r="BK253" s="2"/>
      <c r="BL253" s="2"/>
      <c r="BM253" s="2"/>
      <c r="BN253" s="2"/>
      <c r="BO253" s="2"/>
      <c r="BP253" s="2"/>
      <c r="BQ253" s="2"/>
      <c r="BR253" s="2"/>
      <c r="BS253" s="2"/>
      <c r="BT253" s="2"/>
      <c r="BU253" s="2"/>
      <c r="BV253" s="2"/>
      <c r="BW253" s="2"/>
      <c r="BX253" s="2"/>
      <c r="BY253" s="2"/>
      <c r="BZ253" s="2"/>
      <c r="CA253" s="2"/>
      <c r="CB253" s="2"/>
      <c r="CC253" s="2"/>
      <c r="CD253" s="2"/>
      <c r="CE253" s="2"/>
      <c r="CF253" s="2"/>
    </row>
    <row r="254" spans="1:84" ht="12.65" customHeight="1" x14ac:dyDescent="0.35">
      <c r="A254" s="295" t="s">
        <v>1240</v>
      </c>
      <c r="B254" s="313" t="s">
        <v>256</v>
      </c>
      <c r="C254" s="189">
        <v>2942452</v>
      </c>
      <c r="D254" s="295"/>
      <c r="E254" s="295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2"/>
      <c r="AT254" s="2"/>
      <c r="AU254" s="2"/>
      <c r="AV254" s="2"/>
      <c r="AW254" s="2"/>
      <c r="AX254" s="2"/>
      <c r="AY254" s="2"/>
      <c r="AZ254" s="2"/>
      <c r="BA254" s="2"/>
      <c r="BB254" s="2"/>
      <c r="BC254" s="2"/>
      <c r="BD254" s="2"/>
      <c r="BE254" s="2"/>
      <c r="BF254" s="2"/>
      <c r="BG254" s="2"/>
      <c r="BH254" s="2"/>
      <c r="BI254" s="2"/>
      <c r="BJ254" s="2"/>
      <c r="BK254" s="2"/>
      <c r="BL254" s="2"/>
      <c r="BM254" s="2"/>
      <c r="BN254" s="2"/>
      <c r="BO254" s="2"/>
      <c r="BP254" s="2"/>
      <c r="BQ254" s="2"/>
      <c r="BR254" s="2"/>
      <c r="BS254" s="2"/>
      <c r="BT254" s="2"/>
      <c r="BU254" s="2"/>
      <c r="BV254" s="2"/>
      <c r="BW254" s="2"/>
      <c r="BX254" s="2"/>
      <c r="BY254" s="2"/>
      <c r="BZ254" s="2"/>
      <c r="CA254" s="2"/>
      <c r="CB254" s="2"/>
      <c r="CC254" s="2"/>
      <c r="CD254" s="2"/>
      <c r="CE254" s="2"/>
      <c r="CF254" s="2"/>
    </row>
    <row r="255" spans="1:84" ht="12.65" customHeight="1" x14ac:dyDescent="0.35">
      <c r="A255" s="295" t="s">
        <v>366</v>
      </c>
      <c r="B255" s="313" t="s">
        <v>256</v>
      </c>
      <c r="C255" s="189">
        <v>13937032</v>
      </c>
      <c r="D255" s="295"/>
      <c r="E255" s="295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2"/>
      <c r="AT255" s="2"/>
      <c r="AU255" s="2"/>
      <c r="AV255" s="2"/>
      <c r="AW255" s="2"/>
      <c r="AX255" s="2"/>
      <c r="AY255" s="2"/>
      <c r="AZ255" s="2"/>
      <c r="BA255" s="2"/>
      <c r="BB255" s="2"/>
      <c r="BC255" s="2"/>
      <c r="BD255" s="2"/>
      <c r="BE255" s="2"/>
      <c r="BF255" s="2"/>
      <c r="BG255" s="2"/>
      <c r="BH255" s="2"/>
      <c r="BI255" s="2"/>
      <c r="BJ255" s="2"/>
      <c r="BK255" s="2"/>
      <c r="BL255" s="2"/>
      <c r="BM255" s="2"/>
      <c r="BN255" s="2"/>
      <c r="BO255" s="2"/>
      <c r="BP255" s="2"/>
      <c r="BQ255" s="2"/>
      <c r="BR255" s="2"/>
      <c r="BS255" s="2"/>
      <c r="BT255" s="2"/>
      <c r="BU255" s="2"/>
      <c r="BV255" s="2"/>
      <c r="BW255" s="2"/>
      <c r="BX255" s="2"/>
      <c r="BY255" s="2"/>
      <c r="BZ255" s="2"/>
      <c r="CA255" s="2"/>
      <c r="CB255" s="2"/>
      <c r="CC255" s="2"/>
      <c r="CD255" s="2"/>
      <c r="CE255" s="2"/>
      <c r="CF255" s="2"/>
    </row>
    <row r="256" spans="1:84" ht="12.65" customHeight="1" x14ac:dyDescent="0.35">
      <c r="A256" s="295" t="s">
        <v>367</v>
      </c>
      <c r="B256" s="313" t="s">
        <v>256</v>
      </c>
      <c r="C256" s="189">
        <v>1542955</v>
      </c>
      <c r="D256" s="295"/>
      <c r="E256" s="295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2"/>
      <c r="AT256" s="2"/>
      <c r="AU256" s="2"/>
      <c r="AV256" s="2"/>
      <c r="AW256" s="2"/>
      <c r="AX256" s="2"/>
      <c r="AY256" s="2"/>
      <c r="AZ256" s="2"/>
      <c r="BA256" s="2"/>
      <c r="BB256" s="2"/>
      <c r="BC256" s="2"/>
      <c r="BD256" s="2"/>
      <c r="BE256" s="2"/>
      <c r="BF256" s="2"/>
      <c r="BG256" s="2"/>
      <c r="BH256" s="2"/>
      <c r="BI256" s="2"/>
      <c r="BJ256" s="2"/>
      <c r="BK256" s="2"/>
      <c r="BL256" s="2"/>
      <c r="BM256" s="2"/>
      <c r="BN256" s="2"/>
      <c r="BO256" s="2"/>
      <c r="BP256" s="2"/>
      <c r="BQ256" s="2"/>
      <c r="BR256" s="2"/>
      <c r="BS256" s="2"/>
      <c r="BT256" s="2"/>
      <c r="BU256" s="2"/>
      <c r="BV256" s="2"/>
      <c r="BW256" s="2"/>
      <c r="BX256" s="2"/>
      <c r="BY256" s="2"/>
      <c r="BZ256" s="2"/>
      <c r="CA256" s="2"/>
      <c r="CB256" s="2"/>
      <c r="CC256" s="2"/>
      <c r="CD256" s="2"/>
      <c r="CE256" s="2"/>
      <c r="CF256" s="2"/>
    </row>
    <row r="257" spans="1:84" ht="12.65" customHeight="1" x14ac:dyDescent="0.35">
      <c r="A257" s="295" t="s">
        <v>368</v>
      </c>
      <c r="B257" s="313" t="s">
        <v>256</v>
      </c>
      <c r="C257" s="189">
        <v>8920617</v>
      </c>
      <c r="D257" s="295"/>
      <c r="E257" s="295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2"/>
      <c r="AT257" s="2"/>
      <c r="AU257" s="2"/>
      <c r="AV257" s="2"/>
      <c r="AW257" s="2"/>
      <c r="AX257" s="2"/>
      <c r="AY257" s="2"/>
      <c r="AZ257" s="2"/>
      <c r="BA257" s="2"/>
      <c r="BB257" s="2"/>
      <c r="BC257" s="2"/>
      <c r="BD257" s="2"/>
      <c r="BE257" s="2"/>
      <c r="BF257" s="2"/>
      <c r="BG257" s="2"/>
      <c r="BH257" s="2"/>
      <c r="BI257" s="2"/>
      <c r="BJ257" s="2"/>
      <c r="BK257" s="2"/>
      <c r="BL257" s="2"/>
      <c r="BM257" s="2"/>
      <c r="BN257" s="2"/>
      <c r="BO257" s="2"/>
      <c r="BP257" s="2"/>
      <c r="BQ257" s="2"/>
      <c r="BR257" s="2"/>
      <c r="BS257" s="2"/>
      <c r="BT257" s="2"/>
      <c r="BU257" s="2"/>
      <c r="BV257" s="2"/>
      <c r="BW257" s="2"/>
      <c r="BX257" s="2"/>
      <c r="BY257" s="2"/>
      <c r="BZ257" s="2"/>
      <c r="CA257" s="2"/>
      <c r="CB257" s="2"/>
      <c r="CC257" s="2"/>
      <c r="CD257" s="2"/>
      <c r="CE257" s="2"/>
      <c r="CF257" s="2"/>
    </row>
    <row r="258" spans="1:84" ht="12.65" customHeight="1" x14ac:dyDescent="0.35">
      <c r="A258" s="295" t="s">
        <v>369</v>
      </c>
      <c r="B258" s="313" t="s">
        <v>256</v>
      </c>
      <c r="C258" s="189">
        <v>10256205</v>
      </c>
      <c r="D258" s="295"/>
      <c r="E258" s="295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2"/>
      <c r="AT258" s="2"/>
      <c r="AU258" s="2"/>
      <c r="AV258" s="2"/>
      <c r="AW258" s="2"/>
      <c r="AX258" s="2"/>
      <c r="AY258" s="2"/>
      <c r="AZ258" s="2"/>
      <c r="BA258" s="2"/>
      <c r="BB258" s="2"/>
      <c r="BC258" s="2"/>
      <c r="BD258" s="2"/>
      <c r="BE258" s="2"/>
      <c r="BF258" s="2"/>
      <c r="BG258" s="2"/>
      <c r="BH258" s="2"/>
      <c r="BI258" s="2"/>
      <c r="BJ258" s="2"/>
      <c r="BK258" s="2"/>
      <c r="BL258" s="2"/>
      <c r="BM258" s="2"/>
      <c r="BN258" s="2"/>
      <c r="BO258" s="2"/>
      <c r="BP258" s="2"/>
      <c r="BQ258" s="2"/>
      <c r="BR258" s="2"/>
      <c r="BS258" s="2"/>
      <c r="BT258" s="2"/>
      <c r="BU258" s="2"/>
      <c r="BV258" s="2"/>
      <c r="BW258" s="2"/>
      <c r="BX258" s="2"/>
      <c r="BY258" s="2"/>
      <c r="BZ258" s="2"/>
      <c r="CA258" s="2"/>
      <c r="CB258" s="2"/>
      <c r="CC258" s="2"/>
      <c r="CD258" s="2"/>
      <c r="CE258" s="2"/>
      <c r="CF258" s="2"/>
    </row>
    <row r="259" spans="1:84" ht="12.65" customHeight="1" x14ac:dyDescent="0.35">
      <c r="A259" s="295" t="s">
        <v>370</v>
      </c>
      <c r="B259" s="313" t="s">
        <v>256</v>
      </c>
      <c r="C259" s="189"/>
      <c r="D259" s="295"/>
      <c r="E259" s="295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  <c r="AS259" s="2"/>
      <c r="AT259" s="2"/>
      <c r="AU259" s="2"/>
      <c r="AV259" s="2"/>
      <c r="AW259" s="2"/>
      <c r="AX259" s="2"/>
      <c r="AY259" s="2"/>
      <c r="AZ259" s="2"/>
      <c r="BA259" s="2"/>
      <c r="BB259" s="2"/>
      <c r="BC259" s="2"/>
      <c r="BD259" s="2"/>
      <c r="BE259" s="2"/>
      <c r="BF259" s="2"/>
      <c r="BG259" s="2"/>
      <c r="BH259" s="2"/>
      <c r="BI259" s="2"/>
      <c r="BJ259" s="2"/>
      <c r="BK259" s="2"/>
      <c r="BL259" s="2"/>
      <c r="BM259" s="2"/>
      <c r="BN259" s="2"/>
      <c r="BO259" s="2"/>
      <c r="BP259" s="2"/>
      <c r="BQ259" s="2"/>
      <c r="BR259" s="2"/>
      <c r="BS259" s="2"/>
      <c r="BT259" s="2"/>
      <c r="BU259" s="2"/>
      <c r="BV259" s="2"/>
      <c r="BW259" s="2"/>
      <c r="BX259" s="2"/>
      <c r="BY259" s="2"/>
      <c r="BZ259" s="2"/>
      <c r="CA259" s="2"/>
      <c r="CB259" s="2"/>
      <c r="CC259" s="2"/>
      <c r="CD259" s="2"/>
      <c r="CE259" s="2"/>
      <c r="CF259" s="2"/>
    </row>
    <row r="260" spans="1:84" ht="11.25" customHeight="1" x14ac:dyDescent="0.35">
      <c r="A260" s="295" t="s">
        <v>371</v>
      </c>
      <c r="B260" s="295"/>
      <c r="C260" s="303"/>
      <c r="D260" s="295">
        <f>SUM(C250:C252)-C253+SUM(C254:C259)</f>
        <v>207846340</v>
      </c>
      <c r="E260" s="295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2"/>
      <c r="AT260" s="2"/>
      <c r="AU260" s="2"/>
      <c r="AV260" s="2"/>
      <c r="AW260" s="2"/>
      <c r="AX260" s="2"/>
      <c r="AY260" s="2"/>
      <c r="AZ260" s="2"/>
      <c r="BA260" s="2"/>
      <c r="BB260" s="2"/>
      <c r="BC260" s="2"/>
      <c r="BD260" s="2"/>
      <c r="BE260" s="2"/>
      <c r="BF260" s="2"/>
      <c r="BG260" s="2"/>
      <c r="BH260" s="2"/>
      <c r="BI260" s="2"/>
      <c r="BJ260" s="2"/>
      <c r="BK260" s="2"/>
      <c r="BL260" s="2"/>
      <c r="BM260" s="2"/>
      <c r="BN260" s="2"/>
      <c r="BO260" s="2"/>
      <c r="BP260" s="2"/>
      <c r="BQ260" s="2"/>
      <c r="BR260" s="2"/>
      <c r="BS260" s="2"/>
      <c r="BT260" s="2"/>
      <c r="BU260" s="2"/>
      <c r="BV260" s="2"/>
      <c r="BW260" s="2"/>
      <c r="BX260" s="2"/>
      <c r="BY260" s="2"/>
      <c r="BZ260" s="2"/>
      <c r="CA260" s="2"/>
      <c r="CB260" s="2"/>
      <c r="CC260" s="2"/>
      <c r="CD260" s="2"/>
      <c r="CE260" s="2"/>
      <c r="CF260" s="2"/>
    </row>
    <row r="261" spans="1:84" ht="12.65" customHeight="1" x14ac:dyDescent="0.35">
      <c r="A261" s="317" t="s">
        <v>372</v>
      </c>
      <c r="B261" s="317"/>
      <c r="C261" s="317"/>
      <c r="D261" s="317"/>
      <c r="E261" s="317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  <c r="AS261" s="2"/>
      <c r="AT261" s="2"/>
      <c r="AU261" s="2"/>
      <c r="AV261" s="2"/>
      <c r="AW261" s="2"/>
      <c r="AX261" s="2"/>
      <c r="AY261" s="2"/>
      <c r="AZ261" s="2"/>
      <c r="BA261" s="2"/>
      <c r="BB261" s="2"/>
      <c r="BC261" s="2"/>
      <c r="BD261" s="2"/>
      <c r="BE261" s="2"/>
      <c r="BF261" s="2"/>
      <c r="BG261" s="2"/>
      <c r="BH261" s="2"/>
      <c r="BI261" s="2"/>
      <c r="BJ261" s="2"/>
      <c r="BK261" s="2"/>
      <c r="BL261" s="2"/>
      <c r="BM261" s="2"/>
      <c r="BN261" s="2"/>
      <c r="BO261" s="2"/>
      <c r="BP261" s="2"/>
      <c r="BQ261" s="2"/>
      <c r="BR261" s="2"/>
      <c r="BS261" s="2"/>
      <c r="BT261" s="2"/>
      <c r="BU261" s="2"/>
      <c r="BV261" s="2"/>
      <c r="BW261" s="2"/>
      <c r="BX261" s="2"/>
      <c r="BY261" s="2"/>
      <c r="BZ261" s="2"/>
      <c r="CA261" s="2"/>
      <c r="CB261" s="2"/>
      <c r="CC261" s="2"/>
      <c r="CD261" s="2"/>
      <c r="CE261" s="2"/>
      <c r="CF261" s="2"/>
    </row>
    <row r="262" spans="1:84" ht="12.65" customHeight="1" x14ac:dyDescent="0.35">
      <c r="A262" s="295" t="s">
        <v>362</v>
      </c>
      <c r="B262" s="313" t="s">
        <v>256</v>
      </c>
      <c r="C262" s="189">
        <v>307368753</v>
      </c>
      <c r="D262" s="295"/>
      <c r="E262" s="295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  <c r="AS262" s="2"/>
      <c r="AT262" s="2"/>
      <c r="AU262" s="2"/>
      <c r="AV262" s="2"/>
      <c r="AW262" s="2"/>
      <c r="AX262" s="2"/>
      <c r="AY262" s="2"/>
      <c r="AZ262" s="2"/>
      <c r="BA262" s="2"/>
      <c r="BB262" s="2"/>
      <c r="BC262" s="2"/>
      <c r="BD262" s="2"/>
      <c r="BE262" s="2"/>
      <c r="BF262" s="2"/>
      <c r="BG262" s="2"/>
      <c r="BH262" s="2"/>
      <c r="BI262" s="2"/>
      <c r="BJ262" s="2"/>
      <c r="BK262" s="2"/>
      <c r="BL262" s="2"/>
      <c r="BM262" s="2"/>
      <c r="BN262" s="2"/>
      <c r="BO262" s="2"/>
      <c r="BP262" s="2"/>
      <c r="BQ262" s="2"/>
      <c r="BR262" s="2"/>
      <c r="BS262" s="2"/>
      <c r="BT262" s="2"/>
      <c r="BU262" s="2"/>
      <c r="BV262" s="2"/>
      <c r="BW262" s="2"/>
      <c r="BX262" s="2"/>
      <c r="BY262" s="2"/>
      <c r="BZ262" s="2"/>
      <c r="CA262" s="2"/>
      <c r="CB262" s="2"/>
      <c r="CC262" s="2"/>
      <c r="CD262" s="2"/>
      <c r="CE262" s="2"/>
      <c r="CF262" s="2"/>
    </row>
    <row r="263" spans="1:84" ht="12.65" customHeight="1" x14ac:dyDescent="0.35">
      <c r="A263" s="295" t="s">
        <v>363</v>
      </c>
      <c r="B263" s="313" t="s">
        <v>256</v>
      </c>
      <c r="C263" s="189">
        <v>0</v>
      </c>
      <c r="D263" s="295"/>
      <c r="E263" s="295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2"/>
      <c r="AT263" s="2"/>
      <c r="AU263" s="2"/>
      <c r="AV263" s="2"/>
      <c r="AW263" s="2"/>
      <c r="AX263" s="2"/>
      <c r="AY263" s="2"/>
      <c r="AZ263" s="2"/>
      <c r="BA263" s="2"/>
      <c r="BB263" s="2"/>
      <c r="BC263" s="2"/>
      <c r="BD263" s="2"/>
      <c r="BE263" s="2"/>
      <c r="BF263" s="2"/>
      <c r="BG263" s="2"/>
      <c r="BH263" s="2"/>
      <c r="BI263" s="2"/>
      <c r="BJ263" s="2"/>
      <c r="BK263" s="2"/>
      <c r="BL263" s="2"/>
      <c r="BM263" s="2"/>
      <c r="BN263" s="2"/>
      <c r="BO263" s="2"/>
      <c r="BP263" s="2"/>
      <c r="BQ263" s="2"/>
      <c r="BR263" s="2"/>
      <c r="BS263" s="2"/>
      <c r="BT263" s="2"/>
      <c r="BU263" s="2"/>
      <c r="BV263" s="2"/>
      <c r="BW263" s="2"/>
      <c r="BX263" s="2"/>
      <c r="BY263" s="2"/>
      <c r="BZ263" s="2"/>
      <c r="CA263" s="2"/>
      <c r="CB263" s="2"/>
      <c r="CC263" s="2"/>
      <c r="CD263" s="2"/>
      <c r="CE263" s="2"/>
      <c r="CF263" s="2"/>
    </row>
    <row r="264" spans="1:84" ht="12.65" customHeight="1" x14ac:dyDescent="0.35">
      <c r="A264" s="295" t="s">
        <v>373</v>
      </c>
      <c r="B264" s="313" t="s">
        <v>256</v>
      </c>
      <c r="C264" s="189">
        <v>0</v>
      </c>
      <c r="D264" s="295"/>
      <c r="E264" s="295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2"/>
      <c r="AT264" s="2"/>
      <c r="AU264" s="2"/>
      <c r="AV264" s="2"/>
      <c r="AW264" s="2"/>
      <c r="AX264" s="2"/>
      <c r="AY264" s="2"/>
      <c r="AZ264" s="2"/>
      <c r="BA264" s="2"/>
      <c r="BB264" s="2"/>
      <c r="BC264" s="2"/>
      <c r="BD264" s="2"/>
      <c r="BE264" s="2"/>
      <c r="BF264" s="2"/>
      <c r="BG264" s="2"/>
      <c r="BH264" s="2"/>
      <c r="BI264" s="2"/>
      <c r="BJ264" s="2"/>
      <c r="BK264" s="2"/>
      <c r="BL264" s="2"/>
      <c r="BM264" s="2"/>
      <c r="BN264" s="2"/>
      <c r="BO264" s="2"/>
      <c r="BP264" s="2"/>
      <c r="BQ264" s="2"/>
      <c r="BR264" s="2"/>
      <c r="BS264" s="2"/>
      <c r="BT264" s="2"/>
      <c r="BU264" s="2"/>
      <c r="BV264" s="2"/>
      <c r="BW264" s="2"/>
      <c r="BX264" s="2"/>
      <c r="BY264" s="2"/>
      <c r="BZ264" s="2"/>
      <c r="CA264" s="2"/>
      <c r="CB264" s="2"/>
      <c r="CC264" s="2"/>
      <c r="CD264" s="2"/>
      <c r="CE264" s="2"/>
      <c r="CF264" s="2"/>
    </row>
    <row r="265" spans="1:84" ht="11.25" customHeight="1" x14ac:dyDescent="0.35">
      <c r="A265" s="295" t="s">
        <v>374</v>
      </c>
      <c r="B265" s="295"/>
      <c r="C265" s="303"/>
      <c r="D265" s="295">
        <f>SUM(C262:C264)</f>
        <v>307368753</v>
      </c>
      <c r="E265" s="295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2"/>
      <c r="AT265" s="2"/>
      <c r="AU265" s="2"/>
      <c r="AV265" s="2"/>
      <c r="AW265" s="2"/>
      <c r="AX265" s="2"/>
      <c r="AY265" s="2"/>
      <c r="AZ265" s="2"/>
      <c r="BA265" s="2"/>
      <c r="BB265" s="2"/>
      <c r="BC265" s="2"/>
      <c r="BD265" s="2"/>
      <c r="BE265" s="2"/>
      <c r="BF265" s="2"/>
      <c r="BG265" s="2"/>
      <c r="BH265" s="2"/>
      <c r="BI265" s="2"/>
      <c r="BJ265" s="2"/>
      <c r="BK265" s="2"/>
      <c r="BL265" s="2"/>
      <c r="BM265" s="2"/>
      <c r="BN265" s="2"/>
      <c r="BO265" s="2"/>
      <c r="BP265" s="2"/>
      <c r="BQ265" s="2"/>
      <c r="BR265" s="2"/>
      <c r="BS265" s="2"/>
      <c r="BT265" s="2"/>
      <c r="BU265" s="2"/>
      <c r="BV265" s="2"/>
      <c r="BW265" s="2"/>
      <c r="BX265" s="2"/>
      <c r="BY265" s="2"/>
      <c r="BZ265" s="2"/>
      <c r="CA265" s="2"/>
      <c r="CB265" s="2"/>
      <c r="CC265" s="2"/>
      <c r="CD265" s="2"/>
      <c r="CE265" s="2"/>
      <c r="CF265" s="2"/>
    </row>
    <row r="266" spans="1:84" ht="12.65" customHeight="1" x14ac:dyDescent="0.35">
      <c r="A266" s="317" t="s">
        <v>375</v>
      </c>
      <c r="B266" s="317"/>
      <c r="C266" s="317"/>
      <c r="D266" s="317"/>
      <c r="E266" s="317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  <c r="AQ266" s="2"/>
      <c r="AR266" s="2"/>
      <c r="AS266" s="2"/>
      <c r="AT266" s="2"/>
      <c r="AU266" s="2"/>
      <c r="AV266" s="2"/>
      <c r="AW266" s="2"/>
      <c r="AX266" s="2"/>
      <c r="AY266" s="2"/>
      <c r="AZ266" s="2"/>
      <c r="BA266" s="2"/>
      <c r="BB266" s="2"/>
      <c r="BC266" s="2"/>
      <c r="BD266" s="2"/>
      <c r="BE266" s="2"/>
      <c r="BF266" s="2"/>
      <c r="BG266" s="2"/>
      <c r="BH266" s="2"/>
      <c r="BI266" s="2"/>
      <c r="BJ266" s="2"/>
      <c r="BK266" s="2"/>
      <c r="BL266" s="2"/>
      <c r="BM266" s="2"/>
      <c r="BN266" s="2"/>
      <c r="BO266" s="2"/>
      <c r="BP266" s="2"/>
      <c r="BQ266" s="2"/>
      <c r="BR266" s="2"/>
      <c r="BS266" s="2"/>
      <c r="BT266" s="2"/>
      <c r="BU266" s="2"/>
      <c r="BV266" s="2"/>
      <c r="BW266" s="2"/>
      <c r="BX266" s="2"/>
      <c r="BY266" s="2"/>
      <c r="BZ266" s="2"/>
      <c r="CA266" s="2"/>
      <c r="CB266" s="2"/>
      <c r="CC266" s="2"/>
      <c r="CD266" s="2"/>
      <c r="CE266" s="2"/>
      <c r="CF266" s="2"/>
    </row>
    <row r="267" spans="1:84" ht="12.65" customHeight="1" x14ac:dyDescent="0.35">
      <c r="A267" s="295" t="s">
        <v>332</v>
      </c>
      <c r="B267" s="313" t="s">
        <v>256</v>
      </c>
      <c r="C267" s="189">
        <v>4913660</v>
      </c>
      <c r="D267" s="295"/>
      <c r="E267" s="295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  <c r="AS267" s="2"/>
      <c r="AT267" s="2"/>
      <c r="AU267" s="2"/>
      <c r="AV267" s="2"/>
      <c r="AW267" s="2"/>
      <c r="AX267" s="2"/>
      <c r="AY267" s="2"/>
      <c r="AZ267" s="2"/>
      <c r="BA267" s="2"/>
      <c r="BB267" s="2"/>
      <c r="BC267" s="2"/>
      <c r="BD267" s="2"/>
      <c r="BE267" s="2"/>
      <c r="BF267" s="2"/>
      <c r="BG267" s="2"/>
      <c r="BH267" s="2"/>
      <c r="BI267" s="2"/>
      <c r="BJ267" s="2"/>
      <c r="BK267" s="2"/>
      <c r="BL267" s="2"/>
      <c r="BM267" s="2"/>
      <c r="BN267" s="2"/>
      <c r="BO267" s="2"/>
      <c r="BP267" s="2"/>
      <c r="BQ267" s="2"/>
      <c r="BR267" s="2"/>
      <c r="BS267" s="2"/>
      <c r="BT267" s="2"/>
      <c r="BU267" s="2"/>
      <c r="BV267" s="2"/>
      <c r="BW267" s="2"/>
      <c r="BX267" s="2"/>
      <c r="BY267" s="2"/>
      <c r="BZ267" s="2"/>
      <c r="CA267" s="2"/>
      <c r="CB267" s="2"/>
      <c r="CC267" s="2"/>
      <c r="CD267" s="2"/>
      <c r="CE267" s="2"/>
      <c r="CF267" s="2"/>
    </row>
    <row r="268" spans="1:84" ht="12.65" customHeight="1" x14ac:dyDescent="0.35">
      <c r="A268" s="295" t="s">
        <v>333</v>
      </c>
      <c r="B268" s="313" t="s">
        <v>256</v>
      </c>
      <c r="C268" s="189">
        <v>13123911</v>
      </c>
      <c r="D268" s="295"/>
      <c r="E268" s="295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2"/>
      <c r="AT268" s="2"/>
      <c r="AU268" s="2"/>
      <c r="AV268" s="2"/>
      <c r="AW268" s="2"/>
      <c r="AX268" s="2"/>
      <c r="AY268" s="2"/>
      <c r="AZ268" s="2"/>
      <c r="BA268" s="2"/>
      <c r="BB268" s="2"/>
      <c r="BC268" s="2"/>
      <c r="BD268" s="2"/>
      <c r="BE268" s="2"/>
      <c r="BF268" s="2"/>
      <c r="BG268" s="2"/>
      <c r="BH268" s="2"/>
      <c r="BI268" s="2"/>
      <c r="BJ268" s="2"/>
      <c r="BK268" s="2"/>
      <c r="BL268" s="2"/>
      <c r="BM268" s="2"/>
      <c r="BN268" s="2"/>
      <c r="BO268" s="2"/>
      <c r="BP268" s="2"/>
      <c r="BQ268" s="2"/>
      <c r="BR268" s="2"/>
      <c r="BS268" s="2"/>
      <c r="BT268" s="2"/>
      <c r="BU268" s="2"/>
      <c r="BV268" s="2"/>
      <c r="BW268" s="2"/>
      <c r="BX268" s="2"/>
      <c r="BY268" s="2"/>
      <c r="BZ268" s="2"/>
      <c r="CA268" s="2"/>
      <c r="CB268" s="2"/>
      <c r="CC268" s="2"/>
      <c r="CD268" s="2"/>
      <c r="CE268" s="2"/>
      <c r="CF268" s="2"/>
    </row>
    <row r="269" spans="1:84" ht="12.65" customHeight="1" x14ac:dyDescent="0.35">
      <c r="A269" s="295" t="s">
        <v>334</v>
      </c>
      <c r="B269" s="313" t="s">
        <v>256</v>
      </c>
      <c r="C269" s="189">
        <v>340376358</v>
      </c>
      <c r="D269" s="295"/>
      <c r="E269" s="295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2"/>
      <c r="AT269" s="2"/>
      <c r="AU269" s="2"/>
      <c r="AV269" s="2"/>
      <c r="AW269" s="2"/>
      <c r="AX269" s="2"/>
      <c r="AY269" s="2"/>
      <c r="AZ269" s="2"/>
      <c r="BA269" s="2"/>
      <c r="BB269" s="2"/>
      <c r="BC269" s="2"/>
      <c r="BD269" s="2"/>
      <c r="BE269" s="2"/>
      <c r="BF269" s="2"/>
      <c r="BG269" s="2"/>
      <c r="BH269" s="2"/>
      <c r="BI269" s="2"/>
      <c r="BJ269" s="2"/>
      <c r="BK269" s="2"/>
      <c r="BL269" s="2"/>
      <c r="BM269" s="2"/>
      <c r="BN269" s="2"/>
      <c r="BO269" s="2"/>
      <c r="BP269" s="2"/>
      <c r="BQ269" s="2"/>
      <c r="BR269" s="2"/>
      <c r="BS269" s="2"/>
      <c r="BT269" s="2"/>
      <c r="BU269" s="2"/>
      <c r="BV269" s="2"/>
      <c r="BW269" s="2"/>
      <c r="BX269" s="2"/>
      <c r="BY269" s="2"/>
      <c r="BZ269" s="2"/>
      <c r="CA269" s="2"/>
      <c r="CB269" s="2"/>
      <c r="CC269" s="2"/>
      <c r="CD269" s="2"/>
      <c r="CE269" s="2"/>
      <c r="CF269" s="2"/>
    </row>
    <row r="270" spans="1:84" ht="12.65" customHeight="1" x14ac:dyDescent="0.35">
      <c r="A270" s="295" t="s">
        <v>376</v>
      </c>
      <c r="B270" s="313" t="s">
        <v>256</v>
      </c>
      <c r="C270" s="189">
        <v>130279559</v>
      </c>
      <c r="D270" s="295"/>
      <c r="E270" s="295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2"/>
      <c r="AT270" s="2"/>
      <c r="AU270" s="2"/>
      <c r="AV270" s="2"/>
      <c r="AW270" s="2"/>
      <c r="AX270" s="2"/>
      <c r="AY270" s="2"/>
      <c r="AZ270" s="2"/>
      <c r="BA270" s="2"/>
      <c r="BB270" s="2"/>
      <c r="BC270" s="2"/>
      <c r="BD270" s="2"/>
      <c r="BE270" s="2"/>
      <c r="BF270" s="2"/>
      <c r="BG270" s="2"/>
      <c r="BH270" s="2"/>
      <c r="BI270" s="2"/>
      <c r="BJ270" s="2"/>
      <c r="BK270" s="2"/>
      <c r="BL270" s="2"/>
      <c r="BM270" s="2"/>
      <c r="BN270" s="2"/>
      <c r="BO270" s="2"/>
      <c r="BP270" s="2"/>
      <c r="BQ270" s="2"/>
      <c r="BR270" s="2"/>
      <c r="BS270" s="2"/>
      <c r="BT270" s="2"/>
      <c r="BU270" s="2"/>
      <c r="BV270" s="2"/>
      <c r="BW270" s="2"/>
      <c r="BX270" s="2"/>
      <c r="BY270" s="2"/>
      <c r="BZ270" s="2"/>
      <c r="CA270" s="2"/>
      <c r="CB270" s="2"/>
      <c r="CC270" s="2"/>
      <c r="CD270" s="2"/>
      <c r="CE270" s="2"/>
      <c r="CF270" s="2"/>
    </row>
    <row r="271" spans="1:84" ht="12.65" customHeight="1" x14ac:dyDescent="0.35">
      <c r="A271" s="295" t="s">
        <v>377</v>
      </c>
      <c r="B271" s="313" t="s">
        <v>256</v>
      </c>
      <c r="C271" s="189">
        <v>23123</v>
      </c>
      <c r="D271" s="295"/>
      <c r="E271" s="295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2"/>
      <c r="AT271" s="2"/>
      <c r="AU271" s="2"/>
      <c r="AV271" s="2"/>
      <c r="AW271" s="2"/>
      <c r="AX271" s="2"/>
      <c r="AY271" s="2"/>
      <c r="AZ271" s="2"/>
      <c r="BA271" s="2"/>
      <c r="BB271" s="2"/>
      <c r="BC271" s="2"/>
      <c r="BD271" s="2"/>
      <c r="BE271" s="2"/>
      <c r="BF271" s="2"/>
      <c r="BG271" s="2"/>
      <c r="BH271" s="2"/>
      <c r="BI271" s="2"/>
      <c r="BJ271" s="2"/>
      <c r="BK271" s="2"/>
      <c r="BL271" s="2"/>
      <c r="BM271" s="2"/>
      <c r="BN271" s="2"/>
      <c r="BO271" s="2"/>
      <c r="BP271" s="2"/>
      <c r="BQ271" s="2"/>
      <c r="BR271" s="2"/>
      <c r="BS271" s="2"/>
      <c r="BT271" s="2"/>
      <c r="BU271" s="2"/>
      <c r="BV271" s="2"/>
      <c r="BW271" s="2"/>
      <c r="BX271" s="2"/>
      <c r="BY271" s="2"/>
      <c r="BZ271" s="2"/>
      <c r="CA271" s="2"/>
      <c r="CB271" s="2"/>
      <c r="CC271" s="2"/>
      <c r="CD271" s="2"/>
      <c r="CE271" s="2"/>
      <c r="CF271" s="2"/>
    </row>
    <row r="272" spans="1:84" ht="12.65" customHeight="1" x14ac:dyDescent="0.35">
      <c r="A272" s="295" t="s">
        <v>378</v>
      </c>
      <c r="B272" s="313" t="s">
        <v>256</v>
      </c>
      <c r="C272" s="189">
        <v>301103323</v>
      </c>
      <c r="D272" s="295"/>
      <c r="E272" s="295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  <c r="AQ272" s="2"/>
      <c r="AR272" s="2"/>
      <c r="AS272" s="2"/>
      <c r="AT272" s="2"/>
      <c r="AU272" s="2"/>
      <c r="AV272" s="2"/>
      <c r="AW272" s="2"/>
      <c r="AX272" s="2"/>
      <c r="AY272" s="2"/>
      <c r="AZ272" s="2"/>
      <c r="BA272" s="2"/>
      <c r="BB272" s="2"/>
      <c r="BC272" s="2"/>
      <c r="BD272" s="2"/>
      <c r="BE272" s="2"/>
      <c r="BF272" s="2"/>
      <c r="BG272" s="2"/>
      <c r="BH272" s="2"/>
      <c r="BI272" s="2"/>
      <c r="BJ272" s="2"/>
      <c r="BK272" s="2"/>
      <c r="BL272" s="2"/>
      <c r="BM272" s="2"/>
      <c r="BN272" s="2"/>
      <c r="BO272" s="2"/>
      <c r="BP272" s="2"/>
      <c r="BQ272" s="2"/>
      <c r="BR272" s="2"/>
      <c r="BS272" s="2"/>
      <c r="BT272" s="2"/>
      <c r="BU272" s="2"/>
      <c r="BV272" s="2"/>
      <c r="BW272" s="2"/>
      <c r="BX272" s="2"/>
      <c r="BY272" s="2"/>
      <c r="BZ272" s="2"/>
      <c r="CA272" s="2"/>
      <c r="CB272" s="2"/>
      <c r="CC272" s="2"/>
      <c r="CD272" s="2"/>
      <c r="CE272" s="2"/>
      <c r="CF272" s="2"/>
    </row>
    <row r="273" spans="1:84" ht="12.65" customHeight="1" x14ac:dyDescent="0.35">
      <c r="A273" s="295" t="s">
        <v>339</v>
      </c>
      <c r="B273" s="313" t="s">
        <v>256</v>
      </c>
      <c r="C273" s="189">
        <v>39940622</v>
      </c>
      <c r="D273" s="295"/>
      <c r="E273" s="295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"/>
      <c r="AS273" s="2"/>
      <c r="AT273" s="2"/>
      <c r="AU273" s="2"/>
      <c r="AV273" s="2"/>
      <c r="AW273" s="2"/>
      <c r="AX273" s="2"/>
      <c r="AY273" s="2"/>
      <c r="AZ273" s="2"/>
      <c r="BA273" s="2"/>
      <c r="BB273" s="2"/>
      <c r="BC273" s="2"/>
      <c r="BD273" s="2"/>
      <c r="BE273" s="2"/>
      <c r="BF273" s="2"/>
      <c r="BG273" s="2"/>
      <c r="BH273" s="2"/>
      <c r="BI273" s="2"/>
      <c r="BJ273" s="2"/>
      <c r="BK273" s="2"/>
      <c r="BL273" s="2"/>
      <c r="BM273" s="2"/>
      <c r="BN273" s="2"/>
      <c r="BO273" s="2"/>
      <c r="BP273" s="2"/>
      <c r="BQ273" s="2"/>
      <c r="BR273" s="2"/>
      <c r="BS273" s="2"/>
      <c r="BT273" s="2"/>
      <c r="BU273" s="2"/>
      <c r="BV273" s="2"/>
      <c r="BW273" s="2"/>
      <c r="BX273" s="2"/>
      <c r="BY273" s="2"/>
      <c r="BZ273" s="2"/>
      <c r="CA273" s="2"/>
      <c r="CB273" s="2"/>
      <c r="CC273" s="2"/>
      <c r="CD273" s="2"/>
      <c r="CE273" s="2"/>
      <c r="CF273" s="2"/>
    </row>
    <row r="274" spans="1:84" ht="12.65" customHeight="1" x14ac:dyDescent="0.35">
      <c r="A274" s="295" t="s">
        <v>340</v>
      </c>
      <c r="B274" s="313" t="s">
        <v>256</v>
      </c>
      <c r="C274" s="189">
        <v>24573853</v>
      </c>
      <c r="D274" s="295"/>
      <c r="E274" s="295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  <c r="AR274" s="2"/>
      <c r="AS274" s="2"/>
      <c r="AT274" s="2"/>
      <c r="AU274" s="2"/>
      <c r="AV274" s="2"/>
      <c r="AW274" s="2"/>
      <c r="AX274" s="2"/>
      <c r="AY274" s="2"/>
      <c r="AZ274" s="2"/>
      <c r="BA274" s="2"/>
      <c r="BB274" s="2"/>
      <c r="BC274" s="2"/>
      <c r="BD274" s="2"/>
      <c r="BE274" s="2"/>
      <c r="BF274" s="2"/>
      <c r="BG274" s="2"/>
      <c r="BH274" s="2"/>
      <c r="BI274" s="2"/>
      <c r="BJ274" s="2"/>
      <c r="BK274" s="2"/>
      <c r="BL274" s="2"/>
      <c r="BM274" s="2"/>
      <c r="BN274" s="2"/>
      <c r="BO274" s="2"/>
      <c r="BP274" s="2"/>
      <c r="BQ274" s="2"/>
      <c r="BR274" s="2"/>
      <c r="BS274" s="2"/>
      <c r="BT274" s="2"/>
      <c r="BU274" s="2"/>
      <c r="BV274" s="2"/>
      <c r="BW274" s="2"/>
      <c r="BX274" s="2"/>
      <c r="BY274" s="2"/>
      <c r="BZ274" s="2"/>
      <c r="CA274" s="2"/>
      <c r="CB274" s="2"/>
      <c r="CC274" s="2"/>
      <c r="CD274" s="2"/>
      <c r="CE274" s="2"/>
      <c r="CF274" s="2"/>
    </row>
    <row r="275" spans="1:84" ht="12.65" customHeight="1" x14ac:dyDescent="0.35">
      <c r="A275" s="295" t="s">
        <v>379</v>
      </c>
      <c r="B275" s="295"/>
      <c r="C275" s="303"/>
      <c r="D275" s="295">
        <f>SUM(C267:C274)</f>
        <v>854334409</v>
      </c>
      <c r="E275" s="295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  <c r="AQ275" s="2"/>
      <c r="AR275" s="2"/>
      <c r="AS275" s="2"/>
      <c r="AT275" s="2"/>
      <c r="AU275" s="2"/>
      <c r="AV275" s="2"/>
      <c r="AW275" s="2"/>
      <c r="AX275" s="2"/>
      <c r="AY275" s="2"/>
      <c r="AZ275" s="2"/>
      <c r="BA275" s="2"/>
      <c r="BB275" s="2"/>
      <c r="BC275" s="2"/>
      <c r="BD275" s="2"/>
      <c r="BE275" s="2"/>
      <c r="BF275" s="2"/>
      <c r="BG275" s="2"/>
      <c r="BH275" s="2"/>
      <c r="BI275" s="2"/>
      <c r="BJ275" s="2"/>
      <c r="BK275" s="2"/>
      <c r="BL275" s="2"/>
      <c r="BM275" s="2"/>
      <c r="BN275" s="2"/>
      <c r="BO275" s="2"/>
      <c r="BP275" s="2"/>
      <c r="BQ275" s="2"/>
      <c r="BR275" s="2"/>
      <c r="BS275" s="2"/>
      <c r="BT275" s="2"/>
      <c r="BU275" s="2"/>
      <c r="BV275" s="2"/>
      <c r="BW275" s="2"/>
      <c r="BX275" s="2"/>
      <c r="BY275" s="2"/>
      <c r="BZ275" s="2"/>
      <c r="CA275" s="2"/>
      <c r="CB275" s="2"/>
      <c r="CC275" s="2"/>
      <c r="CD275" s="2"/>
      <c r="CE275" s="2"/>
      <c r="CF275" s="2"/>
    </row>
    <row r="276" spans="1:84" ht="12.65" customHeight="1" x14ac:dyDescent="0.35">
      <c r="A276" s="295" t="s">
        <v>380</v>
      </c>
      <c r="B276" s="313" t="s">
        <v>256</v>
      </c>
      <c r="C276" s="189">
        <v>544177205</v>
      </c>
      <c r="D276" s="295"/>
      <c r="E276" s="295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  <c r="AP276" s="2"/>
      <c r="AQ276" s="2"/>
      <c r="AR276" s="2"/>
      <c r="AS276" s="2"/>
      <c r="AT276" s="2"/>
      <c r="AU276" s="2"/>
      <c r="AV276" s="2"/>
      <c r="AW276" s="2"/>
      <c r="AX276" s="2"/>
      <c r="AY276" s="2"/>
      <c r="AZ276" s="2"/>
      <c r="BA276" s="2"/>
      <c r="BB276" s="2"/>
      <c r="BC276" s="2"/>
      <c r="BD276" s="2"/>
      <c r="BE276" s="2"/>
      <c r="BF276" s="2"/>
      <c r="BG276" s="2"/>
      <c r="BH276" s="2"/>
      <c r="BI276" s="2"/>
      <c r="BJ276" s="2"/>
      <c r="BK276" s="2"/>
      <c r="BL276" s="2"/>
      <c r="BM276" s="2"/>
      <c r="BN276" s="2"/>
      <c r="BO276" s="2"/>
      <c r="BP276" s="2"/>
      <c r="BQ276" s="2"/>
      <c r="BR276" s="2"/>
      <c r="BS276" s="2"/>
      <c r="BT276" s="2"/>
      <c r="BU276" s="2"/>
      <c r="BV276" s="2"/>
      <c r="BW276" s="2"/>
      <c r="BX276" s="2"/>
      <c r="BY276" s="2"/>
      <c r="BZ276" s="2"/>
      <c r="CA276" s="2"/>
      <c r="CB276" s="2"/>
      <c r="CC276" s="2"/>
      <c r="CD276" s="2"/>
      <c r="CE276" s="2"/>
      <c r="CF276" s="2"/>
    </row>
    <row r="277" spans="1:84" ht="12.65" customHeight="1" x14ac:dyDescent="0.35">
      <c r="A277" s="295" t="s">
        <v>381</v>
      </c>
      <c r="B277" s="295"/>
      <c r="C277" s="303"/>
      <c r="D277" s="295">
        <f>D275-C276</f>
        <v>310157204</v>
      </c>
      <c r="E277" s="295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  <c r="AS277" s="2"/>
      <c r="AT277" s="2"/>
      <c r="AU277" s="2"/>
      <c r="AV277" s="2"/>
      <c r="AW277" s="2"/>
      <c r="AX277" s="2"/>
      <c r="AY277" s="2"/>
      <c r="AZ277" s="2"/>
      <c r="BA277" s="2"/>
      <c r="BB277" s="2"/>
      <c r="BC277" s="2"/>
      <c r="BD277" s="2"/>
      <c r="BE277" s="2"/>
      <c r="BF277" s="2"/>
      <c r="BG277" s="2"/>
      <c r="BH277" s="2"/>
      <c r="BI277" s="2"/>
      <c r="BJ277" s="2"/>
      <c r="BK277" s="2"/>
      <c r="BL277" s="2"/>
      <c r="BM277" s="2"/>
      <c r="BN277" s="2"/>
      <c r="BO277" s="2"/>
      <c r="BP277" s="2"/>
      <c r="BQ277" s="2"/>
      <c r="BR277" s="2"/>
      <c r="BS277" s="2"/>
      <c r="BT277" s="2"/>
      <c r="BU277" s="2"/>
      <c r="BV277" s="2"/>
      <c r="BW277" s="2"/>
      <c r="BX277" s="2"/>
      <c r="BY277" s="2"/>
      <c r="BZ277" s="2"/>
      <c r="CA277" s="2"/>
      <c r="CB277" s="2"/>
      <c r="CC277" s="2"/>
      <c r="CD277" s="2"/>
      <c r="CE277" s="2"/>
      <c r="CF277" s="2"/>
    </row>
    <row r="278" spans="1:84" ht="12.65" customHeight="1" x14ac:dyDescent="0.35">
      <c r="A278" s="317" t="s">
        <v>382</v>
      </c>
      <c r="B278" s="317"/>
      <c r="C278" s="317"/>
      <c r="D278" s="317"/>
      <c r="E278" s="317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  <c r="AS278" s="2"/>
      <c r="AT278" s="2"/>
      <c r="AU278" s="2"/>
      <c r="AV278" s="2"/>
      <c r="AW278" s="2"/>
      <c r="AX278" s="2"/>
      <c r="AY278" s="2"/>
      <c r="AZ278" s="2"/>
      <c r="BA278" s="2"/>
      <c r="BB278" s="2"/>
      <c r="BC278" s="2"/>
      <c r="BD278" s="2"/>
      <c r="BE278" s="2"/>
      <c r="BF278" s="2"/>
      <c r="BG278" s="2"/>
      <c r="BH278" s="2"/>
      <c r="BI278" s="2"/>
      <c r="BJ278" s="2"/>
      <c r="BK278" s="2"/>
      <c r="BL278" s="2"/>
      <c r="BM278" s="2"/>
      <c r="BN278" s="2"/>
      <c r="BO278" s="2"/>
      <c r="BP278" s="2"/>
      <c r="BQ278" s="2"/>
      <c r="BR278" s="2"/>
      <c r="BS278" s="2"/>
      <c r="BT278" s="2"/>
      <c r="BU278" s="2"/>
      <c r="BV278" s="2"/>
      <c r="BW278" s="2"/>
      <c r="BX278" s="2"/>
      <c r="BY278" s="2"/>
      <c r="BZ278" s="2"/>
      <c r="CA278" s="2"/>
      <c r="CB278" s="2"/>
      <c r="CC278" s="2"/>
      <c r="CD278" s="2"/>
      <c r="CE278" s="2"/>
      <c r="CF278" s="2"/>
    </row>
    <row r="279" spans="1:84" ht="12.65" customHeight="1" x14ac:dyDescent="0.35">
      <c r="A279" s="295" t="s">
        <v>383</v>
      </c>
      <c r="B279" s="313" t="s">
        <v>256</v>
      </c>
      <c r="C279" s="189">
        <v>0</v>
      </c>
      <c r="D279" s="295"/>
      <c r="E279" s="295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  <c r="AS279" s="2"/>
      <c r="AT279" s="2"/>
      <c r="AU279" s="2"/>
      <c r="AV279" s="2"/>
      <c r="AW279" s="2"/>
      <c r="AX279" s="2"/>
      <c r="AY279" s="2"/>
      <c r="AZ279" s="2"/>
      <c r="BA279" s="2"/>
      <c r="BB279" s="2"/>
      <c r="BC279" s="2"/>
      <c r="BD279" s="2"/>
      <c r="BE279" s="2"/>
      <c r="BF279" s="2"/>
      <c r="BG279" s="2"/>
      <c r="BH279" s="2"/>
      <c r="BI279" s="2"/>
      <c r="BJ279" s="2"/>
      <c r="BK279" s="2"/>
      <c r="BL279" s="2"/>
      <c r="BM279" s="2"/>
      <c r="BN279" s="2"/>
      <c r="BO279" s="2"/>
      <c r="BP279" s="2"/>
      <c r="BQ279" s="2"/>
      <c r="BR279" s="2"/>
      <c r="BS279" s="2"/>
      <c r="BT279" s="2"/>
      <c r="BU279" s="2"/>
      <c r="BV279" s="2"/>
      <c r="BW279" s="2"/>
      <c r="BX279" s="2"/>
      <c r="BY279" s="2"/>
      <c r="BZ279" s="2"/>
      <c r="CA279" s="2"/>
      <c r="CB279" s="2"/>
      <c r="CC279" s="2"/>
      <c r="CD279" s="2"/>
      <c r="CE279" s="2"/>
      <c r="CF279" s="2"/>
    </row>
    <row r="280" spans="1:84" ht="12.65" customHeight="1" x14ac:dyDescent="0.35">
      <c r="A280" s="295" t="s">
        <v>384</v>
      </c>
      <c r="B280" s="313" t="s">
        <v>256</v>
      </c>
      <c r="C280" s="189">
        <v>0</v>
      </c>
      <c r="D280" s="295"/>
      <c r="E280" s="295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L280" s="2"/>
      <c r="AM280" s="2"/>
      <c r="AN280" s="2"/>
      <c r="AO280" s="2"/>
      <c r="AP280" s="2"/>
      <c r="AQ280" s="2"/>
      <c r="AR280" s="2"/>
      <c r="AS280" s="2"/>
      <c r="AT280" s="2"/>
      <c r="AU280" s="2"/>
      <c r="AV280" s="2"/>
      <c r="AW280" s="2"/>
      <c r="AX280" s="2"/>
      <c r="AY280" s="2"/>
      <c r="AZ280" s="2"/>
      <c r="BA280" s="2"/>
      <c r="BB280" s="2"/>
      <c r="BC280" s="2"/>
      <c r="BD280" s="2"/>
      <c r="BE280" s="2"/>
      <c r="BF280" s="2"/>
      <c r="BG280" s="2"/>
      <c r="BH280" s="2"/>
      <c r="BI280" s="2"/>
      <c r="BJ280" s="2"/>
      <c r="BK280" s="2"/>
      <c r="BL280" s="2"/>
      <c r="BM280" s="2"/>
      <c r="BN280" s="2"/>
      <c r="BO280" s="2"/>
      <c r="BP280" s="2"/>
      <c r="BQ280" s="2"/>
      <c r="BR280" s="2"/>
      <c r="BS280" s="2"/>
      <c r="BT280" s="2"/>
      <c r="BU280" s="2"/>
      <c r="BV280" s="2"/>
      <c r="BW280" s="2"/>
      <c r="BX280" s="2"/>
      <c r="BY280" s="2"/>
      <c r="BZ280" s="2"/>
      <c r="CA280" s="2"/>
      <c r="CB280" s="2"/>
      <c r="CC280" s="2"/>
      <c r="CD280" s="2"/>
      <c r="CE280" s="2"/>
      <c r="CF280" s="2"/>
    </row>
    <row r="281" spans="1:84" ht="12.65" customHeight="1" x14ac:dyDescent="0.35">
      <c r="A281" s="295" t="s">
        <v>385</v>
      </c>
      <c r="B281" s="313" t="s">
        <v>256</v>
      </c>
      <c r="C281" s="189">
        <v>7771982</v>
      </c>
      <c r="D281" s="295"/>
      <c r="E281" s="295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L281" s="2"/>
      <c r="AM281" s="2"/>
      <c r="AN281" s="2"/>
      <c r="AO281" s="2"/>
      <c r="AP281" s="2"/>
      <c r="AQ281" s="2"/>
      <c r="AR281" s="2"/>
      <c r="AS281" s="2"/>
      <c r="AT281" s="2"/>
      <c r="AU281" s="2"/>
      <c r="AV281" s="2"/>
      <c r="AW281" s="2"/>
      <c r="AX281" s="2"/>
      <c r="AY281" s="2"/>
      <c r="AZ281" s="2"/>
      <c r="BA281" s="2"/>
      <c r="BB281" s="2"/>
      <c r="BC281" s="2"/>
      <c r="BD281" s="2"/>
      <c r="BE281" s="2"/>
      <c r="BF281" s="2"/>
      <c r="BG281" s="2"/>
      <c r="BH281" s="2"/>
      <c r="BI281" s="2"/>
      <c r="BJ281" s="2"/>
      <c r="BK281" s="2"/>
      <c r="BL281" s="2"/>
      <c r="BM281" s="2"/>
      <c r="BN281" s="2"/>
      <c r="BO281" s="2"/>
      <c r="BP281" s="2"/>
      <c r="BQ281" s="2"/>
      <c r="BR281" s="2"/>
      <c r="BS281" s="2"/>
      <c r="BT281" s="2"/>
      <c r="BU281" s="2"/>
      <c r="BV281" s="2"/>
      <c r="BW281" s="2"/>
      <c r="BX281" s="2"/>
      <c r="BY281" s="2"/>
      <c r="BZ281" s="2"/>
      <c r="CA281" s="2"/>
      <c r="CB281" s="2"/>
      <c r="CC281" s="2"/>
      <c r="CD281" s="2"/>
      <c r="CE281" s="2"/>
      <c r="CF281" s="2"/>
    </row>
    <row r="282" spans="1:84" ht="12.65" customHeight="1" x14ac:dyDescent="0.35">
      <c r="A282" s="295" t="s">
        <v>373</v>
      </c>
      <c r="B282" s="313" t="s">
        <v>256</v>
      </c>
      <c r="C282" s="189">
        <v>3770671</v>
      </c>
      <c r="D282" s="295"/>
      <c r="E282" s="295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  <c r="AS282" s="2"/>
      <c r="AT282" s="2"/>
      <c r="AU282" s="2"/>
      <c r="AV282" s="2"/>
      <c r="AW282" s="2"/>
      <c r="AX282" s="2"/>
      <c r="AY282" s="2"/>
      <c r="AZ282" s="2"/>
      <c r="BA282" s="2"/>
      <c r="BB282" s="2"/>
      <c r="BC282" s="2"/>
      <c r="BD282" s="2"/>
      <c r="BE282" s="2"/>
      <c r="BF282" s="2"/>
      <c r="BG282" s="2"/>
      <c r="BH282" s="2"/>
      <c r="BI282" s="2"/>
      <c r="BJ282" s="2"/>
      <c r="BK282" s="2"/>
      <c r="BL282" s="2"/>
      <c r="BM282" s="2"/>
      <c r="BN282" s="2"/>
      <c r="BO282" s="2"/>
      <c r="BP282" s="2"/>
      <c r="BQ282" s="2"/>
      <c r="BR282" s="2"/>
      <c r="BS282" s="2"/>
      <c r="BT282" s="2"/>
      <c r="BU282" s="2"/>
      <c r="BV282" s="2"/>
      <c r="BW282" s="2"/>
      <c r="BX282" s="2"/>
      <c r="BY282" s="2"/>
      <c r="BZ282" s="2"/>
      <c r="CA282" s="2"/>
      <c r="CB282" s="2"/>
      <c r="CC282" s="2"/>
      <c r="CD282" s="2"/>
      <c r="CE282" s="2"/>
      <c r="CF282" s="2"/>
    </row>
    <row r="283" spans="1:84" ht="12.65" customHeight="1" x14ac:dyDescent="0.35">
      <c r="A283" s="295" t="s">
        <v>386</v>
      </c>
      <c r="B283" s="295"/>
      <c r="C283" s="303"/>
      <c r="D283" s="295">
        <f>C279-C280+C281+C282</f>
        <v>11542653</v>
      </c>
      <c r="E283" s="295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2"/>
      <c r="AS283" s="2"/>
      <c r="AT283" s="2"/>
      <c r="AU283" s="2"/>
      <c r="AV283" s="2"/>
      <c r="AW283" s="2"/>
      <c r="AX283" s="2"/>
      <c r="AY283" s="2"/>
      <c r="AZ283" s="2"/>
      <c r="BA283" s="2"/>
      <c r="BB283" s="2"/>
      <c r="BC283" s="2"/>
      <c r="BD283" s="2"/>
      <c r="BE283" s="2"/>
      <c r="BF283" s="2"/>
      <c r="BG283" s="2"/>
      <c r="BH283" s="2"/>
      <c r="BI283" s="2"/>
      <c r="BJ283" s="2"/>
      <c r="BK283" s="2"/>
      <c r="BL283" s="2"/>
      <c r="BM283" s="2"/>
      <c r="BN283" s="2"/>
      <c r="BO283" s="2"/>
      <c r="BP283" s="2"/>
      <c r="BQ283" s="2"/>
      <c r="BR283" s="2"/>
      <c r="BS283" s="2"/>
      <c r="BT283" s="2"/>
      <c r="BU283" s="2"/>
      <c r="BV283" s="2"/>
      <c r="BW283" s="2"/>
      <c r="BX283" s="2"/>
      <c r="BY283" s="2"/>
      <c r="BZ283" s="2"/>
      <c r="CA283" s="2"/>
      <c r="CB283" s="2"/>
      <c r="CC283" s="2"/>
      <c r="CD283" s="2"/>
      <c r="CE283" s="2"/>
      <c r="CF283" s="2"/>
    </row>
    <row r="284" spans="1:84" ht="12.65" customHeight="1" x14ac:dyDescent="0.35">
      <c r="A284" s="295"/>
      <c r="B284" s="295"/>
      <c r="C284" s="303"/>
      <c r="D284" s="295"/>
      <c r="E284" s="295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  <c r="AS284" s="2"/>
      <c r="AT284" s="2"/>
      <c r="AU284" s="2"/>
      <c r="AV284" s="2"/>
      <c r="AW284" s="2"/>
      <c r="AX284" s="2"/>
      <c r="AY284" s="2"/>
      <c r="AZ284" s="2"/>
      <c r="BA284" s="2"/>
      <c r="BB284" s="2"/>
      <c r="BC284" s="2"/>
      <c r="BD284" s="2"/>
      <c r="BE284" s="2"/>
      <c r="BF284" s="2"/>
      <c r="BG284" s="2"/>
      <c r="BH284" s="2"/>
      <c r="BI284" s="2"/>
      <c r="BJ284" s="2"/>
      <c r="BK284" s="2"/>
      <c r="BL284" s="2"/>
      <c r="BM284" s="2"/>
      <c r="BN284" s="2"/>
      <c r="BO284" s="2"/>
      <c r="BP284" s="2"/>
      <c r="BQ284" s="2"/>
      <c r="BR284" s="2"/>
      <c r="BS284" s="2"/>
      <c r="BT284" s="2"/>
      <c r="BU284" s="2"/>
      <c r="BV284" s="2"/>
      <c r="BW284" s="2"/>
      <c r="BX284" s="2"/>
      <c r="BY284" s="2"/>
      <c r="BZ284" s="2"/>
      <c r="CA284" s="2"/>
      <c r="CB284" s="2"/>
      <c r="CC284" s="2"/>
      <c r="CD284" s="2"/>
      <c r="CE284" s="2"/>
      <c r="CF284" s="2"/>
    </row>
    <row r="285" spans="1:84" ht="12.65" customHeight="1" x14ac:dyDescent="0.35">
      <c r="A285" s="317" t="s">
        <v>387</v>
      </c>
      <c r="B285" s="317"/>
      <c r="C285" s="317"/>
      <c r="D285" s="317"/>
      <c r="E285" s="317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2"/>
      <c r="AT285" s="2"/>
      <c r="AU285" s="2"/>
      <c r="AV285" s="2"/>
      <c r="AW285" s="2"/>
      <c r="AX285" s="2"/>
      <c r="AY285" s="2"/>
      <c r="AZ285" s="2"/>
      <c r="BA285" s="2"/>
      <c r="BB285" s="2"/>
      <c r="BC285" s="2"/>
      <c r="BD285" s="2"/>
      <c r="BE285" s="2"/>
      <c r="BF285" s="2"/>
      <c r="BG285" s="2"/>
      <c r="BH285" s="2"/>
      <c r="BI285" s="2"/>
      <c r="BJ285" s="2"/>
      <c r="BK285" s="2"/>
      <c r="BL285" s="2"/>
      <c r="BM285" s="2"/>
      <c r="BN285" s="2"/>
      <c r="BO285" s="2"/>
      <c r="BP285" s="2"/>
      <c r="BQ285" s="2"/>
      <c r="BR285" s="2"/>
      <c r="BS285" s="2"/>
      <c r="BT285" s="2"/>
      <c r="BU285" s="2"/>
      <c r="BV285" s="2"/>
      <c r="BW285" s="2"/>
      <c r="BX285" s="2"/>
      <c r="BY285" s="2"/>
      <c r="BZ285" s="2"/>
      <c r="CA285" s="2"/>
      <c r="CB285" s="2"/>
      <c r="CC285" s="2"/>
      <c r="CD285" s="2"/>
      <c r="CE285" s="2"/>
      <c r="CF285" s="2"/>
    </row>
    <row r="286" spans="1:84" ht="12.65" customHeight="1" x14ac:dyDescent="0.35">
      <c r="A286" s="295" t="s">
        <v>388</v>
      </c>
      <c r="B286" s="313" t="s">
        <v>256</v>
      </c>
      <c r="C286" s="189">
        <f>25055730+2</f>
        <v>25055732</v>
      </c>
      <c r="D286" s="295"/>
      <c r="E286" s="295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  <c r="AS286" s="2"/>
      <c r="AT286" s="2"/>
      <c r="AU286" s="2"/>
      <c r="AV286" s="2"/>
      <c r="AW286" s="2"/>
      <c r="AX286" s="2"/>
      <c r="AY286" s="2"/>
      <c r="AZ286" s="2"/>
      <c r="BA286" s="2"/>
      <c r="BB286" s="2"/>
      <c r="BC286" s="2"/>
      <c r="BD286" s="2"/>
      <c r="BE286" s="2"/>
      <c r="BF286" s="2"/>
      <c r="BG286" s="2"/>
      <c r="BH286" s="2"/>
      <c r="BI286" s="2"/>
      <c r="BJ286" s="2"/>
      <c r="BK286" s="2"/>
      <c r="BL286" s="2"/>
      <c r="BM286" s="2"/>
      <c r="BN286" s="2"/>
      <c r="BO286" s="2"/>
      <c r="BP286" s="2"/>
      <c r="BQ286" s="2"/>
      <c r="BR286" s="2"/>
      <c r="BS286" s="2"/>
      <c r="BT286" s="2"/>
      <c r="BU286" s="2"/>
      <c r="BV286" s="2"/>
      <c r="BW286" s="2"/>
      <c r="BX286" s="2"/>
      <c r="BY286" s="2"/>
      <c r="BZ286" s="2"/>
      <c r="CA286" s="2"/>
      <c r="CB286" s="2"/>
      <c r="CC286" s="2"/>
      <c r="CD286" s="2"/>
      <c r="CE286" s="2"/>
      <c r="CF286" s="2"/>
    </row>
    <row r="287" spans="1:84" ht="12.65" customHeight="1" x14ac:dyDescent="0.35">
      <c r="A287" s="295" t="s">
        <v>389</v>
      </c>
      <c r="B287" s="313" t="s">
        <v>256</v>
      </c>
      <c r="C287" s="189">
        <v>0</v>
      </c>
      <c r="D287" s="295"/>
      <c r="E287" s="295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  <c r="AS287" s="2"/>
      <c r="AT287" s="2"/>
      <c r="AU287" s="2"/>
      <c r="AV287" s="2"/>
      <c r="AW287" s="2"/>
      <c r="AX287" s="2"/>
      <c r="AY287" s="2"/>
      <c r="AZ287" s="2"/>
      <c r="BA287" s="2"/>
      <c r="BB287" s="2"/>
      <c r="BC287" s="2"/>
      <c r="BD287" s="2"/>
      <c r="BE287" s="2"/>
      <c r="BF287" s="2"/>
      <c r="BG287" s="2"/>
      <c r="BH287" s="2"/>
      <c r="BI287" s="2"/>
      <c r="BJ287" s="2"/>
      <c r="BK287" s="2"/>
      <c r="BL287" s="2"/>
      <c r="BM287" s="2"/>
      <c r="BN287" s="2"/>
      <c r="BO287" s="2"/>
      <c r="BP287" s="2"/>
      <c r="BQ287" s="2"/>
      <c r="BR287" s="2"/>
      <c r="BS287" s="2"/>
      <c r="BT287" s="2"/>
      <c r="BU287" s="2"/>
      <c r="BV287" s="2"/>
      <c r="BW287" s="2"/>
      <c r="BX287" s="2"/>
      <c r="BY287" s="2"/>
      <c r="BZ287" s="2"/>
      <c r="CA287" s="2"/>
      <c r="CB287" s="2"/>
      <c r="CC287" s="2"/>
      <c r="CD287" s="2"/>
      <c r="CE287" s="2"/>
      <c r="CF287" s="2"/>
    </row>
    <row r="288" spans="1:84" ht="12.65" customHeight="1" x14ac:dyDescent="0.35">
      <c r="A288" s="295" t="s">
        <v>390</v>
      </c>
      <c r="B288" s="313" t="s">
        <v>256</v>
      </c>
      <c r="C288" s="189">
        <v>0</v>
      </c>
      <c r="D288" s="295"/>
      <c r="E288" s="295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  <c r="AP288" s="2"/>
      <c r="AQ288" s="2"/>
      <c r="AR288" s="2"/>
      <c r="AS288" s="2"/>
      <c r="AT288" s="2"/>
      <c r="AU288" s="2"/>
      <c r="AV288" s="2"/>
      <c r="AW288" s="2"/>
      <c r="AX288" s="2"/>
      <c r="AY288" s="2"/>
      <c r="AZ288" s="2"/>
      <c r="BA288" s="2"/>
      <c r="BB288" s="2"/>
      <c r="BC288" s="2"/>
      <c r="BD288" s="2"/>
      <c r="BE288" s="2"/>
      <c r="BF288" s="2"/>
      <c r="BG288" s="2"/>
      <c r="BH288" s="2"/>
      <c r="BI288" s="2"/>
      <c r="BJ288" s="2"/>
      <c r="BK288" s="2"/>
      <c r="BL288" s="2"/>
      <c r="BM288" s="2"/>
      <c r="BN288" s="2"/>
      <c r="BO288" s="2"/>
      <c r="BP288" s="2"/>
      <c r="BQ288" s="2"/>
      <c r="BR288" s="2"/>
      <c r="BS288" s="2"/>
      <c r="BT288" s="2"/>
      <c r="BU288" s="2"/>
      <c r="BV288" s="2"/>
      <c r="BW288" s="2"/>
      <c r="BX288" s="2"/>
      <c r="BY288" s="2"/>
      <c r="BZ288" s="2"/>
      <c r="CA288" s="2"/>
      <c r="CB288" s="2"/>
      <c r="CC288" s="2"/>
      <c r="CD288" s="2"/>
      <c r="CE288" s="2"/>
      <c r="CF288" s="2"/>
    </row>
    <row r="289" spans="1:84" ht="12.65" customHeight="1" x14ac:dyDescent="0.35">
      <c r="A289" s="295" t="s">
        <v>391</v>
      </c>
      <c r="B289" s="313" t="s">
        <v>256</v>
      </c>
      <c r="C289" s="189">
        <v>0</v>
      </c>
      <c r="D289" s="295"/>
      <c r="E289" s="295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  <c r="AM289" s="2"/>
      <c r="AN289" s="2"/>
      <c r="AO289" s="2"/>
      <c r="AP289" s="2"/>
      <c r="AQ289" s="2"/>
      <c r="AR289" s="2"/>
      <c r="AS289" s="2"/>
      <c r="AT289" s="2"/>
      <c r="AU289" s="2"/>
      <c r="AV289" s="2"/>
      <c r="AW289" s="2"/>
      <c r="AX289" s="2"/>
      <c r="AY289" s="2"/>
      <c r="AZ289" s="2"/>
      <c r="BA289" s="2"/>
      <c r="BB289" s="2"/>
      <c r="BC289" s="2"/>
      <c r="BD289" s="2"/>
      <c r="BE289" s="2"/>
      <c r="BF289" s="2"/>
      <c r="BG289" s="2"/>
      <c r="BH289" s="2"/>
      <c r="BI289" s="2"/>
      <c r="BJ289" s="2"/>
      <c r="BK289" s="2"/>
      <c r="BL289" s="2"/>
      <c r="BM289" s="2"/>
      <c r="BN289" s="2"/>
      <c r="BO289" s="2"/>
      <c r="BP289" s="2"/>
      <c r="BQ289" s="2"/>
      <c r="BR289" s="2"/>
      <c r="BS289" s="2"/>
      <c r="BT289" s="2"/>
      <c r="BU289" s="2"/>
      <c r="BV289" s="2"/>
      <c r="BW289" s="2"/>
      <c r="BX289" s="2"/>
      <c r="BY289" s="2"/>
      <c r="BZ289" s="2"/>
      <c r="CA289" s="2"/>
      <c r="CB289" s="2"/>
      <c r="CC289" s="2"/>
      <c r="CD289" s="2"/>
      <c r="CE289" s="2"/>
      <c r="CF289" s="2"/>
    </row>
    <row r="290" spans="1:84" ht="12.65" customHeight="1" x14ac:dyDescent="0.35">
      <c r="A290" s="295" t="s">
        <v>392</v>
      </c>
      <c r="B290" s="295"/>
      <c r="C290" s="303"/>
      <c r="D290" s="295">
        <f>SUM(C286:C289)</f>
        <v>25055732</v>
      </c>
      <c r="E290" s="295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  <c r="AQ290" s="2"/>
      <c r="AR290" s="2"/>
      <c r="AS290" s="2"/>
      <c r="AT290" s="2"/>
      <c r="AU290" s="2"/>
      <c r="AV290" s="2"/>
      <c r="AW290" s="2"/>
      <c r="AX290" s="2"/>
      <c r="AY290" s="2"/>
      <c r="AZ290" s="2"/>
      <c r="BA290" s="2"/>
      <c r="BB290" s="2"/>
      <c r="BC290" s="2"/>
      <c r="BD290" s="2"/>
      <c r="BE290" s="2"/>
      <c r="BF290" s="2"/>
      <c r="BG290" s="2"/>
      <c r="BH290" s="2"/>
      <c r="BI290" s="2"/>
      <c r="BJ290" s="2"/>
      <c r="BK290" s="2"/>
      <c r="BL290" s="2"/>
      <c r="BM290" s="2"/>
      <c r="BN290" s="2"/>
      <c r="BO290" s="2"/>
      <c r="BP290" s="2"/>
      <c r="BQ290" s="2"/>
      <c r="BR290" s="2"/>
      <c r="BS290" s="2"/>
      <c r="BT290" s="2"/>
      <c r="BU290" s="2"/>
      <c r="BV290" s="2"/>
      <c r="BW290" s="2"/>
      <c r="BX290" s="2"/>
      <c r="BY290" s="2"/>
      <c r="BZ290" s="2"/>
      <c r="CA290" s="2"/>
      <c r="CB290" s="2"/>
      <c r="CC290" s="2"/>
      <c r="CD290" s="2"/>
      <c r="CE290" s="2"/>
      <c r="CF290" s="2"/>
    </row>
    <row r="291" spans="1:84" ht="12.65" customHeight="1" x14ac:dyDescent="0.35">
      <c r="A291" s="295"/>
      <c r="B291" s="295"/>
      <c r="C291" s="303"/>
      <c r="D291" s="295"/>
      <c r="E291" s="295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2"/>
      <c r="AT291" s="2"/>
      <c r="AU291" s="2"/>
      <c r="AV291" s="2"/>
      <c r="AW291" s="2"/>
      <c r="AX291" s="2"/>
      <c r="AY291" s="2"/>
      <c r="AZ291" s="2"/>
      <c r="BA291" s="2"/>
      <c r="BB291" s="2"/>
      <c r="BC291" s="2"/>
      <c r="BD291" s="2"/>
      <c r="BE291" s="2"/>
      <c r="BF291" s="2"/>
      <c r="BG291" s="2"/>
      <c r="BH291" s="2"/>
      <c r="BI291" s="2"/>
      <c r="BJ291" s="2"/>
      <c r="BK291" s="2"/>
      <c r="BL291" s="2"/>
      <c r="BM291" s="2"/>
      <c r="BN291" s="2"/>
      <c r="BO291" s="2"/>
      <c r="BP291" s="2"/>
      <c r="BQ291" s="2"/>
      <c r="BR291" s="2"/>
      <c r="BS291" s="2"/>
      <c r="BT291" s="2"/>
      <c r="BU291" s="2"/>
      <c r="BV291" s="2"/>
      <c r="BW291" s="2"/>
      <c r="BX291" s="2"/>
      <c r="BY291" s="2"/>
      <c r="BZ291" s="2"/>
      <c r="CA291" s="2"/>
      <c r="CB291" s="2"/>
      <c r="CC291" s="2"/>
      <c r="CD291" s="2"/>
      <c r="CE291" s="2"/>
      <c r="CF291" s="2"/>
    </row>
    <row r="292" spans="1:84" ht="12.65" customHeight="1" x14ac:dyDescent="0.35">
      <c r="A292" s="295" t="s">
        <v>393</v>
      </c>
      <c r="B292" s="295"/>
      <c r="C292" s="303"/>
      <c r="D292" s="295">
        <f>D260+D265+D277+D283+D290</f>
        <v>861970682</v>
      </c>
      <c r="E292" s="295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2"/>
      <c r="AT292" s="2"/>
      <c r="AU292" s="2"/>
      <c r="AV292" s="2"/>
      <c r="AW292" s="2"/>
      <c r="AX292" s="2"/>
      <c r="AY292" s="2"/>
      <c r="AZ292" s="2"/>
      <c r="BA292" s="2"/>
      <c r="BB292" s="2"/>
      <c r="BC292" s="2"/>
      <c r="BD292" s="2"/>
      <c r="BE292" s="2"/>
      <c r="BF292" s="2"/>
      <c r="BG292" s="2"/>
      <c r="BH292" s="2"/>
      <c r="BI292" s="2"/>
      <c r="BJ292" s="2"/>
      <c r="BK292" s="2"/>
      <c r="BL292" s="2"/>
      <c r="BM292" s="2"/>
      <c r="BN292" s="2"/>
      <c r="BO292" s="2"/>
      <c r="BP292" s="2"/>
      <c r="BQ292" s="2"/>
      <c r="BR292" s="2"/>
      <c r="BS292" s="2"/>
      <c r="BT292" s="2"/>
      <c r="BU292" s="2"/>
      <c r="BV292" s="2"/>
      <c r="BW292" s="2"/>
      <c r="BX292" s="2"/>
      <c r="BY292" s="2"/>
      <c r="BZ292" s="2"/>
      <c r="CA292" s="2"/>
      <c r="CB292" s="2"/>
      <c r="CC292" s="2"/>
      <c r="CD292" s="2"/>
      <c r="CE292" s="2"/>
      <c r="CF292" s="2"/>
    </row>
    <row r="293" spans="1:84" ht="12.65" customHeight="1" x14ac:dyDescent="0.35">
      <c r="A293" s="295"/>
      <c r="B293" s="295"/>
      <c r="C293" s="303"/>
      <c r="D293" s="295"/>
      <c r="E293" s="295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2"/>
      <c r="AT293" s="2"/>
      <c r="AU293" s="2"/>
      <c r="AV293" s="2"/>
      <c r="AW293" s="2"/>
      <c r="AX293" s="2"/>
      <c r="AY293" s="2"/>
      <c r="AZ293" s="2"/>
      <c r="BA293" s="2"/>
      <c r="BB293" s="2"/>
      <c r="BC293" s="2"/>
      <c r="BD293" s="2"/>
      <c r="BE293" s="2"/>
      <c r="BF293" s="2"/>
      <c r="BG293" s="2"/>
      <c r="BH293" s="2"/>
      <c r="BI293" s="2"/>
      <c r="BJ293" s="2"/>
      <c r="BK293" s="2"/>
      <c r="BL293" s="2"/>
      <c r="BM293" s="2"/>
      <c r="BN293" s="2"/>
      <c r="BO293" s="2"/>
      <c r="BP293" s="2"/>
      <c r="BQ293" s="2"/>
      <c r="BR293" s="2"/>
      <c r="BS293" s="2"/>
      <c r="BT293" s="2"/>
      <c r="BU293" s="2"/>
      <c r="BV293" s="2"/>
      <c r="BW293" s="2"/>
      <c r="BX293" s="2"/>
      <c r="BY293" s="2"/>
      <c r="BZ293" s="2"/>
      <c r="CA293" s="2"/>
      <c r="CB293" s="2"/>
      <c r="CC293" s="2"/>
      <c r="CD293" s="2"/>
      <c r="CE293" s="2"/>
      <c r="CF293" s="2"/>
    </row>
    <row r="294" spans="1:84" ht="12.65" customHeight="1" x14ac:dyDescent="0.35">
      <c r="A294" s="295"/>
      <c r="B294" s="295"/>
      <c r="C294" s="303"/>
      <c r="D294" s="295"/>
      <c r="E294" s="295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  <c r="AN294" s="2"/>
      <c r="AO294" s="2"/>
      <c r="AP294" s="2"/>
      <c r="AQ294" s="2"/>
      <c r="AR294" s="2"/>
      <c r="AS294" s="2"/>
      <c r="AT294" s="2"/>
      <c r="AU294" s="2"/>
      <c r="AV294" s="2"/>
      <c r="AW294" s="2"/>
      <c r="AX294" s="2"/>
      <c r="AY294" s="2"/>
      <c r="AZ294" s="2"/>
      <c r="BA294" s="2"/>
      <c r="BB294" s="2"/>
      <c r="BC294" s="2"/>
      <c r="BD294" s="2"/>
      <c r="BE294" s="2"/>
      <c r="BF294" s="2"/>
      <c r="BG294" s="2"/>
      <c r="BH294" s="2"/>
      <c r="BI294" s="2"/>
      <c r="BJ294" s="2"/>
      <c r="BK294" s="2"/>
      <c r="BL294" s="2"/>
      <c r="BM294" s="2"/>
      <c r="BN294" s="2"/>
      <c r="BO294" s="2"/>
      <c r="BP294" s="2"/>
      <c r="BQ294" s="2"/>
      <c r="BR294" s="2"/>
      <c r="BS294" s="2"/>
      <c r="BT294" s="2"/>
      <c r="BU294" s="2"/>
      <c r="BV294" s="2"/>
      <c r="BW294" s="2"/>
      <c r="BX294" s="2"/>
      <c r="BY294" s="2"/>
      <c r="BZ294" s="2"/>
      <c r="CA294" s="2"/>
      <c r="CB294" s="2"/>
      <c r="CC294" s="2"/>
      <c r="CD294" s="2"/>
      <c r="CE294" s="2"/>
      <c r="CF294" s="2"/>
    </row>
    <row r="295" spans="1:84" ht="12.65" customHeight="1" x14ac:dyDescent="0.35">
      <c r="A295" s="295"/>
      <c r="B295" s="295"/>
      <c r="C295" s="303"/>
      <c r="D295" s="295"/>
      <c r="E295" s="295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  <c r="AM295" s="2"/>
      <c r="AN295" s="2"/>
      <c r="AO295" s="2"/>
      <c r="AP295" s="2"/>
      <c r="AQ295" s="2"/>
      <c r="AR295" s="2"/>
      <c r="AS295" s="2"/>
      <c r="AT295" s="2"/>
      <c r="AU295" s="2"/>
      <c r="AV295" s="2"/>
      <c r="AW295" s="2"/>
      <c r="AX295" s="2"/>
      <c r="AY295" s="2"/>
      <c r="AZ295" s="2"/>
      <c r="BA295" s="2"/>
      <c r="BB295" s="2"/>
      <c r="BC295" s="2"/>
      <c r="BD295" s="2"/>
      <c r="BE295" s="2"/>
      <c r="BF295" s="2"/>
      <c r="BG295" s="2"/>
      <c r="BH295" s="2"/>
      <c r="BI295" s="2"/>
      <c r="BJ295" s="2"/>
      <c r="BK295" s="2"/>
      <c r="BL295" s="2"/>
      <c r="BM295" s="2"/>
      <c r="BN295" s="2"/>
      <c r="BO295" s="2"/>
      <c r="BP295" s="2"/>
      <c r="BQ295" s="2"/>
      <c r="BR295" s="2"/>
      <c r="BS295" s="2"/>
      <c r="BT295" s="2"/>
      <c r="BU295" s="2"/>
      <c r="BV295" s="2"/>
      <c r="BW295" s="2"/>
      <c r="BX295" s="2"/>
      <c r="BY295" s="2"/>
      <c r="BZ295" s="2"/>
      <c r="CA295" s="2"/>
      <c r="CB295" s="2"/>
      <c r="CC295" s="2"/>
      <c r="CD295" s="2"/>
      <c r="CE295" s="2"/>
      <c r="CF295" s="2"/>
    </row>
    <row r="296" spans="1:84" ht="12.65" customHeight="1" x14ac:dyDescent="0.35">
      <c r="A296" s="295"/>
      <c r="B296" s="295"/>
      <c r="C296" s="303"/>
      <c r="D296" s="295"/>
      <c r="E296" s="295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  <c r="AR296" s="2"/>
      <c r="AS296" s="2"/>
      <c r="AT296" s="2"/>
      <c r="AU296" s="2"/>
      <c r="AV296" s="2"/>
      <c r="AW296" s="2"/>
      <c r="AX296" s="2"/>
      <c r="AY296" s="2"/>
      <c r="AZ296" s="2"/>
      <c r="BA296" s="2"/>
      <c r="BB296" s="2"/>
      <c r="BC296" s="2"/>
      <c r="BD296" s="2"/>
      <c r="BE296" s="2"/>
      <c r="BF296" s="2"/>
      <c r="BG296" s="2"/>
      <c r="BH296" s="2"/>
      <c r="BI296" s="2"/>
      <c r="BJ296" s="2"/>
      <c r="BK296" s="2"/>
      <c r="BL296" s="2"/>
      <c r="BM296" s="2"/>
      <c r="BN296" s="2"/>
      <c r="BO296" s="2"/>
      <c r="BP296" s="2"/>
      <c r="BQ296" s="2"/>
      <c r="BR296" s="2"/>
      <c r="BS296" s="2"/>
      <c r="BT296" s="2"/>
      <c r="BU296" s="2"/>
      <c r="BV296" s="2"/>
      <c r="BW296" s="2"/>
      <c r="BX296" s="2"/>
      <c r="BY296" s="2"/>
      <c r="BZ296" s="2"/>
      <c r="CA296" s="2"/>
      <c r="CB296" s="2"/>
      <c r="CC296" s="2"/>
      <c r="CD296" s="2"/>
      <c r="CE296" s="2"/>
      <c r="CF296" s="2"/>
    </row>
    <row r="297" spans="1:84" ht="12.65" customHeight="1" x14ac:dyDescent="0.35">
      <c r="A297" s="295"/>
      <c r="B297" s="295"/>
      <c r="C297" s="303"/>
      <c r="D297" s="295"/>
      <c r="E297" s="295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  <c r="AR297" s="2"/>
      <c r="AS297" s="2"/>
      <c r="AT297" s="2"/>
      <c r="AU297" s="2"/>
      <c r="AV297" s="2"/>
      <c r="AW297" s="2"/>
      <c r="AX297" s="2"/>
      <c r="AY297" s="2"/>
      <c r="AZ297" s="2"/>
      <c r="BA297" s="2"/>
      <c r="BB297" s="2"/>
      <c r="BC297" s="2"/>
      <c r="BD297" s="2"/>
      <c r="BE297" s="2"/>
      <c r="BF297" s="2"/>
      <c r="BG297" s="2"/>
      <c r="BH297" s="2"/>
      <c r="BI297" s="2"/>
      <c r="BJ297" s="2"/>
      <c r="BK297" s="2"/>
      <c r="BL297" s="2"/>
      <c r="BM297" s="2"/>
      <c r="BN297" s="2"/>
      <c r="BO297" s="2"/>
      <c r="BP297" s="2"/>
      <c r="BQ297" s="2"/>
      <c r="BR297" s="2"/>
      <c r="BS297" s="2"/>
      <c r="BT297" s="2"/>
      <c r="BU297" s="2"/>
      <c r="BV297" s="2"/>
      <c r="BW297" s="2"/>
      <c r="BX297" s="2"/>
      <c r="BY297" s="2"/>
      <c r="BZ297" s="2"/>
      <c r="CA297" s="2"/>
      <c r="CB297" s="2"/>
      <c r="CC297" s="2"/>
      <c r="CD297" s="2"/>
      <c r="CE297" s="2"/>
      <c r="CF297" s="2"/>
    </row>
    <row r="298" spans="1:84" ht="12.65" customHeight="1" x14ac:dyDescent="0.35">
      <c r="A298" s="295"/>
      <c r="B298" s="295"/>
      <c r="C298" s="303"/>
      <c r="D298" s="295"/>
      <c r="E298" s="295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2"/>
      <c r="AS298" s="2"/>
      <c r="AT298" s="2"/>
      <c r="AU298" s="2"/>
      <c r="AV298" s="2"/>
      <c r="AW298" s="2"/>
      <c r="AX298" s="2"/>
      <c r="AY298" s="2"/>
      <c r="AZ298" s="2"/>
      <c r="BA298" s="2"/>
      <c r="BB298" s="2"/>
      <c r="BC298" s="2"/>
      <c r="BD298" s="2"/>
      <c r="BE298" s="2"/>
      <c r="BF298" s="2"/>
      <c r="BG298" s="2"/>
      <c r="BH298" s="2"/>
      <c r="BI298" s="2"/>
      <c r="BJ298" s="2"/>
      <c r="BK298" s="2"/>
      <c r="BL298" s="2"/>
      <c r="BM298" s="2"/>
      <c r="BN298" s="2"/>
      <c r="BO298" s="2"/>
      <c r="BP298" s="2"/>
      <c r="BQ298" s="2"/>
      <c r="BR298" s="2"/>
      <c r="BS298" s="2"/>
      <c r="BT298" s="2"/>
      <c r="BU298" s="2"/>
      <c r="BV298" s="2"/>
      <c r="BW298" s="2"/>
      <c r="BX298" s="2"/>
      <c r="BY298" s="2"/>
      <c r="BZ298" s="2"/>
      <c r="CA298" s="2"/>
      <c r="CB298" s="2"/>
      <c r="CC298" s="2"/>
      <c r="CD298" s="2"/>
      <c r="CE298" s="2"/>
      <c r="CF298" s="2"/>
    </row>
    <row r="299" spans="1:84" ht="12.65" customHeight="1" x14ac:dyDescent="0.35">
      <c r="A299" s="295"/>
      <c r="B299" s="295"/>
      <c r="C299" s="303"/>
      <c r="D299" s="295"/>
      <c r="E299" s="295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  <c r="AS299" s="2"/>
      <c r="AT299" s="2"/>
      <c r="AU299" s="2"/>
      <c r="AV299" s="2"/>
      <c r="AW299" s="2"/>
      <c r="AX299" s="2"/>
      <c r="AY299" s="2"/>
      <c r="AZ299" s="2"/>
      <c r="BA299" s="2"/>
      <c r="BB299" s="2"/>
      <c r="BC299" s="2"/>
      <c r="BD299" s="2"/>
      <c r="BE299" s="2"/>
      <c r="BF299" s="2"/>
      <c r="BG299" s="2"/>
      <c r="BH299" s="2"/>
      <c r="BI299" s="2"/>
      <c r="BJ299" s="2"/>
      <c r="BK299" s="2"/>
      <c r="BL299" s="2"/>
      <c r="BM299" s="2"/>
      <c r="BN299" s="2"/>
      <c r="BO299" s="2"/>
      <c r="BP299" s="2"/>
      <c r="BQ299" s="2"/>
      <c r="BR299" s="2"/>
      <c r="BS299" s="2"/>
      <c r="BT299" s="2"/>
      <c r="BU299" s="2"/>
      <c r="BV299" s="2"/>
      <c r="BW299" s="2"/>
      <c r="BX299" s="2"/>
      <c r="BY299" s="2"/>
      <c r="BZ299" s="2"/>
      <c r="CA299" s="2"/>
      <c r="CB299" s="2"/>
      <c r="CC299" s="2"/>
      <c r="CD299" s="2"/>
      <c r="CE299" s="2"/>
      <c r="CF299" s="2"/>
    </row>
    <row r="300" spans="1:84" ht="20.25" customHeight="1" x14ac:dyDescent="0.35">
      <c r="A300" s="295"/>
      <c r="B300" s="295"/>
      <c r="C300" s="303"/>
      <c r="D300" s="295"/>
      <c r="E300" s="295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  <c r="AN300" s="2"/>
      <c r="AO300" s="2"/>
      <c r="AP300" s="2"/>
      <c r="AQ300" s="2"/>
      <c r="AR300" s="2"/>
      <c r="AS300" s="2"/>
      <c r="AT300" s="2"/>
      <c r="AU300" s="2"/>
      <c r="AV300" s="2"/>
      <c r="AW300" s="2"/>
      <c r="AX300" s="2"/>
      <c r="AY300" s="2"/>
      <c r="AZ300" s="2"/>
      <c r="BA300" s="2"/>
      <c r="BB300" s="2"/>
      <c r="BC300" s="2"/>
      <c r="BD300" s="2"/>
      <c r="BE300" s="2"/>
      <c r="BF300" s="2"/>
      <c r="BG300" s="2"/>
      <c r="BH300" s="2"/>
      <c r="BI300" s="2"/>
      <c r="BJ300" s="2"/>
      <c r="BK300" s="2"/>
      <c r="BL300" s="2"/>
      <c r="BM300" s="2"/>
      <c r="BN300" s="2"/>
      <c r="BO300" s="2"/>
      <c r="BP300" s="2"/>
      <c r="BQ300" s="2"/>
      <c r="BR300" s="2"/>
      <c r="BS300" s="2"/>
      <c r="BT300" s="2"/>
      <c r="BU300" s="2"/>
      <c r="BV300" s="2"/>
      <c r="BW300" s="2"/>
      <c r="BX300" s="2"/>
      <c r="BY300" s="2"/>
      <c r="BZ300" s="2"/>
      <c r="CA300" s="2"/>
      <c r="CB300" s="2"/>
      <c r="CC300" s="2"/>
      <c r="CD300" s="2"/>
      <c r="CE300" s="2"/>
      <c r="CF300" s="2"/>
    </row>
    <row r="301" spans="1:84" ht="12.65" customHeight="1" x14ac:dyDescent="0.35">
      <c r="A301" s="295"/>
      <c r="B301" s="295"/>
      <c r="C301" s="303"/>
      <c r="D301" s="295"/>
      <c r="E301" s="295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  <c r="AO301" s="2"/>
      <c r="AP301" s="2"/>
      <c r="AQ301" s="2"/>
      <c r="AR301" s="2"/>
      <c r="AS301" s="2"/>
      <c r="AT301" s="2"/>
      <c r="AU301" s="2"/>
      <c r="AV301" s="2"/>
      <c r="AW301" s="2"/>
      <c r="AX301" s="2"/>
      <c r="AY301" s="2"/>
      <c r="AZ301" s="2"/>
      <c r="BA301" s="2"/>
      <c r="BB301" s="2"/>
      <c r="BC301" s="2"/>
      <c r="BD301" s="2"/>
      <c r="BE301" s="2"/>
      <c r="BF301" s="2"/>
      <c r="BG301" s="2"/>
      <c r="BH301" s="2"/>
      <c r="BI301" s="2"/>
      <c r="BJ301" s="2"/>
      <c r="BK301" s="2"/>
      <c r="BL301" s="2"/>
      <c r="BM301" s="2"/>
      <c r="BN301" s="2"/>
      <c r="BO301" s="2"/>
      <c r="BP301" s="2"/>
      <c r="BQ301" s="2"/>
      <c r="BR301" s="2"/>
      <c r="BS301" s="2"/>
      <c r="BT301" s="2"/>
      <c r="BU301" s="2"/>
      <c r="BV301" s="2"/>
      <c r="BW301" s="2"/>
      <c r="BX301" s="2"/>
      <c r="BY301" s="2"/>
      <c r="BZ301" s="2"/>
      <c r="CA301" s="2"/>
      <c r="CB301" s="2"/>
      <c r="CC301" s="2"/>
      <c r="CD301" s="2"/>
      <c r="CE301" s="2"/>
      <c r="CF301" s="2"/>
    </row>
    <row r="302" spans="1:84" ht="14.25" customHeight="1" x14ac:dyDescent="0.35">
      <c r="A302" s="312" t="s">
        <v>394</v>
      </c>
      <c r="B302" s="312"/>
      <c r="C302" s="312"/>
      <c r="D302" s="312"/>
      <c r="E302" s="31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  <c r="AN302" s="2"/>
      <c r="AO302" s="2"/>
      <c r="AP302" s="2"/>
      <c r="AQ302" s="2"/>
      <c r="AR302" s="2"/>
      <c r="AS302" s="2"/>
      <c r="AT302" s="2"/>
      <c r="AU302" s="2"/>
      <c r="AV302" s="2"/>
      <c r="AW302" s="2"/>
      <c r="AX302" s="2"/>
      <c r="AY302" s="2"/>
      <c r="AZ302" s="2"/>
      <c r="BA302" s="2"/>
      <c r="BB302" s="2"/>
      <c r="BC302" s="2"/>
      <c r="BD302" s="2"/>
      <c r="BE302" s="2"/>
      <c r="BF302" s="2"/>
      <c r="BG302" s="2"/>
      <c r="BH302" s="2"/>
      <c r="BI302" s="2"/>
      <c r="BJ302" s="2"/>
      <c r="BK302" s="2"/>
      <c r="BL302" s="2"/>
      <c r="BM302" s="2"/>
      <c r="BN302" s="2"/>
      <c r="BO302" s="2"/>
      <c r="BP302" s="2"/>
      <c r="BQ302" s="2"/>
      <c r="BR302" s="2"/>
      <c r="BS302" s="2"/>
      <c r="BT302" s="2"/>
      <c r="BU302" s="2"/>
      <c r="BV302" s="2"/>
      <c r="BW302" s="2"/>
      <c r="BX302" s="2"/>
      <c r="BY302" s="2"/>
      <c r="BZ302" s="2"/>
      <c r="CA302" s="2"/>
      <c r="CB302" s="2"/>
      <c r="CC302" s="2"/>
      <c r="CD302" s="2"/>
      <c r="CE302" s="2"/>
      <c r="CF302" s="2"/>
    </row>
    <row r="303" spans="1:84" ht="12.65" customHeight="1" x14ac:dyDescent="0.35">
      <c r="A303" s="317" t="s">
        <v>395</v>
      </c>
      <c r="B303" s="317"/>
      <c r="C303" s="317"/>
      <c r="D303" s="317"/>
      <c r="E303" s="317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  <c r="AP303" s="2"/>
      <c r="AQ303" s="2"/>
      <c r="AR303" s="2"/>
      <c r="AS303" s="2"/>
      <c r="AT303" s="2"/>
      <c r="AU303" s="2"/>
      <c r="AV303" s="2"/>
      <c r="AW303" s="2"/>
      <c r="AX303" s="2"/>
      <c r="AY303" s="2"/>
      <c r="AZ303" s="2"/>
      <c r="BA303" s="2"/>
      <c r="BB303" s="2"/>
      <c r="BC303" s="2"/>
      <c r="BD303" s="2"/>
      <c r="BE303" s="2"/>
      <c r="BF303" s="2"/>
      <c r="BG303" s="2"/>
      <c r="BH303" s="2"/>
      <c r="BI303" s="2"/>
      <c r="BJ303" s="2"/>
      <c r="BK303" s="2"/>
      <c r="BL303" s="2"/>
      <c r="BM303" s="2"/>
      <c r="BN303" s="2"/>
      <c r="BO303" s="2"/>
      <c r="BP303" s="2"/>
      <c r="BQ303" s="2"/>
      <c r="BR303" s="2"/>
      <c r="BS303" s="2"/>
      <c r="BT303" s="2"/>
      <c r="BU303" s="2"/>
      <c r="BV303" s="2"/>
      <c r="BW303" s="2"/>
      <c r="BX303" s="2"/>
      <c r="BY303" s="2"/>
      <c r="BZ303" s="2"/>
      <c r="CA303" s="2"/>
      <c r="CB303" s="2"/>
      <c r="CC303" s="2"/>
      <c r="CD303" s="2"/>
      <c r="CE303" s="2"/>
      <c r="CF303" s="2"/>
    </row>
    <row r="304" spans="1:84" ht="12.65" customHeight="1" x14ac:dyDescent="0.35">
      <c r="A304" s="295" t="s">
        <v>396</v>
      </c>
      <c r="B304" s="313" t="s">
        <v>256</v>
      </c>
      <c r="C304" s="189">
        <v>0</v>
      </c>
      <c r="D304" s="295"/>
      <c r="E304" s="295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  <c r="AQ304" s="2"/>
      <c r="AR304" s="2"/>
      <c r="AS304" s="2"/>
      <c r="AT304" s="2"/>
      <c r="AU304" s="2"/>
      <c r="AV304" s="2"/>
      <c r="AW304" s="2"/>
      <c r="AX304" s="2"/>
      <c r="AY304" s="2"/>
      <c r="AZ304" s="2"/>
      <c r="BA304" s="2"/>
      <c r="BB304" s="2"/>
      <c r="BC304" s="2"/>
      <c r="BD304" s="2"/>
      <c r="BE304" s="2"/>
      <c r="BF304" s="2"/>
      <c r="BG304" s="2"/>
      <c r="BH304" s="2"/>
      <c r="BI304" s="2"/>
      <c r="BJ304" s="2"/>
      <c r="BK304" s="2"/>
      <c r="BL304" s="2"/>
      <c r="BM304" s="2"/>
      <c r="BN304" s="2"/>
      <c r="BO304" s="2"/>
      <c r="BP304" s="2"/>
      <c r="BQ304" s="2"/>
      <c r="BR304" s="2"/>
      <c r="BS304" s="2"/>
      <c r="BT304" s="2"/>
      <c r="BU304" s="2"/>
      <c r="BV304" s="2"/>
      <c r="BW304" s="2"/>
      <c r="BX304" s="2"/>
      <c r="BY304" s="2"/>
      <c r="BZ304" s="2"/>
      <c r="CA304" s="2"/>
      <c r="CB304" s="2"/>
      <c r="CC304" s="2"/>
      <c r="CD304" s="2"/>
      <c r="CE304" s="2"/>
      <c r="CF304" s="2"/>
    </row>
    <row r="305" spans="1:84" ht="12.65" customHeight="1" x14ac:dyDescent="0.35">
      <c r="A305" s="295" t="s">
        <v>397</v>
      </c>
      <c r="B305" s="313" t="s">
        <v>256</v>
      </c>
      <c r="C305" s="189">
        <v>31037724</v>
      </c>
      <c r="D305" s="295"/>
      <c r="E305" s="295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2"/>
      <c r="AT305" s="2"/>
      <c r="AU305" s="2"/>
      <c r="AV305" s="2"/>
      <c r="AW305" s="2"/>
      <c r="AX305" s="2"/>
      <c r="AY305" s="2"/>
      <c r="AZ305" s="2"/>
      <c r="BA305" s="2"/>
      <c r="BB305" s="2"/>
      <c r="BC305" s="2"/>
      <c r="BD305" s="2"/>
      <c r="BE305" s="2"/>
      <c r="BF305" s="2"/>
      <c r="BG305" s="2"/>
      <c r="BH305" s="2"/>
      <c r="BI305" s="2"/>
      <c r="BJ305" s="2"/>
      <c r="BK305" s="2"/>
      <c r="BL305" s="2"/>
      <c r="BM305" s="2"/>
      <c r="BN305" s="2"/>
      <c r="BO305" s="2"/>
      <c r="BP305" s="2"/>
      <c r="BQ305" s="2"/>
      <c r="BR305" s="2"/>
      <c r="BS305" s="2"/>
      <c r="BT305" s="2"/>
      <c r="BU305" s="2"/>
      <c r="BV305" s="2"/>
      <c r="BW305" s="2"/>
      <c r="BX305" s="2"/>
      <c r="BY305" s="2"/>
      <c r="BZ305" s="2"/>
      <c r="CA305" s="2"/>
      <c r="CB305" s="2"/>
      <c r="CC305" s="2"/>
      <c r="CD305" s="2"/>
      <c r="CE305" s="2"/>
      <c r="CF305" s="2"/>
    </row>
    <row r="306" spans="1:84" ht="12.65" customHeight="1" x14ac:dyDescent="0.35">
      <c r="A306" s="295" t="s">
        <v>398</v>
      </c>
      <c r="B306" s="313" t="s">
        <v>256</v>
      </c>
      <c r="C306" s="189">
        <v>46799779</v>
      </c>
      <c r="D306" s="295"/>
      <c r="E306" s="295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  <c r="AP306" s="2"/>
      <c r="AQ306" s="2"/>
      <c r="AR306" s="2"/>
      <c r="AS306" s="2"/>
      <c r="AT306" s="2"/>
      <c r="AU306" s="2"/>
      <c r="AV306" s="2"/>
      <c r="AW306" s="2"/>
      <c r="AX306" s="2"/>
      <c r="AY306" s="2"/>
      <c r="AZ306" s="2"/>
      <c r="BA306" s="2"/>
      <c r="BB306" s="2"/>
      <c r="BC306" s="2"/>
      <c r="BD306" s="2"/>
      <c r="BE306" s="2"/>
      <c r="BF306" s="2"/>
      <c r="BG306" s="2"/>
      <c r="BH306" s="2"/>
      <c r="BI306" s="2"/>
      <c r="BJ306" s="2"/>
      <c r="BK306" s="2"/>
      <c r="BL306" s="2"/>
      <c r="BM306" s="2"/>
      <c r="BN306" s="2"/>
      <c r="BO306" s="2"/>
      <c r="BP306" s="2"/>
      <c r="BQ306" s="2"/>
      <c r="BR306" s="2"/>
      <c r="BS306" s="2"/>
      <c r="BT306" s="2"/>
      <c r="BU306" s="2"/>
      <c r="BV306" s="2"/>
      <c r="BW306" s="2"/>
      <c r="BX306" s="2"/>
      <c r="BY306" s="2"/>
      <c r="BZ306" s="2"/>
      <c r="CA306" s="2"/>
      <c r="CB306" s="2"/>
      <c r="CC306" s="2"/>
      <c r="CD306" s="2"/>
      <c r="CE306" s="2"/>
      <c r="CF306" s="2"/>
    </row>
    <row r="307" spans="1:84" ht="12.65" customHeight="1" x14ac:dyDescent="0.35">
      <c r="A307" s="295" t="s">
        <v>399</v>
      </c>
      <c r="B307" s="313" t="s">
        <v>256</v>
      </c>
      <c r="C307" s="189">
        <v>802142</v>
      </c>
      <c r="D307" s="295"/>
      <c r="E307" s="295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  <c r="AP307" s="2"/>
      <c r="AQ307" s="2"/>
      <c r="AR307" s="2"/>
      <c r="AS307" s="2"/>
      <c r="AT307" s="2"/>
      <c r="AU307" s="2"/>
      <c r="AV307" s="2"/>
      <c r="AW307" s="2"/>
      <c r="AX307" s="2"/>
      <c r="AY307" s="2"/>
      <c r="AZ307" s="2"/>
      <c r="BA307" s="2"/>
      <c r="BB307" s="2"/>
      <c r="BC307" s="2"/>
      <c r="BD307" s="2"/>
      <c r="BE307" s="2"/>
      <c r="BF307" s="2"/>
      <c r="BG307" s="2"/>
      <c r="BH307" s="2"/>
      <c r="BI307" s="2"/>
      <c r="BJ307" s="2"/>
      <c r="BK307" s="2"/>
      <c r="BL307" s="2"/>
      <c r="BM307" s="2"/>
      <c r="BN307" s="2"/>
      <c r="BO307" s="2"/>
      <c r="BP307" s="2"/>
      <c r="BQ307" s="2"/>
      <c r="BR307" s="2"/>
      <c r="BS307" s="2"/>
      <c r="BT307" s="2"/>
      <c r="BU307" s="2"/>
      <c r="BV307" s="2"/>
      <c r="BW307" s="2"/>
      <c r="BX307" s="2"/>
      <c r="BY307" s="2"/>
      <c r="BZ307" s="2"/>
      <c r="CA307" s="2"/>
      <c r="CB307" s="2"/>
      <c r="CC307" s="2"/>
      <c r="CD307" s="2"/>
      <c r="CE307" s="2"/>
      <c r="CF307" s="2"/>
    </row>
    <row r="308" spans="1:84" ht="12.65" customHeight="1" x14ac:dyDescent="0.35">
      <c r="A308" s="295" t="s">
        <v>400</v>
      </c>
      <c r="B308" s="313" t="s">
        <v>256</v>
      </c>
      <c r="C308" s="189">
        <v>0</v>
      </c>
      <c r="D308" s="295"/>
      <c r="E308" s="295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  <c r="AN308" s="2"/>
      <c r="AO308" s="2"/>
      <c r="AP308" s="2"/>
      <c r="AQ308" s="2"/>
      <c r="AR308" s="2"/>
      <c r="AS308" s="2"/>
      <c r="AT308" s="2"/>
      <c r="AU308" s="2"/>
      <c r="AV308" s="2"/>
      <c r="AW308" s="2"/>
      <c r="AX308" s="2"/>
      <c r="AY308" s="2"/>
      <c r="AZ308" s="2"/>
      <c r="BA308" s="2"/>
      <c r="BB308" s="2"/>
      <c r="BC308" s="2"/>
      <c r="BD308" s="2"/>
      <c r="BE308" s="2"/>
      <c r="BF308" s="2"/>
      <c r="BG308" s="2"/>
      <c r="BH308" s="2"/>
      <c r="BI308" s="2"/>
      <c r="BJ308" s="2"/>
      <c r="BK308" s="2"/>
      <c r="BL308" s="2"/>
      <c r="BM308" s="2"/>
      <c r="BN308" s="2"/>
      <c r="BO308" s="2"/>
      <c r="BP308" s="2"/>
      <c r="BQ308" s="2"/>
      <c r="BR308" s="2"/>
      <c r="BS308" s="2"/>
      <c r="BT308" s="2"/>
      <c r="BU308" s="2"/>
      <c r="BV308" s="2"/>
      <c r="BW308" s="2"/>
      <c r="BX308" s="2"/>
      <c r="BY308" s="2"/>
      <c r="BZ308" s="2"/>
      <c r="CA308" s="2"/>
      <c r="CB308" s="2"/>
      <c r="CC308" s="2"/>
      <c r="CD308" s="2"/>
      <c r="CE308" s="2"/>
      <c r="CF308" s="2"/>
    </row>
    <row r="309" spans="1:84" ht="12.65" customHeight="1" x14ac:dyDescent="0.35">
      <c r="A309" s="295" t="s">
        <v>1241</v>
      </c>
      <c r="B309" s="313" t="s">
        <v>256</v>
      </c>
      <c r="C309" s="189">
        <v>6069564</v>
      </c>
      <c r="D309" s="295"/>
      <c r="E309" s="295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  <c r="AN309" s="2"/>
      <c r="AO309" s="2"/>
      <c r="AP309" s="2"/>
      <c r="AQ309" s="2"/>
      <c r="AR309" s="2"/>
      <c r="AS309" s="2"/>
      <c r="AT309" s="2"/>
      <c r="AU309" s="2"/>
      <c r="AV309" s="2"/>
      <c r="AW309" s="2"/>
      <c r="AX309" s="2"/>
      <c r="AY309" s="2"/>
      <c r="AZ309" s="2"/>
      <c r="BA309" s="2"/>
      <c r="BB309" s="2"/>
      <c r="BC309" s="2"/>
      <c r="BD309" s="2"/>
      <c r="BE309" s="2"/>
      <c r="BF309" s="2"/>
      <c r="BG309" s="2"/>
      <c r="BH309" s="2"/>
      <c r="BI309" s="2"/>
      <c r="BJ309" s="2"/>
      <c r="BK309" s="2"/>
      <c r="BL309" s="2"/>
      <c r="BM309" s="2"/>
      <c r="BN309" s="2"/>
      <c r="BO309" s="2"/>
      <c r="BP309" s="2"/>
      <c r="BQ309" s="2"/>
      <c r="BR309" s="2"/>
      <c r="BS309" s="2"/>
      <c r="BT309" s="2"/>
      <c r="BU309" s="2"/>
      <c r="BV309" s="2"/>
      <c r="BW309" s="2"/>
      <c r="BX309" s="2"/>
      <c r="BY309" s="2"/>
      <c r="BZ309" s="2"/>
      <c r="CA309" s="2"/>
      <c r="CB309" s="2"/>
      <c r="CC309" s="2"/>
      <c r="CD309" s="2"/>
      <c r="CE309" s="2"/>
      <c r="CF309" s="2"/>
    </row>
    <row r="310" spans="1:84" ht="12.65" customHeight="1" x14ac:dyDescent="0.35">
      <c r="A310" s="295" t="s">
        <v>401</v>
      </c>
      <c r="B310" s="313" t="s">
        <v>256</v>
      </c>
      <c r="C310" s="189">
        <v>0</v>
      </c>
      <c r="D310" s="295"/>
      <c r="E310" s="295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2"/>
      <c r="AT310" s="2"/>
      <c r="AU310" s="2"/>
      <c r="AV310" s="2"/>
      <c r="AW310" s="2"/>
      <c r="AX310" s="2"/>
      <c r="AY310" s="2"/>
      <c r="AZ310" s="2"/>
      <c r="BA310" s="2"/>
      <c r="BB310" s="2"/>
      <c r="BC310" s="2"/>
      <c r="BD310" s="2"/>
      <c r="BE310" s="2"/>
      <c r="BF310" s="2"/>
      <c r="BG310" s="2"/>
      <c r="BH310" s="2"/>
      <c r="BI310" s="2"/>
      <c r="BJ310" s="2"/>
      <c r="BK310" s="2"/>
      <c r="BL310" s="2"/>
      <c r="BM310" s="2"/>
      <c r="BN310" s="2"/>
      <c r="BO310" s="2"/>
      <c r="BP310" s="2"/>
      <c r="BQ310" s="2"/>
      <c r="BR310" s="2"/>
      <c r="BS310" s="2"/>
      <c r="BT310" s="2"/>
      <c r="BU310" s="2"/>
      <c r="BV310" s="2"/>
      <c r="BW310" s="2"/>
      <c r="BX310" s="2"/>
      <c r="BY310" s="2"/>
      <c r="BZ310" s="2"/>
      <c r="CA310" s="2"/>
      <c r="CB310" s="2"/>
      <c r="CC310" s="2"/>
      <c r="CD310" s="2"/>
      <c r="CE310" s="2"/>
      <c r="CF310" s="2"/>
    </row>
    <row r="311" spans="1:84" ht="12.65" customHeight="1" x14ac:dyDescent="0.35">
      <c r="A311" s="295" t="s">
        <v>402</v>
      </c>
      <c r="B311" s="313" t="s">
        <v>256</v>
      </c>
      <c r="C311" s="189">
        <v>0</v>
      </c>
      <c r="D311" s="295"/>
      <c r="E311" s="295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  <c r="AS311" s="2"/>
      <c r="AT311" s="2"/>
      <c r="AU311" s="2"/>
      <c r="AV311" s="2"/>
      <c r="AW311" s="2"/>
      <c r="AX311" s="2"/>
      <c r="AY311" s="2"/>
      <c r="AZ311" s="2"/>
      <c r="BA311" s="2"/>
      <c r="BB311" s="2"/>
      <c r="BC311" s="2"/>
      <c r="BD311" s="2"/>
      <c r="BE311" s="2"/>
      <c r="BF311" s="2"/>
      <c r="BG311" s="2"/>
      <c r="BH311" s="2"/>
      <c r="BI311" s="2"/>
      <c r="BJ311" s="2"/>
      <c r="BK311" s="2"/>
      <c r="BL311" s="2"/>
      <c r="BM311" s="2"/>
      <c r="BN311" s="2"/>
      <c r="BO311" s="2"/>
      <c r="BP311" s="2"/>
      <c r="BQ311" s="2"/>
      <c r="BR311" s="2"/>
      <c r="BS311" s="2"/>
      <c r="BT311" s="2"/>
      <c r="BU311" s="2"/>
      <c r="BV311" s="2"/>
      <c r="BW311" s="2"/>
      <c r="BX311" s="2"/>
      <c r="BY311" s="2"/>
      <c r="BZ311" s="2"/>
      <c r="CA311" s="2"/>
      <c r="CB311" s="2"/>
      <c r="CC311" s="2"/>
      <c r="CD311" s="2"/>
      <c r="CE311" s="2"/>
      <c r="CF311" s="2"/>
    </row>
    <row r="312" spans="1:84" ht="12.65" customHeight="1" x14ac:dyDescent="0.35">
      <c r="A312" s="295" t="s">
        <v>403</v>
      </c>
      <c r="B312" s="313" t="s">
        <v>256</v>
      </c>
      <c r="C312" s="189">
        <v>1222842</v>
      </c>
      <c r="D312" s="295"/>
      <c r="E312" s="295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  <c r="AR312" s="2"/>
      <c r="AS312" s="2"/>
      <c r="AT312" s="2"/>
      <c r="AU312" s="2"/>
      <c r="AV312" s="2"/>
      <c r="AW312" s="2"/>
      <c r="AX312" s="2"/>
      <c r="AY312" s="2"/>
      <c r="AZ312" s="2"/>
      <c r="BA312" s="2"/>
      <c r="BB312" s="2"/>
      <c r="BC312" s="2"/>
      <c r="BD312" s="2"/>
      <c r="BE312" s="2"/>
      <c r="BF312" s="2"/>
      <c r="BG312" s="2"/>
      <c r="BH312" s="2"/>
      <c r="BI312" s="2"/>
      <c r="BJ312" s="2"/>
      <c r="BK312" s="2"/>
      <c r="BL312" s="2"/>
      <c r="BM312" s="2"/>
      <c r="BN312" s="2"/>
      <c r="BO312" s="2"/>
      <c r="BP312" s="2"/>
      <c r="BQ312" s="2"/>
      <c r="BR312" s="2"/>
      <c r="BS312" s="2"/>
      <c r="BT312" s="2"/>
      <c r="BU312" s="2"/>
      <c r="BV312" s="2"/>
      <c r="BW312" s="2"/>
      <c r="BX312" s="2"/>
      <c r="BY312" s="2"/>
      <c r="BZ312" s="2"/>
      <c r="CA312" s="2"/>
      <c r="CB312" s="2"/>
      <c r="CC312" s="2"/>
      <c r="CD312" s="2"/>
      <c r="CE312" s="2"/>
      <c r="CF312" s="2"/>
    </row>
    <row r="313" spans="1:84" ht="12.65" customHeight="1" x14ac:dyDescent="0.35">
      <c r="A313" s="295" t="s">
        <v>404</v>
      </c>
      <c r="B313" s="313" t="s">
        <v>256</v>
      </c>
      <c r="C313" s="189">
        <v>14470232</v>
      </c>
      <c r="D313" s="295"/>
      <c r="E313" s="295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  <c r="AQ313" s="2"/>
      <c r="AR313" s="2"/>
      <c r="AS313" s="2"/>
      <c r="AT313" s="2"/>
      <c r="AU313" s="2"/>
      <c r="AV313" s="2"/>
      <c r="AW313" s="2"/>
      <c r="AX313" s="2"/>
      <c r="AY313" s="2"/>
      <c r="AZ313" s="2"/>
      <c r="BA313" s="2"/>
      <c r="BB313" s="2"/>
      <c r="BC313" s="2"/>
      <c r="BD313" s="2"/>
      <c r="BE313" s="2"/>
      <c r="BF313" s="2"/>
      <c r="BG313" s="2"/>
      <c r="BH313" s="2"/>
      <c r="BI313" s="2"/>
      <c r="BJ313" s="2"/>
      <c r="BK313" s="2"/>
      <c r="BL313" s="2"/>
      <c r="BM313" s="2"/>
      <c r="BN313" s="2"/>
      <c r="BO313" s="2"/>
      <c r="BP313" s="2"/>
      <c r="BQ313" s="2"/>
      <c r="BR313" s="2"/>
      <c r="BS313" s="2"/>
      <c r="BT313" s="2"/>
      <c r="BU313" s="2"/>
      <c r="BV313" s="2"/>
      <c r="BW313" s="2"/>
      <c r="BX313" s="2"/>
      <c r="BY313" s="2"/>
      <c r="BZ313" s="2"/>
      <c r="CA313" s="2"/>
      <c r="CB313" s="2"/>
      <c r="CC313" s="2"/>
      <c r="CD313" s="2"/>
      <c r="CE313" s="2"/>
      <c r="CF313" s="2"/>
    </row>
    <row r="314" spans="1:84" ht="12.65" customHeight="1" x14ac:dyDescent="0.35">
      <c r="A314" s="295" t="s">
        <v>405</v>
      </c>
      <c r="B314" s="295"/>
      <c r="C314" s="303"/>
      <c r="D314" s="295">
        <f>SUM(C304:C313)</f>
        <v>100402283</v>
      </c>
      <c r="E314" s="295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  <c r="AN314" s="2"/>
      <c r="AO314" s="2"/>
      <c r="AP314" s="2"/>
      <c r="AQ314" s="2"/>
      <c r="AR314" s="2"/>
      <c r="AS314" s="2"/>
      <c r="AT314" s="2"/>
      <c r="AU314" s="2"/>
      <c r="AV314" s="2"/>
      <c r="AW314" s="2"/>
      <c r="AX314" s="2"/>
      <c r="AY314" s="2"/>
      <c r="AZ314" s="2"/>
      <c r="BA314" s="2"/>
      <c r="BB314" s="2"/>
      <c r="BC314" s="2"/>
      <c r="BD314" s="2"/>
      <c r="BE314" s="2"/>
      <c r="BF314" s="2"/>
      <c r="BG314" s="2"/>
      <c r="BH314" s="2"/>
      <c r="BI314" s="2"/>
      <c r="BJ314" s="2"/>
      <c r="BK314" s="2"/>
      <c r="BL314" s="2"/>
      <c r="BM314" s="2"/>
      <c r="BN314" s="2"/>
      <c r="BO314" s="2"/>
      <c r="BP314" s="2"/>
      <c r="BQ314" s="2"/>
      <c r="BR314" s="2"/>
      <c r="BS314" s="2"/>
      <c r="BT314" s="2"/>
      <c r="BU314" s="2"/>
      <c r="BV314" s="2"/>
      <c r="BW314" s="2"/>
      <c r="BX314" s="2"/>
      <c r="BY314" s="2"/>
      <c r="BZ314" s="2"/>
      <c r="CA314" s="2"/>
      <c r="CB314" s="2"/>
      <c r="CC314" s="2"/>
      <c r="CD314" s="2"/>
      <c r="CE314" s="2"/>
      <c r="CF314" s="2"/>
    </row>
    <row r="315" spans="1:84" ht="12.65" customHeight="1" x14ac:dyDescent="0.35">
      <c r="A315" s="317" t="s">
        <v>406</v>
      </c>
      <c r="B315" s="317"/>
      <c r="C315" s="317"/>
      <c r="D315" s="317"/>
      <c r="E315" s="317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  <c r="AN315" s="2"/>
      <c r="AO315" s="2"/>
      <c r="AP315" s="2"/>
      <c r="AQ315" s="2"/>
      <c r="AR315" s="2"/>
      <c r="AS315" s="2"/>
      <c r="AT315" s="2"/>
      <c r="AU315" s="2"/>
      <c r="AV315" s="2"/>
      <c r="AW315" s="2"/>
      <c r="AX315" s="2"/>
      <c r="AY315" s="2"/>
      <c r="AZ315" s="2"/>
      <c r="BA315" s="2"/>
      <c r="BB315" s="2"/>
      <c r="BC315" s="2"/>
      <c r="BD315" s="2"/>
      <c r="BE315" s="2"/>
      <c r="BF315" s="2"/>
      <c r="BG315" s="2"/>
      <c r="BH315" s="2"/>
      <c r="BI315" s="2"/>
      <c r="BJ315" s="2"/>
      <c r="BK315" s="2"/>
      <c r="BL315" s="2"/>
      <c r="BM315" s="2"/>
      <c r="BN315" s="2"/>
      <c r="BO315" s="2"/>
      <c r="BP315" s="2"/>
      <c r="BQ315" s="2"/>
      <c r="BR315" s="2"/>
      <c r="BS315" s="2"/>
      <c r="BT315" s="2"/>
      <c r="BU315" s="2"/>
      <c r="BV315" s="2"/>
      <c r="BW315" s="2"/>
      <c r="BX315" s="2"/>
      <c r="BY315" s="2"/>
      <c r="BZ315" s="2"/>
      <c r="CA315" s="2"/>
      <c r="CB315" s="2"/>
      <c r="CC315" s="2"/>
      <c r="CD315" s="2"/>
      <c r="CE315" s="2"/>
      <c r="CF315" s="2"/>
    </row>
    <row r="316" spans="1:84" ht="12.65" customHeight="1" x14ac:dyDescent="0.35">
      <c r="A316" s="295" t="s">
        <v>407</v>
      </c>
      <c r="B316" s="313" t="s">
        <v>256</v>
      </c>
      <c r="C316" s="189">
        <v>0</v>
      </c>
      <c r="D316" s="295"/>
      <c r="E316" s="295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  <c r="AN316" s="2"/>
      <c r="AO316" s="2"/>
      <c r="AP316" s="2"/>
      <c r="AQ316" s="2"/>
      <c r="AR316" s="2"/>
      <c r="AS316" s="2"/>
      <c r="AT316" s="2"/>
      <c r="AU316" s="2"/>
      <c r="AV316" s="2"/>
      <c r="AW316" s="2"/>
      <c r="AX316" s="2"/>
      <c r="AY316" s="2"/>
      <c r="AZ316" s="2"/>
      <c r="BA316" s="2"/>
      <c r="BB316" s="2"/>
      <c r="BC316" s="2"/>
      <c r="BD316" s="2"/>
      <c r="BE316" s="2"/>
      <c r="BF316" s="2"/>
      <c r="BG316" s="2"/>
      <c r="BH316" s="2"/>
      <c r="BI316" s="2"/>
      <c r="BJ316" s="2"/>
      <c r="BK316" s="2"/>
      <c r="BL316" s="2"/>
      <c r="BM316" s="2"/>
      <c r="BN316" s="2"/>
      <c r="BO316" s="2"/>
      <c r="BP316" s="2"/>
      <c r="BQ316" s="2"/>
      <c r="BR316" s="2"/>
      <c r="BS316" s="2"/>
      <c r="BT316" s="2"/>
      <c r="BU316" s="2"/>
      <c r="BV316" s="2"/>
      <c r="BW316" s="2"/>
      <c r="BX316" s="2"/>
      <c r="BY316" s="2"/>
      <c r="BZ316" s="2"/>
      <c r="CA316" s="2"/>
      <c r="CB316" s="2"/>
      <c r="CC316" s="2"/>
      <c r="CD316" s="2"/>
      <c r="CE316" s="2"/>
      <c r="CF316" s="2"/>
    </row>
    <row r="317" spans="1:84" ht="12.65" customHeight="1" x14ac:dyDescent="0.35">
      <c r="A317" s="295" t="s">
        <v>408</v>
      </c>
      <c r="B317" s="313" t="s">
        <v>256</v>
      </c>
      <c r="C317" s="189">
        <v>14310623</v>
      </c>
      <c r="D317" s="295"/>
      <c r="E317" s="295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  <c r="AN317" s="2"/>
      <c r="AO317" s="2"/>
      <c r="AP317" s="2"/>
      <c r="AQ317" s="2"/>
      <c r="AR317" s="2"/>
      <c r="AS317" s="2"/>
      <c r="AT317" s="2"/>
      <c r="AU317" s="2"/>
      <c r="AV317" s="2"/>
      <c r="AW317" s="2"/>
      <c r="AX317" s="2"/>
      <c r="AY317" s="2"/>
      <c r="AZ317" s="2"/>
      <c r="BA317" s="2"/>
      <c r="BB317" s="2"/>
      <c r="BC317" s="2"/>
      <c r="BD317" s="2"/>
      <c r="BE317" s="2"/>
      <c r="BF317" s="2"/>
      <c r="BG317" s="2"/>
      <c r="BH317" s="2"/>
      <c r="BI317" s="2"/>
      <c r="BJ317" s="2"/>
      <c r="BK317" s="2"/>
      <c r="BL317" s="2"/>
      <c r="BM317" s="2"/>
      <c r="BN317" s="2"/>
      <c r="BO317" s="2"/>
      <c r="BP317" s="2"/>
      <c r="BQ317" s="2"/>
      <c r="BR317" s="2"/>
      <c r="BS317" s="2"/>
      <c r="BT317" s="2"/>
      <c r="BU317" s="2"/>
      <c r="BV317" s="2"/>
      <c r="BW317" s="2"/>
      <c r="BX317" s="2"/>
      <c r="BY317" s="2"/>
      <c r="BZ317" s="2"/>
      <c r="CA317" s="2"/>
      <c r="CB317" s="2"/>
      <c r="CC317" s="2"/>
      <c r="CD317" s="2"/>
      <c r="CE317" s="2"/>
      <c r="CF317" s="2"/>
    </row>
    <row r="318" spans="1:84" ht="12.65" customHeight="1" x14ac:dyDescent="0.35">
      <c r="A318" s="295" t="s">
        <v>409</v>
      </c>
      <c r="B318" s="313" t="s">
        <v>256</v>
      </c>
      <c r="C318" s="189">
        <v>384874</v>
      </c>
      <c r="D318" s="295"/>
      <c r="E318" s="295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  <c r="AN318" s="2"/>
      <c r="AO318" s="2"/>
      <c r="AP318" s="2"/>
      <c r="AQ318" s="2"/>
      <c r="AR318" s="2"/>
      <c r="AS318" s="2"/>
      <c r="AT318" s="2"/>
      <c r="AU318" s="2"/>
      <c r="AV318" s="2"/>
      <c r="AW318" s="2"/>
      <c r="AX318" s="2"/>
      <c r="AY318" s="2"/>
      <c r="AZ318" s="2"/>
      <c r="BA318" s="2"/>
      <c r="BB318" s="2"/>
      <c r="BC318" s="2"/>
      <c r="BD318" s="2"/>
      <c r="BE318" s="2"/>
      <c r="BF318" s="2"/>
      <c r="BG318" s="2"/>
      <c r="BH318" s="2"/>
      <c r="BI318" s="2"/>
      <c r="BJ318" s="2"/>
      <c r="BK318" s="2"/>
      <c r="BL318" s="2"/>
      <c r="BM318" s="2"/>
      <c r="BN318" s="2"/>
      <c r="BO318" s="2"/>
      <c r="BP318" s="2"/>
      <c r="BQ318" s="2"/>
      <c r="BR318" s="2"/>
      <c r="BS318" s="2"/>
      <c r="BT318" s="2"/>
      <c r="BU318" s="2"/>
      <c r="BV318" s="2"/>
      <c r="BW318" s="2"/>
      <c r="BX318" s="2"/>
      <c r="BY318" s="2"/>
      <c r="BZ318" s="2"/>
      <c r="CA318" s="2"/>
      <c r="CB318" s="2"/>
      <c r="CC318" s="2"/>
      <c r="CD318" s="2"/>
      <c r="CE318" s="2"/>
      <c r="CF318" s="2"/>
    </row>
    <row r="319" spans="1:84" ht="12.65" customHeight="1" x14ac:dyDescent="0.35">
      <c r="A319" s="295" t="s">
        <v>410</v>
      </c>
      <c r="B319" s="295"/>
      <c r="C319" s="303"/>
      <c r="D319" s="295">
        <f>SUM(C316:C318)</f>
        <v>14695497</v>
      </c>
      <c r="E319" s="295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  <c r="AQ319" s="2"/>
      <c r="AR319" s="2"/>
      <c r="AS319" s="2"/>
      <c r="AT319" s="2"/>
      <c r="AU319" s="2"/>
      <c r="AV319" s="2"/>
      <c r="AW319" s="2"/>
      <c r="AX319" s="2"/>
      <c r="AY319" s="2"/>
      <c r="AZ319" s="2"/>
      <c r="BA319" s="2"/>
      <c r="BB319" s="2"/>
      <c r="BC319" s="2"/>
      <c r="BD319" s="2"/>
      <c r="BE319" s="2"/>
      <c r="BF319" s="2"/>
      <c r="BG319" s="2"/>
      <c r="BH319" s="2"/>
      <c r="BI319" s="2"/>
      <c r="BJ319" s="2"/>
      <c r="BK319" s="2"/>
      <c r="BL319" s="2"/>
      <c r="BM319" s="2"/>
      <c r="BN319" s="2"/>
      <c r="BO319" s="2"/>
      <c r="BP319" s="2"/>
      <c r="BQ319" s="2"/>
      <c r="BR319" s="2"/>
      <c r="BS319" s="2"/>
      <c r="BT319" s="2"/>
      <c r="BU319" s="2"/>
      <c r="BV319" s="2"/>
      <c r="BW319" s="2"/>
      <c r="BX319" s="2"/>
      <c r="BY319" s="2"/>
      <c r="BZ319" s="2"/>
      <c r="CA319" s="2"/>
      <c r="CB319" s="2"/>
      <c r="CC319" s="2"/>
      <c r="CD319" s="2"/>
      <c r="CE319" s="2"/>
      <c r="CF319" s="2"/>
    </row>
    <row r="320" spans="1:84" ht="12.65" customHeight="1" x14ac:dyDescent="0.35">
      <c r="A320" s="317" t="s">
        <v>411</v>
      </c>
      <c r="B320" s="317"/>
      <c r="C320" s="317"/>
      <c r="D320" s="317"/>
      <c r="E320" s="317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  <c r="AQ320" s="2"/>
      <c r="AR320" s="2"/>
      <c r="AS320" s="2"/>
      <c r="AT320" s="2"/>
      <c r="AU320" s="2"/>
      <c r="AV320" s="2"/>
      <c r="AW320" s="2"/>
      <c r="AX320" s="2"/>
      <c r="AY320" s="2"/>
      <c r="AZ320" s="2"/>
      <c r="BA320" s="2"/>
      <c r="BB320" s="2"/>
      <c r="BC320" s="2"/>
      <c r="BD320" s="2"/>
      <c r="BE320" s="2"/>
      <c r="BF320" s="2"/>
      <c r="BG320" s="2"/>
      <c r="BH320" s="2"/>
      <c r="BI320" s="2"/>
      <c r="BJ320" s="2"/>
      <c r="BK320" s="2"/>
      <c r="BL320" s="2"/>
      <c r="BM320" s="2"/>
      <c r="BN320" s="2"/>
      <c r="BO320" s="2"/>
      <c r="BP320" s="2"/>
      <c r="BQ320" s="2"/>
      <c r="BR320" s="2"/>
      <c r="BS320" s="2"/>
      <c r="BT320" s="2"/>
      <c r="BU320" s="2"/>
      <c r="BV320" s="2"/>
      <c r="BW320" s="2"/>
      <c r="BX320" s="2"/>
      <c r="BY320" s="2"/>
      <c r="BZ320" s="2"/>
      <c r="CA320" s="2"/>
      <c r="CB320" s="2"/>
      <c r="CC320" s="2"/>
      <c r="CD320" s="2"/>
      <c r="CE320" s="2"/>
      <c r="CF320" s="2"/>
    </row>
    <row r="321" spans="1:84" ht="12.65" customHeight="1" x14ac:dyDescent="0.35">
      <c r="A321" s="295" t="s">
        <v>412</v>
      </c>
      <c r="B321" s="313" t="s">
        <v>256</v>
      </c>
      <c r="C321" s="189">
        <v>0</v>
      </c>
      <c r="D321" s="295"/>
      <c r="E321" s="295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  <c r="AQ321" s="2"/>
      <c r="AR321" s="2"/>
      <c r="AS321" s="2"/>
      <c r="AT321" s="2"/>
      <c r="AU321" s="2"/>
      <c r="AV321" s="2"/>
      <c r="AW321" s="2"/>
      <c r="AX321" s="2"/>
      <c r="AY321" s="2"/>
      <c r="AZ321" s="2"/>
      <c r="BA321" s="2"/>
      <c r="BB321" s="2"/>
      <c r="BC321" s="2"/>
      <c r="BD321" s="2"/>
      <c r="BE321" s="2"/>
      <c r="BF321" s="2"/>
      <c r="BG321" s="2"/>
      <c r="BH321" s="2"/>
      <c r="BI321" s="2"/>
      <c r="BJ321" s="2"/>
      <c r="BK321" s="2"/>
      <c r="BL321" s="2"/>
      <c r="BM321" s="2"/>
      <c r="BN321" s="2"/>
      <c r="BO321" s="2"/>
      <c r="BP321" s="2"/>
      <c r="BQ321" s="2"/>
      <c r="BR321" s="2"/>
      <c r="BS321" s="2"/>
      <c r="BT321" s="2"/>
      <c r="BU321" s="2"/>
      <c r="BV321" s="2"/>
      <c r="BW321" s="2"/>
      <c r="BX321" s="2"/>
      <c r="BY321" s="2"/>
      <c r="BZ321" s="2"/>
      <c r="CA321" s="2"/>
      <c r="CB321" s="2"/>
      <c r="CC321" s="2"/>
      <c r="CD321" s="2"/>
      <c r="CE321" s="2"/>
      <c r="CF321" s="2"/>
    </row>
    <row r="322" spans="1:84" ht="12.65" customHeight="1" x14ac:dyDescent="0.35">
      <c r="A322" s="295" t="s">
        <v>413</v>
      </c>
      <c r="B322" s="313" t="s">
        <v>256</v>
      </c>
      <c r="C322" s="189">
        <v>0</v>
      </c>
      <c r="D322" s="295"/>
      <c r="E322" s="295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L322" s="2"/>
      <c r="AM322" s="2"/>
      <c r="AN322" s="2"/>
      <c r="AO322" s="2"/>
      <c r="AP322" s="2"/>
      <c r="AQ322" s="2"/>
      <c r="AR322" s="2"/>
      <c r="AS322" s="2"/>
      <c r="AT322" s="2"/>
      <c r="AU322" s="2"/>
      <c r="AV322" s="2"/>
      <c r="AW322" s="2"/>
      <c r="AX322" s="2"/>
      <c r="AY322" s="2"/>
      <c r="AZ322" s="2"/>
      <c r="BA322" s="2"/>
      <c r="BB322" s="2"/>
      <c r="BC322" s="2"/>
      <c r="BD322" s="2"/>
      <c r="BE322" s="2"/>
      <c r="BF322" s="2"/>
      <c r="BG322" s="2"/>
      <c r="BH322" s="2"/>
      <c r="BI322" s="2"/>
      <c r="BJ322" s="2"/>
      <c r="BK322" s="2"/>
      <c r="BL322" s="2"/>
      <c r="BM322" s="2"/>
      <c r="BN322" s="2"/>
      <c r="BO322" s="2"/>
      <c r="BP322" s="2"/>
      <c r="BQ322" s="2"/>
      <c r="BR322" s="2"/>
      <c r="BS322" s="2"/>
      <c r="BT322" s="2"/>
      <c r="BU322" s="2"/>
      <c r="BV322" s="2"/>
      <c r="BW322" s="2"/>
      <c r="BX322" s="2"/>
      <c r="BY322" s="2"/>
      <c r="BZ322" s="2"/>
      <c r="CA322" s="2"/>
      <c r="CB322" s="2"/>
      <c r="CC322" s="2"/>
      <c r="CD322" s="2"/>
      <c r="CE322" s="2"/>
      <c r="CF322" s="2"/>
    </row>
    <row r="323" spans="1:84" ht="12.65" customHeight="1" x14ac:dyDescent="0.35">
      <c r="A323" s="295" t="s">
        <v>414</v>
      </c>
      <c r="B323" s="313" t="s">
        <v>256</v>
      </c>
      <c r="C323" s="189">
        <v>0</v>
      </c>
      <c r="D323" s="295"/>
      <c r="E323" s="295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  <c r="AL323" s="2"/>
      <c r="AM323" s="2"/>
      <c r="AN323" s="2"/>
      <c r="AO323" s="2"/>
      <c r="AP323" s="2"/>
      <c r="AQ323" s="2"/>
      <c r="AR323" s="2"/>
      <c r="AS323" s="2"/>
      <c r="AT323" s="2"/>
      <c r="AU323" s="2"/>
      <c r="AV323" s="2"/>
      <c r="AW323" s="2"/>
      <c r="AX323" s="2"/>
      <c r="AY323" s="2"/>
      <c r="AZ323" s="2"/>
      <c r="BA323" s="2"/>
      <c r="BB323" s="2"/>
      <c r="BC323" s="2"/>
      <c r="BD323" s="2"/>
      <c r="BE323" s="2"/>
      <c r="BF323" s="2"/>
      <c r="BG323" s="2"/>
      <c r="BH323" s="2"/>
      <c r="BI323" s="2"/>
      <c r="BJ323" s="2"/>
      <c r="BK323" s="2"/>
      <c r="BL323" s="2"/>
      <c r="BM323" s="2"/>
      <c r="BN323" s="2"/>
      <c r="BO323" s="2"/>
      <c r="BP323" s="2"/>
      <c r="BQ323" s="2"/>
      <c r="BR323" s="2"/>
      <c r="BS323" s="2"/>
      <c r="BT323" s="2"/>
      <c r="BU323" s="2"/>
      <c r="BV323" s="2"/>
      <c r="BW323" s="2"/>
      <c r="BX323" s="2"/>
      <c r="BY323" s="2"/>
      <c r="BZ323" s="2"/>
      <c r="CA323" s="2"/>
      <c r="CB323" s="2"/>
      <c r="CC323" s="2"/>
      <c r="CD323" s="2"/>
      <c r="CE323" s="2"/>
      <c r="CF323" s="2"/>
    </row>
    <row r="324" spans="1:84" ht="12.65" customHeight="1" x14ac:dyDescent="0.35">
      <c r="A324" s="302" t="s">
        <v>415</v>
      </c>
      <c r="B324" s="313" t="s">
        <v>256</v>
      </c>
      <c r="C324" s="189">
        <v>7788078</v>
      </c>
      <c r="D324" s="295"/>
      <c r="E324" s="295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  <c r="AL324" s="2"/>
      <c r="AM324" s="2"/>
      <c r="AN324" s="2"/>
      <c r="AO324" s="2"/>
      <c r="AP324" s="2"/>
      <c r="AQ324" s="2"/>
      <c r="AR324" s="2"/>
      <c r="AS324" s="2"/>
      <c r="AT324" s="2"/>
      <c r="AU324" s="2"/>
      <c r="AV324" s="2"/>
      <c r="AW324" s="2"/>
      <c r="AX324" s="2"/>
      <c r="AY324" s="2"/>
      <c r="AZ324" s="2"/>
      <c r="BA324" s="2"/>
      <c r="BB324" s="2"/>
      <c r="BC324" s="2"/>
      <c r="BD324" s="2"/>
      <c r="BE324" s="2"/>
      <c r="BF324" s="2"/>
      <c r="BG324" s="2"/>
      <c r="BH324" s="2"/>
      <c r="BI324" s="2"/>
      <c r="BJ324" s="2"/>
      <c r="BK324" s="2"/>
      <c r="BL324" s="2"/>
      <c r="BM324" s="2"/>
      <c r="BN324" s="2"/>
      <c r="BO324" s="2"/>
      <c r="BP324" s="2"/>
      <c r="BQ324" s="2"/>
      <c r="BR324" s="2"/>
      <c r="BS324" s="2"/>
      <c r="BT324" s="2"/>
      <c r="BU324" s="2"/>
      <c r="BV324" s="2"/>
      <c r="BW324" s="2"/>
      <c r="BX324" s="2"/>
      <c r="BY324" s="2"/>
      <c r="BZ324" s="2"/>
      <c r="CA324" s="2"/>
      <c r="CB324" s="2"/>
      <c r="CC324" s="2"/>
      <c r="CD324" s="2"/>
      <c r="CE324" s="2"/>
      <c r="CF324" s="2"/>
    </row>
    <row r="325" spans="1:84" ht="12.65" customHeight="1" x14ac:dyDescent="0.35">
      <c r="A325" s="295" t="s">
        <v>416</v>
      </c>
      <c r="B325" s="313" t="s">
        <v>256</v>
      </c>
      <c r="C325" s="189">
        <f>254791377+14470232</f>
        <v>269261609</v>
      </c>
      <c r="D325" s="295"/>
      <c r="E325" s="295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2"/>
      <c r="AN325" s="2"/>
      <c r="AO325" s="2"/>
      <c r="AP325" s="2"/>
      <c r="AQ325" s="2"/>
      <c r="AR325" s="2"/>
      <c r="AS325" s="2"/>
      <c r="AT325" s="2"/>
      <c r="AU325" s="2"/>
      <c r="AV325" s="2"/>
      <c r="AW325" s="2"/>
      <c r="AX325" s="2"/>
      <c r="AY325" s="2"/>
      <c r="AZ325" s="2"/>
      <c r="BA325" s="2"/>
      <c r="BB325" s="2"/>
      <c r="BC325" s="2"/>
      <c r="BD325" s="2"/>
      <c r="BE325" s="2"/>
      <c r="BF325" s="2"/>
      <c r="BG325" s="2"/>
      <c r="BH325" s="2"/>
      <c r="BI325" s="2"/>
      <c r="BJ325" s="2"/>
      <c r="BK325" s="2"/>
      <c r="BL325" s="2"/>
      <c r="BM325" s="2"/>
      <c r="BN325" s="2"/>
      <c r="BO325" s="2"/>
      <c r="BP325" s="2"/>
      <c r="BQ325" s="2"/>
      <c r="BR325" s="2"/>
      <c r="BS325" s="2"/>
      <c r="BT325" s="2"/>
      <c r="BU325" s="2"/>
      <c r="BV325" s="2"/>
      <c r="BW325" s="2"/>
      <c r="BX325" s="2"/>
      <c r="BY325" s="2"/>
      <c r="BZ325" s="2"/>
      <c r="CA325" s="2"/>
      <c r="CB325" s="2"/>
      <c r="CC325" s="2"/>
      <c r="CD325" s="2"/>
      <c r="CE325" s="2"/>
      <c r="CF325" s="2"/>
    </row>
    <row r="326" spans="1:84" ht="12.65" customHeight="1" x14ac:dyDescent="0.35">
      <c r="A326" s="302" t="s">
        <v>417</v>
      </c>
      <c r="B326" s="313" t="s">
        <v>256</v>
      </c>
      <c r="C326" s="189">
        <v>0</v>
      </c>
      <c r="D326" s="295"/>
      <c r="E326" s="295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  <c r="AP326" s="2"/>
      <c r="AQ326" s="2"/>
      <c r="AR326" s="2"/>
      <c r="AS326" s="2"/>
      <c r="AT326" s="2"/>
      <c r="AU326" s="2"/>
      <c r="AV326" s="2"/>
      <c r="AW326" s="2"/>
      <c r="AX326" s="2"/>
      <c r="AY326" s="2"/>
      <c r="AZ326" s="2"/>
      <c r="BA326" s="2"/>
      <c r="BB326" s="2"/>
      <c r="BC326" s="2"/>
      <c r="BD326" s="2"/>
      <c r="BE326" s="2"/>
      <c r="BF326" s="2"/>
      <c r="BG326" s="2"/>
      <c r="BH326" s="2"/>
      <c r="BI326" s="2"/>
      <c r="BJ326" s="2"/>
      <c r="BK326" s="2"/>
      <c r="BL326" s="2"/>
      <c r="BM326" s="2"/>
      <c r="BN326" s="2"/>
      <c r="BO326" s="2"/>
      <c r="BP326" s="2"/>
      <c r="BQ326" s="2"/>
      <c r="BR326" s="2"/>
      <c r="BS326" s="2"/>
      <c r="BT326" s="2"/>
      <c r="BU326" s="2"/>
      <c r="BV326" s="2"/>
      <c r="BW326" s="2"/>
      <c r="BX326" s="2"/>
      <c r="BY326" s="2"/>
      <c r="BZ326" s="2"/>
      <c r="CA326" s="2"/>
      <c r="CB326" s="2"/>
      <c r="CC326" s="2"/>
      <c r="CD326" s="2"/>
      <c r="CE326" s="2"/>
      <c r="CF326" s="2"/>
    </row>
    <row r="327" spans="1:84" ht="19.5" customHeight="1" x14ac:dyDescent="0.35">
      <c r="A327" s="295" t="s">
        <v>418</v>
      </c>
      <c r="B327" s="313" t="s">
        <v>256</v>
      </c>
      <c r="C327" s="189">
        <v>43605100</v>
      </c>
      <c r="D327" s="295"/>
      <c r="E327" s="295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  <c r="AP327" s="2"/>
      <c r="AQ327" s="2"/>
      <c r="AR327" s="2"/>
      <c r="AS327" s="2"/>
      <c r="AT327" s="2"/>
      <c r="AU327" s="2"/>
      <c r="AV327" s="2"/>
      <c r="AW327" s="2"/>
      <c r="AX327" s="2"/>
      <c r="AY327" s="2"/>
      <c r="AZ327" s="2"/>
      <c r="BA327" s="2"/>
      <c r="BB327" s="2"/>
      <c r="BC327" s="2"/>
      <c r="BD327" s="2"/>
      <c r="BE327" s="2"/>
      <c r="BF327" s="2"/>
      <c r="BG327" s="2"/>
      <c r="BH327" s="2"/>
      <c r="BI327" s="2"/>
      <c r="BJ327" s="2"/>
      <c r="BK327" s="2"/>
      <c r="BL327" s="2"/>
      <c r="BM327" s="2"/>
      <c r="BN327" s="2"/>
      <c r="BO327" s="2"/>
      <c r="BP327" s="2"/>
      <c r="BQ327" s="2"/>
      <c r="BR327" s="2"/>
      <c r="BS327" s="2"/>
      <c r="BT327" s="2"/>
      <c r="BU327" s="2"/>
      <c r="BV327" s="2"/>
      <c r="BW327" s="2"/>
      <c r="BX327" s="2"/>
      <c r="BY327" s="2"/>
      <c r="BZ327" s="2"/>
      <c r="CA327" s="2"/>
      <c r="CB327" s="2"/>
      <c r="CC327" s="2"/>
      <c r="CD327" s="2"/>
      <c r="CE327" s="2"/>
      <c r="CF327" s="2"/>
    </row>
    <row r="328" spans="1:84" ht="12.65" customHeight="1" x14ac:dyDescent="0.35">
      <c r="A328" s="295" t="s">
        <v>203</v>
      </c>
      <c r="B328" s="295"/>
      <c r="C328" s="303"/>
      <c r="D328" s="295">
        <f>SUM(C321:C327)</f>
        <v>320654787</v>
      </c>
      <c r="E328" s="295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  <c r="AP328" s="2"/>
      <c r="AQ328" s="2"/>
      <c r="AR328" s="2"/>
      <c r="AS328" s="2"/>
      <c r="AT328" s="2"/>
      <c r="AU328" s="2"/>
      <c r="AV328" s="2"/>
      <c r="AW328" s="2"/>
      <c r="AX328" s="2"/>
      <c r="AY328" s="2"/>
      <c r="AZ328" s="2"/>
      <c r="BA328" s="2"/>
      <c r="BB328" s="2"/>
      <c r="BC328" s="2"/>
      <c r="BD328" s="2"/>
      <c r="BE328" s="2"/>
      <c r="BF328" s="2"/>
      <c r="BG328" s="2"/>
      <c r="BH328" s="2"/>
      <c r="BI328" s="2"/>
      <c r="BJ328" s="2"/>
      <c r="BK328" s="2"/>
      <c r="BL328" s="2"/>
      <c r="BM328" s="2"/>
      <c r="BN328" s="2"/>
      <c r="BO328" s="2"/>
      <c r="BP328" s="2"/>
      <c r="BQ328" s="2"/>
      <c r="BR328" s="2"/>
      <c r="BS328" s="2"/>
      <c r="BT328" s="2"/>
      <c r="BU328" s="2"/>
      <c r="BV328" s="2"/>
      <c r="BW328" s="2"/>
      <c r="BX328" s="2"/>
      <c r="BY328" s="2"/>
      <c r="BZ328" s="2"/>
      <c r="CA328" s="2"/>
      <c r="CB328" s="2"/>
      <c r="CC328" s="2"/>
      <c r="CD328" s="2"/>
      <c r="CE328" s="2"/>
      <c r="CF328" s="2"/>
    </row>
    <row r="329" spans="1:84" ht="12.65" customHeight="1" x14ac:dyDescent="0.35">
      <c r="A329" s="295" t="s">
        <v>419</v>
      </c>
      <c r="B329" s="295"/>
      <c r="C329" s="303"/>
      <c r="D329" s="295">
        <f>C313</f>
        <v>14470232</v>
      </c>
      <c r="E329" s="295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  <c r="AN329" s="2"/>
      <c r="AO329" s="2"/>
      <c r="AP329" s="2"/>
      <c r="AQ329" s="2"/>
      <c r="AR329" s="2"/>
      <c r="AS329" s="2"/>
      <c r="AT329" s="2"/>
      <c r="AU329" s="2"/>
      <c r="AV329" s="2"/>
      <c r="AW329" s="2"/>
      <c r="AX329" s="2"/>
      <c r="AY329" s="2"/>
      <c r="AZ329" s="2"/>
      <c r="BA329" s="2"/>
      <c r="BB329" s="2"/>
      <c r="BC329" s="2"/>
      <c r="BD329" s="2"/>
      <c r="BE329" s="2"/>
      <c r="BF329" s="2"/>
      <c r="BG329" s="2"/>
      <c r="BH329" s="2"/>
      <c r="BI329" s="2"/>
      <c r="BJ329" s="2"/>
      <c r="BK329" s="2"/>
      <c r="BL329" s="2"/>
      <c r="BM329" s="2"/>
      <c r="BN329" s="2"/>
      <c r="BO329" s="2"/>
      <c r="BP329" s="2"/>
      <c r="BQ329" s="2"/>
      <c r="BR329" s="2"/>
      <c r="BS329" s="2"/>
      <c r="BT329" s="2"/>
      <c r="BU329" s="2"/>
      <c r="BV329" s="2"/>
      <c r="BW329" s="2"/>
      <c r="BX329" s="2"/>
      <c r="BY329" s="2"/>
      <c r="BZ329" s="2"/>
      <c r="CA329" s="2"/>
      <c r="CB329" s="2"/>
      <c r="CC329" s="2"/>
      <c r="CD329" s="2"/>
      <c r="CE329" s="2"/>
      <c r="CF329" s="2"/>
    </row>
    <row r="330" spans="1:84" ht="12.65" customHeight="1" x14ac:dyDescent="0.35">
      <c r="A330" s="295" t="s">
        <v>420</v>
      </c>
      <c r="B330" s="295"/>
      <c r="C330" s="303"/>
      <c r="D330" s="295">
        <f>D328-D329</f>
        <v>306184555</v>
      </c>
      <c r="E330" s="295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  <c r="AN330" s="2"/>
      <c r="AO330" s="2"/>
      <c r="AP330" s="2"/>
      <c r="AQ330" s="2"/>
      <c r="AR330" s="2"/>
      <c r="AS330" s="2"/>
      <c r="AT330" s="2"/>
      <c r="AU330" s="2"/>
      <c r="AV330" s="2"/>
      <c r="AW330" s="2"/>
      <c r="AX330" s="2"/>
      <c r="AY330" s="2"/>
      <c r="AZ330" s="2"/>
      <c r="BA330" s="2"/>
      <c r="BB330" s="2"/>
      <c r="BC330" s="2"/>
      <c r="BD330" s="2"/>
      <c r="BE330" s="2"/>
      <c r="BF330" s="2"/>
      <c r="BG330" s="2"/>
      <c r="BH330" s="2"/>
      <c r="BI330" s="2"/>
      <c r="BJ330" s="2"/>
      <c r="BK330" s="2"/>
      <c r="BL330" s="2"/>
      <c r="BM330" s="2"/>
      <c r="BN330" s="2"/>
      <c r="BO330" s="2"/>
      <c r="BP330" s="2"/>
      <c r="BQ330" s="2"/>
      <c r="BR330" s="2"/>
      <c r="BS330" s="2"/>
      <c r="BT330" s="2"/>
      <c r="BU330" s="2"/>
      <c r="BV330" s="2"/>
      <c r="BW330" s="2"/>
      <c r="BX330" s="2"/>
      <c r="BY330" s="2"/>
      <c r="BZ330" s="2"/>
      <c r="CA330" s="2"/>
      <c r="CB330" s="2"/>
      <c r="CC330" s="2"/>
      <c r="CD330" s="2"/>
      <c r="CE330" s="2"/>
      <c r="CF330" s="2"/>
    </row>
    <row r="331" spans="1:84" ht="12.65" customHeight="1" x14ac:dyDescent="0.35">
      <c r="A331" s="295"/>
      <c r="B331" s="295"/>
      <c r="C331" s="303"/>
      <c r="D331" s="295"/>
      <c r="E331" s="295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  <c r="AN331" s="2"/>
      <c r="AO331" s="2"/>
      <c r="AP331" s="2"/>
      <c r="AQ331" s="2"/>
      <c r="AR331" s="2"/>
      <c r="AS331" s="2"/>
      <c r="AT331" s="2"/>
      <c r="AU331" s="2"/>
      <c r="AV331" s="2"/>
      <c r="AW331" s="2"/>
      <c r="AX331" s="2"/>
      <c r="AY331" s="2"/>
      <c r="AZ331" s="2"/>
      <c r="BA331" s="2"/>
      <c r="BB331" s="2"/>
      <c r="BC331" s="2"/>
      <c r="BD331" s="2"/>
      <c r="BE331" s="2"/>
      <c r="BF331" s="2"/>
      <c r="BG331" s="2"/>
      <c r="BH331" s="2"/>
      <c r="BI331" s="2"/>
      <c r="BJ331" s="2"/>
      <c r="BK331" s="2"/>
      <c r="BL331" s="2"/>
      <c r="BM331" s="2"/>
      <c r="BN331" s="2"/>
      <c r="BO331" s="2"/>
      <c r="BP331" s="2"/>
      <c r="BQ331" s="2"/>
      <c r="BR331" s="2"/>
      <c r="BS331" s="2"/>
      <c r="BT331" s="2"/>
      <c r="BU331" s="2"/>
      <c r="BV331" s="2"/>
      <c r="BW331" s="2"/>
      <c r="BX331" s="2"/>
      <c r="BY331" s="2"/>
      <c r="BZ331" s="2"/>
      <c r="CA331" s="2"/>
      <c r="CB331" s="2"/>
      <c r="CC331" s="2"/>
      <c r="CD331" s="2"/>
      <c r="CE331" s="2"/>
      <c r="CF331" s="2"/>
    </row>
    <row r="332" spans="1:84" ht="12.65" customHeight="1" x14ac:dyDescent="0.35">
      <c r="A332" s="295" t="s">
        <v>421</v>
      </c>
      <c r="B332" s="313" t="s">
        <v>256</v>
      </c>
      <c r="C332" s="222">
        <v>440688347</v>
      </c>
      <c r="D332" s="295"/>
      <c r="E332" s="295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  <c r="AM332" s="2"/>
      <c r="AN332" s="2"/>
      <c r="AO332" s="2"/>
      <c r="AP332" s="2"/>
      <c r="AQ332" s="2"/>
      <c r="AR332" s="2"/>
      <c r="AS332" s="2"/>
      <c r="AT332" s="2"/>
      <c r="AU332" s="2"/>
      <c r="AV332" s="2"/>
      <c r="AW332" s="2"/>
      <c r="AX332" s="2"/>
      <c r="AY332" s="2"/>
      <c r="AZ332" s="2"/>
      <c r="BA332" s="2"/>
      <c r="BB332" s="2"/>
      <c r="BC332" s="2"/>
      <c r="BD332" s="2"/>
      <c r="BE332" s="2"/>
      <c r="BF332" s="2"/>
      <c r="BG332" s="2"/>
      <c r="BH332" s="2"/>
      <c r="BI332" s="2"/>
      <c r="BJ332" s="2"/>
      <c r="BK332" s="2"/>
      <c r="BL332" s="2"/>
      <c r="BM332" s="2"/>
      <c r="BN332" s="2"/>
      <c r="BO332" s="2"/>
      <c r="BP332" s="2"/>
      <c r="BQ332" s="2"/>
      <c r="BR332" s="2"/>
      <c r="BS332" s="2"/>
      <c r="BT332" s="2"/>
      <c r="BU332" s="2"/>
      <c r="BV332" s="2"/>
      <c r="BW332" s="2"/>
      <c r="BX332" s="2"/>
      <c r="BY332" s="2"/>
      <c r="BZ332" s="2"/>
      <c r="CA332" s="2"/>
      <c r="CB332" s="2"/>
      <c r="CC332" s="2"/>
      <c r="CD332" s="2"/>
      <c r="CE332" s="2"/>
      <c r="CF332" s="2"/>
    </row>
    <row r="333" spans="1:84" ht="12.65" customHeight="1" x14ac:dyDescent="0.35">
      <c r="A333" s="295"/>
      <c r="B333" s="313"/>
      <c r="C333" s="231"/>
      <c r="D333" s="295"/>
      <c r="E333" s="295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  <c r="AN333" s="2"/>
      <c r="AO333" s="2"/>
      <c r="AP333" s="2"/>
      <c r="AQ333" s="2"/>
      <c r="AR333" s="2"/>
      <c r="AS333" s="2"/>
      <c r="AT333" s="2"/>
      <c r="AU333" s="2"/>
      <c r="AV333" s="2"/>
      <c r="AW333" s="2"/>
      <c r="AX333" s="2"/>
      <c r="AY333" s="2"/>
      <c r="AZ333" s="2"/>
      <c r="BA333" s="2"/>
      <c r="BB333" s="2"/>
      <c r="BC333" s="2"/>
      <c r="BD333" s="2"/>
      <c r="BE333" s="2"/>
      <c r="BF333" s="2"/>
      <c r="BG333" s="2"/>
      <c r="BH333" s="2"/>
      <c r="BI333" s="2"/>
      <c r="BJ333" s="2"/>
      <c r="BK333" s="2"/>
      <c r="BL333" s="2"/>
      <c r="BM333" s="2"/>
      <c r="BN333" s="2"/>
      <c r="BO333" s="2"/>
      <c r="BP333" s="2"/>
      <c r="BQ333" s="2"/>
      <c r="BR333" s="2"/>
      <c r="BS333" s="2"/>
      <c r="BT333" s="2"/>
      <c r="BU333" s="2"/>
      <c r="BV333" s="2"/>
      <c r="BW333" s="2"/>
      <c r="BX333" s="2"/>
      <c r="BY333" s="2"/>
      <c r="BZ333" s="2"/>
      <c r="CA333" s="2"/>
      <c r="CB333" s="2"/>
      <c r="CC333" s="2"/>
      <c r="CD333" s="2"/>
      <c r="CE333" s="2"/>
      <c r="CF333" s="2"/>
    </row>
    <row r="334" spans="1:84" ht="12.65" customHeight="1" x14ac:dyDescent="0.35">
      <c r="A334" s="295" t="s">
        <v>1142</v>
      </c>
      <c r="B334" s="313" t="s">
        <v>256</v>
      </c>
      <c r="C334" s="222">
        <v>0</v>
      </c>
      <c r="D334" s="295"/>
      <c r="E334" s="295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  <c r="AP334" s="2"/>
      <c r="AQ334" s="2"/>
      <c r="AR334" s="2"/>
      <c r="AS334" s="2"/>
      <c r="AT334" s="2"/>
      <c r="AU334" s="2"/>
      <c r="AV334" s="2"/>
      <c r="AW334" s="2"/>
      <c r="AX334" s="2"/>
      <c r="AY334" s="2"/>
      <c r="AZ334" s="2"/>
      <c r="BA334" s="2"/>
      <c r="BB334" s="2"/>
      <c r="BC334" s="2"/>
      <c r="BD334" s="2"/>
      <c r="BE334" s="2"/>
      <c r="BF334" s="2"/>
      <c r="BG334" s="2"/>
      <c r="BH334" s="2"/>
      <c r="BI334" s="2"/>
      <c r="BJ334" s="2"/>
      <c r="BK334" s="2"/>
      <c r="BL334" s="2"/>
      <c r="BM334" s="2"/>
      <c r="BN334" s="2"/>
      <c r="BO334" s="2"/>
      <c r="BP334" s="2"/>
      <c r="BQ334" s="2"/>
      <c r="BR334" s="2"/>
      <c r="BS334" s="2"/>
      <c r="BT334" s="2"/>
      <c r="BU334" s="2"/>
      <c r="BV334" s="2"/>
      <c r="BW334" s="2"/>
      <c r="BX334" s="2"/>
      <c r="BY334" s="2"/>
      <c r="BZ334" s="2"/>
      <c r="CA334" s="2"/>
      <c r="CB334" s="2"/>
      <c r="CC334" s="2"/>
      <c r="CD334" s="2"/>
      <c r="CE334" s="2"/>
      <c r="CF334" s="2"/>
    </row>
    <row r="335" spans="1:84" ht="12.65" customHeight="1" x14ac:dyDescent="0.35">
      <c r="A335" s="295" t="s">
        <v>1143</v>
      </c>
      <c r="B335" s="313" t="s">
        <v>256</v>
      </c>
      <c r="C335" s="222">
        <v>0</v>
      </c>
      <c r="D335" s="295"/>
      <c r="E335" s="295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  <c r="AO335" s="2"/>
      <c r="AP335" s="2"/>
      <c r="AQ335" s="2"/>
      <c r="AR335" s="2"/>
      <c r="AS335" s="2"/>
      <c r="AT335" s="2"/>
      <c r="AU335" s="2"/>
      <c r="AV335" s="2"/>
      <c r="AW335" s="2"/>
      <c r="AX335" s="2"/>
      <c r="AY335" s="2"/>
      <c r="AZ335" s="2"/>
      <c r="BA335" s="2"/>
      <c r="BB335" s="2"/>
      <c r="BC335" s="2"/>
      <c r="BD335" s="2"/>
      <c r="BE335" s="2"/>
      <c r="BF335" s="2"/>
      <c r="BG335" s="2"/>
      <c r="BH335" s="2"/>
      <c r="BI335" s="2"/>
      <c r="BJ335" s="2"/>
      <c r="BK335" s="2"/>
      <c r="BL335" s="2"/>
      <c r="BM335" s="2"/>
      <c r="BN335" s="2"/>
      <c r="BO335" s="2"/>
      <c r="BP335" s="2"/>
      <c r="BQ335" s="2"/>
      <c r="BR335" s="2"/>
      <c r="BS335" s="2"/>
      <c r="BT335" s="2"/>
      <c r="BU335" s="2"/>
      <c r="BV335" s="2"/>
      <c r="BW335" s="2"/>
      <c r="BX335" s="2"/>
      <c r="BY335" s="2"/>
      <c r="BZ335" s="2"/>
      <c r="CA335" s="2"/>
      <c r="CB335" s="2"/>
      <c r="CC335" s="2"/>
      <c r="CD335" s="2"/>
      <c r="CE335" s="2"/>
      <c r="CF335" s="2"/>
    </row>
    <row r="336" spans="1:84" ht="12.65" customHeight="1" x14ac:dyDescent="0.35">
      <c r="A336" s="295" t="s">
        <v>423</v>
      </c>
      <c r="B336" s="313" t="s">
        <v>256</v>
      </c>
      <c r="C336" s="222">
        <v>0</v>
      </c>
      <c r="D336" s="295"/>
      <c r="E336" s="295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  <c r="AK336" s="2"/>
      <c r="AL336" s="2"/>
      <c r="AM336" s="2"/>
      <c r="AN336" s="2"/>
      <c r="AO336" s="2"/>
      <c r="AP336" s="2"/>
      <c r="AQ336" s="2"/>
      <c r="AR336" s="2"/>
      <c r="AS336" s="2"/>
      <c r="AT336" s="2"/>
      <c r="AU336" s="2"/>
      <c r="AV336" s="2"/>
      <c r="AW336" s="2"/>
      <c r="AX336" s="2"/>
      <c r="AY336" s="2"/>
      <c r="AZ336" s="2"/>
      <c r="BA336" s="2"/>
      <c r="BB336" s="2"/>
      <c r="BC336" s="2"/>
      <c r="BD336" s="2"/>
      <c r="BE336" s="2"/>
      <c r="BF336" s="2"/>
      <c r="BG336" s="2"/>
      <c r="BH336" s="2"/>
      <c r="BI336" s="2"/>
      <c r="BJ336" s="2"/>
      <c r="BK336" s="2"/>
      <c r="BL336" s="2"/>
      <c r="BM336" s="2"/>
      <c r="BN336" s="2"/>
      <c r="BO336" s="2"/>
      <c r="BP336" s="2"/>
      <c r="BQ336" s="2"/>
      <c r="BR336" s="2"/>
      <c r="BS336" s="2"/>
      <c r="BT336" s="2"/>
      <c r="BU336" s="2"/>
      <c r="BV336" s="2"/>
      <c r="BW336" s="2"/>
      <c r="BX336" s="2"/>
      <c r="BY336" s="2"/>
      <c r="BZ336" s="2"/>
      <c r="CA336" s="2"/>
      <c r="CB336" s="2"/>
      <c r="CC336" s="2"/>
      <c r="CD336" s="2"/>
      <c r="CE336" s="2"/>
      <c r="CF336" s="2"/>
    </row>
    <row r="337" spans="1:84" ht="12.65" customHeight="1" x14ac:dyDescent="0.35">
      <c r="A337" s="295" t="s">
        <v>422</v>
      </c>
      <c r="B337" s="313" t="s">
        <v>256</v>
      </c>
      <c r="C337" s="189">
        <v>0</v>
      </c>
      <c r="D337" s="295"/>
      <c r="E337" s="295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  <c r="AK337" s="2"/>
      <c r="AL337" s="2"/>
      <c r="AM337" s="2"/>
      <c r="AN337" s="2"/>
      <c r="AO337" s="2"/>
      <c r="AP337" s="2"/>
      <c r="AQ337" s="2"/>
      <c r="AR337" s="2"/>
      <c r="AS337" s="2"/>
      <c r="AT337" s="2"/>
      <c r="AU337" s="2"/>
      <c r="AV337" s="2"/>
      <c r="AW337" s="2"/>
      <c r="AX337" s="2"/>
      <c r="AY337" s="2"/>
      <c r="AZ337" s="2"/>
      <c r="BA337" s="2"/>
      <c r="BB337" s="2"/>
      <c r="BC337" s="2"/>
      <c r="BD337" s="2"/>
      <c r="BE337" s="2"/>
      <c r="BF337" s="2"/>
      <c r="BG337" s="2"/>
      <c r="BH337" s="2"/>
      <c r="BI337" s="2"/>
      <c r="BJ337" s="2"/>
      <c r="BK337" s="2"/>
      <c r="BL337" s="2"/>
      <c r="BM337" s="2"/>
      <c r="BN337" s="2"/>
      <c r="BO337" s="2"/>
      <c r="BP337" s="2"/>
      <c r="BQ337" s="2"/>
      <c r="BR337" s="2"/>
      <c r="BS337" s="2"/>
      <c r="BT337" s="2"/>
      <c r="BU337" s="2"/>
      <c r="BV337" s="2"/>
      <c r="BW337" s="2"/>
      <c r="BX337" s="2"/>
      <c r="BY337" s="2"/>
      <c r="BZ337" s="2"/>
      <c r="CA337" s="2"/>
      <c r="CB337" s="2"/>
      <c r="CC337" s="2"/>
      <c r="CD337" s="2"/>
      <c r="CE337" s="2"/>
      <c r="CF337" s="2"/>
    </row>
    <row r="338" spans="1:84" ht="12.65" customHeight="1" x14ac:dyDescent="0.35">
      <c r="A338" s="295" t="s">
        <v>1252</v>
      </c>
      <c r="B338" s="313" t="s">
        <v>256</v>
      </c>
      <c r="C338" s="189">
        <v>0</v>
      </c>
      <c r="D338" s="295"/>
      <c r="E338" s="295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  <c r="AN338" s="2"/>
      <c r="AO338" s="2"/>
      <c r="AP338" s="2"/>
      <c r="AQ338" s="2"/>
      <c r="AR338" s="2"/>
      <c r="AS338" s="2"/>
      <c r="AT338" s="2"/>
      <c r="AU338" s="2"/>
      <c r="AV338" s="2"/>
      <c r="AW338" s="2"/>
      <c r="AX338" s="2"/>
      <c r="AY338" s="2"/>
      <c r="AZ338" s="2"/>
      <c r="BA338" s="2"/>
      <c r="BB338" s="2"/>
      <c r="BC338" s="2"/>
      <c r="BD338" s="2"/>
      <c r="BE338" s="2"/>
      <c r="BF338" s="2"/>
      <c r="BG338" s="2"/>
      <c r="BH338" s="2"/>
      <c r="BI338" s="2"/>
      <c r="BJ338" s="2"/>
      <c r="BK338" s="2"/>
      <c r="BL338" s="2"/>
      <c r="BM338" s="2"/>
      <c r="BN338" s="2"/>
      <c r="BO338" s="2"/>
      <c r="BP338" s="2"/>
      <c r="BQ338" s="2"/>
      <c r="BR338" s="2"/>
      <c r="BS338" s="2"/>
      <c r="BT338" s="2"/>
      <c r="BU338" s="2"/>
      <c r="BV338" s="2"/>
      <c r="BW338" s="2"/>
      <c r="BX338" s="2"/>
      <c r="BY338" s="2"/>
      <c r="BZ338" s="2"/>
      <c r="CA338" s="2"/>
      <c r="CB338" s="2"/>
      <c r="CC338" s="2"/>
      <c r="CD338" s="2"/>
      <c r="CE338" s="2"/>
      <c r="CF338" s="2"/>
    </row>
    <row r="339" spans="1:84" ht="12.65" customHeight="1" x14ac:dyDescent="0.35">
      <c r="A339" s="295" t="s">
        <v>424</v>
      </c>
      <c r="B339" s="295"/>
      <c r="C339" s="303"/>
      <c r="D339" s="295">
        <f>D314+D319+D330+C332+C336+C337</f>
        <v>861970682</v>
      </c>
      <c r="E339" s="295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2"/>
      <c r="AQ339" s="2"/>
      <c r="AR339" s="2"/>
      <c r="AS339" s="2"/>
      <c r="AT339" s="2"/>
      <c r="AU339" s="2"/>
      <c r="AV339" s="2"/>
      <c r="AW339" s="2"/>
      <c r="AX339" s="2"/>
      <c r="AY339" s="2"/>
      <c r="AZ339" s="2"/>
      <c r="BA339" s="2"/>
      <c r="BB339" s="2"/>
      <c r="BC339" s="2"/>
      <c r="BD339" s="2"/>
      <c r="BE339" s="2"/>
      <c r="BF339" s="2"/>
      <c r="BG339" s="2"/>
      <c r="BH339" s="2"/>
      <c r="BI339" s="2"/>
      <c r="BJ339" s="2"/>
      <c r="BK339" s="2"/>
      <c r="BL339" s="2"/>
      <c r="BM339" s="2"/>
      <c r="BN339" s="2"/>
      <c r="BO339" s="2"/>
      <c r="BP339" s="2"/>
      <c r="BQ339" s="2"/>
      <c r="BR339" s="2"/>
      <c r="BS339" s="2"/>
      <c r="BT339" s="2"/>
      <c r="BU339" s="2"/>
      <c r="BV339" s="2"/>
      <c r="BW339" s="2"/>
      <c r="BX339" s="2"/>
      <c r="BY339" s="2"/>
      <c r="BZ339" s="2"/>
      <c r="CA339" s="2"/>
      <c r="CB339" s="2"/>
      <c r="CC339" s="2"/>
      <c r="CD339" s="2"/>
      <c r="CE339" s="2"/>
      <c r="CF339" s="2"/>
    </row>
    <row r="340" spans="1:84" ht="12.65" customHeight="1" x14ac:dyDescent="0.35">
      <c r="A340" s="295"/>
      <c r="B340" s="295"/>
      <c r="C340" s="303"/>
      <c r="D340" s="295"/>
      <c r="E340" s="295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  <c r="AP340" s="2"/>
      <c r="AQ340" s="2"/>
      <c r="AR340" s="2"/>
      <c r="AS340" s="2"/>
      <c r="AT340" s="2"/>
      <c r="AU340" s="2"/>
      <c r="AV340" s="2"/>
      <c r="AW340" s="2"/>
      <c r="AX340" s="2"/>
      <c r="AY340" s="2"/>
      <c r="AZ340" s="2"/>
      <c r="BA340" s="2"/>
      <c r="BB340" s="2"/>
      <c r="BC340" s="2"/>
      <c r="BD340" s="2"/>
      <c r="BE340" s="2"/>
      <c r="BF340" s="2"/>
      <c r="BG340" s="2"/>
      <c r="BH340" s="2"/>
      <c r="BI340" s="2"/>
      <c r="BJ340" s="2"/>
      <c r="BK340" s="2"/>
      <c r="BL340" s="2"/>
      <c r="BM340" s="2"/>
      <c r="BN340" s="2"/>
      <c r="BO340" s="2"/>
      <c r="BP340" s="2"/>
      <c r="BQ340" s="2"/>
      <c r="BR340" s="2"/>
      <c r="BS340" s="2"/>
      <c r="BT340" s="2"/>
      <c r="BU340" s="2"/>
      <c r="BV340" s="2"/>
      <c r="BW340" s="2"/>
      <c r="BX340" s="2"/>
      <c r="BY340" s="2"/>
      <c r="BZ340" s="2"/>
      <c r="CA340" s="2"/>
      <c r="CB340" s="2"/>
      <c r="CC340" s="2"/>
      <c r="CD340" s="2"/>
      <c r="CE340" s="2"/>
      <c r="CF340" s="2"/>
    </row>
    <row r="341" spans="1:84" ht="12.65" customHeight="1" x14ac:dyDescent="0.35">
      <c r="A341" s="295" t="s">
        <v>425</v>
      </c>
      <c r="B341" s="295"/>
      <c r="C341" s="303"/>
      <c r="D341" s="295">
        <f>D292</f>
        <v>861970682</v>
      </c>
      <c r="E341" s="295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  <c r="AP341" s="2"/>
      <c r="AQ341" s="2"/>
      <c r="AR341" s="2"/>
      <c r="AS341" s="2"/>
      <c r="AT341" s="2"/>
      <c r="AU341" s="2"/>
      <c r="AV341" s="2"/>
      <c r="AW341" s="2"/>
      <c r="AX341" s="2"/>
      <c r="AY341" s="2"/>
      <c r="AZ341" s="2"/>
      <c r="BA341" s="2"/>
      <c r="BB341" s="2"/>
      <c r="BC341" s="2"/>
      <c r="BD341" s="2"/>
      <c r="BE341" s="2"/>
      <c r="BF341" s="2"/>
      <c r="BG341" s="2"/>
      <c r="BH341" s="2"/>
      <c r="BI341" s="2"/>
      <c r="BJ341" s="2"/>
      <c r="BK341" s="2"/>
      <c r="BL341" s="2"/>
      <c r="BM341" s="2"/>
      <c r="BN341" s="2"/>
      <c r="BO341" s="2"/>
      <c r="BP341" s="2"/>
      <c r="BQ341" s="2"/>
      <c r="BR341" s="2"/>
      <c r="BS341" s="2"/>
      <c r="BT341" s="2"/>
      <c r="BU341" s="2"/>
      <c r="BV341" s="2"/>
      <c r="BW341" s="2"/>
      <c r="BX341" s="2"/>
      <c r="BY341" s="2"/>
      <c r="BZ341" s="2"/>
      <c r="CA341" s="2"/>
      <c r="CB341" s="2"/>
      <c r="CC341" s="2"/>
      <c r="CD341" s="2"/>
      <c r="CE341" s="2"/>
      <c r="CF341" s="2"/>
    </row>
    <row r="342" spans="1:84" ht="12.65" customHeight="1" x14ac:dyDescent="0.35">
      <c r="A342" s="295"/>
      <c r="B342" s="295"/>
      <c r="C342" s="303"/>
      <c r="D342" s="295"/>
      <c r="E342" s="295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  <c r="AL342" s="2"/>
      <c r="AM342" s="2"/>
      <c r="AN342" s="2"/>
      <c r="AO342" s="2"/>
      <c r="AP342" s="2"/>
      <c r="AQ342" s="2"/>
      <c r="AR342" s="2"/>
      <c r="AS342" s="2"/>
      <c r="AT342" s="2"/>
      <c r="AU342" s="2"/>
      <c r="AV342" s="2"/>
      <c r="AW342" s="2"/>
      <c r="AX342" s="2"/>
      <c r="AY342" s="2"/>
      <c r="AZ342" s="2"/>
      <c r="BA342" s="2"/>
      <c r="BB342" s="2"/>
      <c r="BC342" s="2"/>
      <c r="BD342" s="2"/>
      <c r="BE342" s="2"/>
      <c r="BF342" s="2"/>
      <c r="BG342" s="2"/>
      <c r="BH342" s="2"/>
      <c r="BI342" s="2"/>
      <c r="BJ342" s="2"/>
      <c r="BK342" s="2"/>
      <c r="BL342" s="2"/>
      <c r="BM342" s="2"/>
      <c r="BN342" s="2"/>
      <c r="BO342" s="2"/>
      <c r="BP342" s="2"/>
      <c r="BQ342" s="2"/>
      <c r="BR342" s="2"/>
      <c r="BS342" s="2"/>
      <c r="BT342" s="2"/>
      <c r="BU342" s="2"/>
      <c r="BV342" s="2"/>
      <c r="BW342" s="2"/>
      <c r="BX342" s="2"/>
      <c r="BY342" s="2"/>
      <c r="BZ342" s="2"/>
      <c r="CA342" s="2"/>
      <c r="CB342" s="2"/>
      <c r="CC342" s="2"/>
      <c r="CD342" s="2"/>
      <c r="CE342" s="2"/>
      <c r="CF342" s="2"/>
    </row>
    <row r="343" spans="1:84" ht="12.65" customHeight="1" x14ac:dyDescent="0.35">
      <c r="A343" s="295"/>
      <c r="B343" s="295"/>
      <c r="C343" s="303"/>
      <c r="D343" s="295"/>
      <c r="E343" s="295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  <c r="AL343" s="2"/>
      <c r="AM343" s="2"/>
      <c r="AN343" s="2"/>
      <c r="AO343" s="2"/>
      <c r="AP343" s="2"/>
      <c r="AQ343" s="2"/>
      <c r="AR343" s="2"/>
      <c r="AS343" s="2"/>
      <c r="AT343" s="2"/>
      <c r="AU343" s="2"/>
      <c r="AV343" s="2"/>
      <c r="AW343" s="2"/>
      <c r="AX343" s="2"/>
      <c r="AY343" s="2"/>
      <c r="AZ343" s="2"/>
      <c r="BA343" s="2"/>
      <c r="BB343" s="2"/>
      <c r="BC343" s="2"/>
      <c r="BD343" s="2"/>
      <c r="BE343" s="2"/>
      <c r="BF343" s="2"/>
      <c r="BG343" s="2"/>
      <c r="BH343" s="2"/>
      <c r="BI343" s="2"/>
      <c r="BJ343" s="2"/>
      <c r="BK343" s="2"/>
      <c r="BL343" s="2"/>
      <c r="BM343" s="2"/>
      <c r="BN343" s="2"/>
      <c r="BO343" s="2"/>
      <c r="BP343" s="2"/>
      <c r="BQ343" s="2"/>
      <c r="BR343" s="2"/>
      <c r="BS343" s="2"/>
      <c r="BT343" s="2"/>
      <c r="BU343" s="2"/>
      <c r="BV343" s="2"/>
      <c r="BW343" s="2"/>
      <c r="BX343" s="2"/>
      <c r="BY343" s="2"/>
      <c r="BZ343" s="2"/>
      <c r="CA343" s="2"/>
      <c r="CB343" s="2"/>
      <c r="CC343" s="2"/>
      <c r="CD343" s="2"/>
      <c r="CE343" s="2"/>
      <c r="CF343" s="2"/>
    </row>
    <row r="344" spans="1:84" ht="12.65" customHeight="1" x14ac:dyDescent="0.35">
      <c r="A344" s="295"/>
      <c r="B344" s="295"/>
      <c r="C344" s="303"/>
      <c r="D344" s="295"/>
      <c r="E344" s="295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  <c r="AN344" s="2"/>
      <c r="AO344" s="2"/>
      <c r="AP344" s="2"/>
      <c r="AQ344" s="2"/>
      <c r="AR344" s="2"/>
      <c r="AS344" s="2"/>
      <c r="AT344" s="2"/>
      <c r="AU344" s="2"/>
      <c r="AV344" s="2"/>
      <c r="AW344" s="2"/>
      <c r="AX344" s="2"/>
      <c r="AY344" s="2"/>
      <c r="AZ344" s="2"/>
      <c r="BA344" s="2"/>
      <c r="BB344" s="2"/>
      <c r="BC344" s="2"/>
      <c r="BD344" s="2"/>
      <c r="BE344" s="2"/>
      <c r="BF344" s="2"/>
      <c r="BG344" s="2"/>
      <c r="BH344" s="2"/>
      <c r="BI344" s="2"/>
      <c r="BJ344" s="2"/>
      <c r="BK344" s="2"/>
      <c r="BL344" s="2"/>
      <c r="BM344" s="2"/>
      <c r="BN344" s="2"/>
      <c r="BO344" s="2"/>
      <c r="BP344" s="2"/>
      <c r="BQ344" s="2"/>
      <c r="BR344" s="2"/>
      <c r="BS344" s="2"/>
      <c r="BT344" s="2"/>
      <c r="BU344" s="2"/>
      <c r="BV344" s="2"/>
      <c r="BW344" s="2"/>
      <c r="BX344" s="2"/>
      <c r="BY344" s="2"/>
      <c r="BZ344" s="2"/>
      <c r="CA344" s="2"/>
      <c r="CB344" s="2"/>
      <c r="CC344" s="2"/>
      <c r="CD344" s="2"/>
      <c r="CE344" s="2"/>
      <c r="CF344" s="2"/>
    </row>
    <row r="345" spans="1:84" ht="12.65" customHeight="1" x14ac:dyDescent="0.35">
      <c r="A345" s="295"/>
      <c r="B345" s="295"/>
      <c r="C345" s="303"/>
      <c r="D345" s="295"/>
      <c r="E345" s="295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  <c r="AN345" s="2"/>
      <c r="AO345" s="2"/>
      <c r="AP345" s="2"/>
      <c r="AQ345" s="2"/>
      <c r="AR345" s="2"/>
      <c r="AS345" s="2"/>
      <c r="AT345" s="2"/>
      <c r="AU345" s="2"/>
      <c r="AV345" s="2"/>
      <c r="AW345" s="2"/>
      <c r="AX345" s="2"/>
      <c r="AY345" s="2"/>
      <c r="AZ345" s="2"/>
      <c r="BA345" s="2"/>
      <c r="BB345" s="2"/>
      <c r="BC345" s="2"/>
      <c r="BD345" s="2"/>
      <c r="BE345" s="2"/>
      <c r="BF345" s="2"/>
      <c r="BG345" s="2"/>
      <c r="BH345" s="2"/>
      <c r="BI345" s="2"/>
      <c r="BJ345" s="2"/>
      <c r="BK345" s="2"/>
      <c r="BL345" s="2"/>
      <c r="BM345" s="2"/>
      <c r="BN345" s="2"/>
      <c r="BO345" s="2"/>
      <c r="BP345" s="2"/>
      <c r="BQ345" s="2"/>
      <c r="BR345" s="2"/>
      <c r="BS345" s="2"/>
      <c r="BT345" s="2"/>
      <c r="BU345" s="2"/>
      <c r="BV345" s="2"/>
      <c r="BW345" s="2"/>
      <c r="BX345" s="2"/>
      <c r="BY345" s="2"/>
      <c r="BZ345" s="2"/>
      <c r="CA345" s="2"/>
      <c r="CB345" s="2"/>
      <c r="CC345" s="2"/>
      <c r="CD345" s="2"/>
      <c r="CE345" s="2"/>
      <c r="CF345" s="2"/>
    </row>
    <row r="346" spans="1:84" ht="12.65" customHeight="1" x14ac:dyDescent="0.35">
      <c r="A346" s="295"/>
      <c r="B346" s="295"/>
      <c r="C346" s="303"/>
      <c r="D346" s="295"/>
      <c r="E346" s="295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  <c r="AM346" s="2"/>
      <c r="AN346" s="2"/>
      <c r="AO346" s="2"/>
      <c r="AP346" s="2"/>
      <c r="AQ346" s="2"/>
      <c r="AR346" s="2"/>
      <c r="AS346" s="2"/>
      <c r="AT346" s="2"/>
      <c r="AU346" s="2"/>
      <c r="AV346" s="2"/>
      <c r="AW346" s="2"/>
      <c r="AX346" s="2"/>
      <c r="AY346" s="2"/>
      <c r="AZ346" s="2"/>
      <c r="BA346" s="2"/>
      <c r="BB346" s="2"/>
      <c r="BC346" s="2"/>
      <c r="BD346" s="2"/>
      <c r="BE346" s="2"/>
      <c r="BF346" s="2"/>
      <c r="BG346" s="2"/>
      <c r="BH346" s="2"/>
      <c r="BI346" s="2"/>
      <c r="BJ346" s="2"/>
      <c r="BK346" s="2"/>
      <c r="BL346" s="2"/>
      <c r="BM346" s="2"/>
      <c r="BN346" s="2"/>
      <c r="BO346" s="2"/>
      <c r="BP346" s="2"/>
      <c r="BQ346" s="2"/>
      <c r="BR346" s="2"/>
      <c r="BS346" s="2"/>
      <c r="BT346" s="2"/>
      <c r="BU346" s="2"/>
      <c r="BV346" s="2"/>
      <c r="BW346" s="2"/>
      <c r="BX346" s="2"/>
      <c r="BY346" s="2"/>
      <c r="BZ346" s="2"/>
      <c r="CA346" s="2"/>
      <c r="CB346" s="2"/>
      <c r="CC346" s="2"/>
      <c r="CD346" s="2"/>
      <c r="CE346" s="2"/>
      <c r="CF346" s="2"/>
    </row>
    <row r="347" spans="1:84" ht="12.65" customHeight="1" x14ac:dyDescent="0.35">
      <c r="A347" s="295"/>
      <c r="B347" s="295"/>
      <c r="C347" s="303"/>
      <c r="D347" s="295"/>
      <c r="E347" s="295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2"/>
      <c r="AO347" s="2"/>
      <c r="AP347" s="2"/>
      <c r="AQ347" s="2"/>
      <c r="AR347" s="2"/>
      <c r="AS347" s="2"/>
      <c r="AT347" s="2"/>
      <c r="AU347" s="2"/>
      <c r="AV347" s="2"/>
      <c r="AW347" s="2"/>
      <c r="AX347" s="2"/>
      <c r="AY347" s="2"/>
      <c r="AZ347" s="2"/>
      <c r="BA347" s="2"/>
      <c r="BB347" s="2"/>
      <c r="BC347" s="2"/>
      <c r="BD347" s="2"/>
      <c r="BE347" s="2"/>
      <c r="BF347" s="2"/>
      <c r="BG347" s="2"/>
      <c r="BH347" s="2"/>
      <c r="BI347" s="2"/>
      <c r="BJ347" s="2"/>
      <c r="BK347" s="2"/>
      <c r="BL347" s="2"/>
      <c r="BM347" s="2"/>
      <c r="BN347" s="2"/>
      <c r="BO347" s="2"/>
      <c r="BP347" s="2"/>
      <c r="BQ347" s="2"/>
      <c r="BR347" s="2"/>
      <c r="BS347" s="2"/>
      <c r="BT347" s="2"/>
      <c r="BU347" s="2"/>
      <c r="BV347" s="2"/>
      <c r="BW347" s="2"/>
      <c r="BX347" s="2"/>
      <c r="BY347" s="2"/>
      <c r="BZ347" s="2"/>
      <c r="CA347" s="2"/>
      <c r="CB347" s="2"/>
      <c r="CC347" s="2"/>
      <c r="CD347" s="2"/>
      <c r="CE347" s="2"/>
      <c r="CF347" s="2"/>
    </row>
    <row r="348" spans="1:84" ht="12.65" customHeight="1" x14ac:dyDescent="0.35">
      <c r="A348" s="295"/>
      <c r="B348" s="295"/>
      <c r="C348" s="303"/>
      <c r="D348" s="295"/>
      <c r="E348" s="295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  <c r="AN348" s="2"/>
      <c r="AO348" s="2"/>
      <c r="AP348" s="2"/>
      <c r="AQ348" s="2"/>
      <c r="AR348" s="2"/>
      <c r="AS348" s="2"/>
      <c r="AT348" s="2"/>
      <c r="AU348" s="2"/>
      <c r="AV348" s="2"/>
      <c r="AW348" s="2"/>
      <c r="AX348" s="2"/>
      <c r="AY348" s="2"/>
      <c r="AZ348" s="2"/>
      <c r="BA348" s="2"/>
      <c r="BB348" s="2"/>
      <c r="BC348" s="2"/>
      <c r="BD348" s="2"/>
      <c r="BE348" s="2"/>
      <c r="BF348" s="2"/>
      <c r="BG348" s="2"/>
      <c r="BH348" s="2"/>
      <c r="BI348" s="2"/>
      <c r="BJ348" s="2"/>
      <c r="BK348" s="2"/>
      <c r="BL348" s="2"/>
      <c r="BM348" s="2"/>
      <c r="BN348" s="2"/>
      <c r="BO348" s="2"/>
      <c r="BP348" s="2"/>
      <c r="BQ348" s="2"/>
      <c r="BR348" s="2"/>
      <c r="BS348" s="2"/>
      <c r="BT348" s="2"/>
      <c r="BU348" s="2"/>
      <c r="BV348" s="2"/>
      <c r="BW348" s="2"/>
      <c r="BX348" s="2"/>
      <c r="BY348" s="2"/>
      <c r="BZ348" s="2"/>
      <c r="CA348" s="2"/>
      <c r="CB348" s="2"/>
      <c r="CC348" s="2"/>
      <c r="CD348" s="2"/>
      <c r="CE348" s="2"/>
      <c r="CF348" s="2"/>
    </row>
    <row r="349" spans="1:84" ht="12.65" customHeight="1" x14ac:dyDescent="0.35">
      <c r="A349" s="295"/>
      <c r="B349" s="295"/>
      <c r="C349" s="303"/>
      <c r="D349" s="295"/>
      <c r="E349" s="295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2"/>
      <c r="AN349" s="2"/>
      <c r="AO349" s="2"/>
      <c r="AP349" s="2"/>
      <c r="AQ349" s="2"/>
      <c r="AR349" s="2"/>
      <c r="AS349" s="2"/>
      <c r="AT349" s="2"/>
      <c r="AU349" s="2"/>
      <c r="AV349" s="2"/>
      <c r="AW349" s="2"/>
      <c r="AX349" s="2"/>
      <c r="AY349" s="2"/>
      <c r="AZ349" s="2"/>
      <c r="BA349" s="2"/>
      <c r="BB349" s="2"/>
      <c r="BC349" s="2"/>
      <c r="BD349" s="2"/>
      <c r="BE349" s="2"/>
      <c r="BF349" s="2"/>
      <c r="BG349" s="2"/>
      <c r="BH349" s="2"/>
      <c r="BI349" s="2"/>
      <c r="BJ349" s="2"/>
      <c r="BK349" s="2"/>
      <c r="BL349" s="2"/>
      <c r="BM349" s="2"/>
      <c r="BN349" s="2"/>
      <c r="BO349" s="2"/>
      <c r="BP349" s="2"/>
      <c r="BQ349" s="2"/>
      <c r="BR349" s="2"/>
      <c r="BS349" s="2"/>
      <c r="BT349" s="2"/>
      <c r="BU349" s="2"/>
      <c r="BV349" s="2"/>
      <c r="BW349" s="2"/>
      <c r="BX349" s="2"/>
      <c r="BY349" s="2"/>
      <c r="BZ349" s="2"/>
      <c r="CA349" s="2"/>
      <c r="CB349" s="2"/>
      <c r="CC349" s="2"/>
      <c r="CD349" s="2"/>
      <c r="CE349" s="2"/>
      <c r="CF349" s="2"/>
    </row>
    <row r="350" spans="1:84" ht="12.65" customHeight="1" x14ac:dyDescent="0.35">
      <c r="A350" s="295"/>
      <c r="B350" s="295"/>
      <c r="C350" s="303"/>
      <c r="D350" s="295"/>
      <c r="E350" s="295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  <c r="AK350" s="2"/>
      <c r="AL350" s="2"/>
      <c r="AM350" s="2"/>
      <c r="AN350" s="2"/>
      <c r="AO350" s="2"/>
      <c r="AP350" s="2"/>
      <c r="AQ350" s="2"/>
      <c r="AR350" s="2"/>
      <c r="AS350" s="2"/>
      <c r="AT350" s="2"/>
      <c r="AU350" s="2"/>
      <c r="AV350" s="2"/>
      <c r="AW350" s="2"/>
      <c r="AX350" s="2"/>
      <c r="AY350" s="2"/>
      <c r="AZ350" s="2"/>
      <c r="BA350" s="2"/>
      <c r="BB350" s="2"/>
      <c r="BC350" s="2"/>
      <c r="BD350" s="2"/>
      <c r="BE350" s="2"/>
      <c r="BF350" s="2"/>
      <c r="BG350" s="2"/>
      <c r="BH350" s="2"/>
      <c r="BI350" s="2"/>
      <c r="BJ350" s="2"/>
      <c r="BK350" s="2"/>
      <c r="BL350" s="2"/>
      <c r="BM350" s="2"/>
      <c r="BN350" s="2"/>
      <c r="BO350" s="2"/>
      <c r="BP350" s="2"/>
      <c r="BQ350" s="2"/>
      <c r="BR350" s="2"/>
      <c r="BS350" s="2"/>
      <c r="BT350" s="2"/>
      <c r="BU350" s="2"/>
      <c r="BV350" s="2"/>
      <c r="BW350" s="2"/>
      <c r="BX350" s="2"/>
      <c r="BY350" s="2"/>
      <c r="BZ350" s="2"/>
      <c r="CA350" s="2"/>
      <c r="CB350" s="2"/>
      <c r="CC350" s="2"/>
      <c r="CD350" s="2"/>
      <c r="CE350" s="2"/>
      <c r="CF350" s="2"/>
    </row>
    <row r="351" spans="1:84" ht="12.65" customHeight="1" x14ac:dyDescent="0.35">
      <c r="A351" s="295"/>
      <c r="B351" s="295"/>
      <c r="C351" s="303"/>
      <c r="D351" s="295"/>
      <c r="E351" s="295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  <c r="AK351" s="2"/>
      <c r="AL351" s="2"/>
      <c r="AM351" s="2"/>
      <c r="AN351" s="2"/>
      <c r="AO351" s="2"/>
      <c r="AP351" s="2"/>
      <c r="AQ351" s="2"/>
      <c r="AR351" s="2"/>
      <c r="AS351" s="2"/>
      <c r="AT351" s="2"/>
      <c r="AU351" s="2"/>
      <c r="AV351" s="2"/>
      <c r="AW351" s="2"/>
      <c r="AX351" s="2"/>
      <c r="AY351" s="2"/>
      <c r="AZ351" s="2"/>
      <c r="BA351" s="2"/>
      <c r="BB351" s="2"/>
      <c r="BC351" s="2"/>
      <c r="BD351" s="2"/>
      <c r="BE351" s="2"/>
      <c r="BF351" s="2"/>
      <c r="BG351" s="2"/>
      <c r="BH351" s="2"/>
      <c r="BI351" s="2"/>
      <c r="BJ351" s="2"/>
      <c r="BK351" s="2"/>
      <c r="BL351" s="2"/>
      <c r="BM351" s="2"/>
      <c r="BN351" s="2"/>
      <c r="BO351" s="2"/>
      <c r="BP351" s="2"/>
      <c r="BQ351" s="2"/>
      <c r="BR351" s="2"/>
      <c r="BS351" s="2"/>
      <c r="BT351" s="2"/>
      <c r="BU351" s="2"/>
      <c r="BV351" s="2"/>
      <c r="BW351" s="2"/>
      <c r="BX351" s="2"/>
      <c r="BY351" s="2"/>
      <c r="BZ351" s="2"/>
      <c r="CA351" s="2"/>
      <c r="CB351" s="2"/>
      <c r="CC351" s="2"/>
      <c r="CD351" s="2"/>
      <c r="CE351" s="2"/>
      <c r="CF351" s="2"/>
    </row>
    <row r="352" spans="1:84" ht="12.65" customHeight="1" x14ac:dyDescent="0.35">
      <c r="A352" s="295"/>
      <c r="B352" s="295"/>
      <c r="C352" s="303"/>
      <c r="D352" s="295"/>
      <c r="E352" s="295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L352" s="2"/>
      <c r="AM352" s="2"/>
      <c r="AN352" s="2"/>
      <c r="AO352" s="2"/>
      <c r="AP352" s="2"/>
      <c r="AQ352" s="2"/>
      <c r="AR352" s="2"/>
      <c r="AS352" s="2"/>
      <c r="AT352" s="2"/>
      <c r="AU352" s="2"/>
      <c r="AV352" s="2"/>
      <c r="AW352" s="2"/>
      <c r="AX352" s="2"/>
      <c r="AY352" s="2"/>
      <c r="AZ352" s="2"/>
      <c r="BA352" s="2"/>
      <c r="BB352" s="2"/>
      <c r="BC352" s="2"/>
      <c r="BD352" s="2"/>
      <c r="BE352" s="2"/>
      <c r="BF352" s="2"/>
      <c r="BG352" s="2"/>
      <c r="BH352" s="2"/>
      <c r="BI352" s="2"/>
      <c r="BJ352" s="2"/>
      <c r="BK352" s="2"/>
      <c r="BL352" s="2"/>
      <c r="BM352" s="2"/>
      <c r="BN352" s="2"/>
      <c r="BO352" s="2"/>
      <c r="BP352" s="2"/>
      <c r="BQ352" s="2"/>
      <c r="BR352" s="2"/>
      <c r="BS352" s="2"/>
      <c r="BT352" s="2"/>
      <c r="BU352" s="2"/>
      <c r="BV352" s="2"/>
      <c r="BW352" s="2"/>
      <c r="BX352" s="2"/>
      <c r="BY352" s="2"/>
      <c r="BZ352" s="2"/>
      <c r="CA352" s="2"/>
      <c r="CB352" s="2"/>
      <c r="CC352" s="2"/>
      <c r="CD352" s="2"/>
      <c r="CE352" s="2"/>
      <c r="CF352" s="2"/>
    </row>
    <row r="353" spans="1:84" ht="12.65" customHeight="1" x14ac:dyDescent="0.35">
      <c r="A353" s="295"/>
      <c r="B353" s="295"/>
      <c r="C353" s="303"/>
      <c r="D353" s="295"/>
      <c r="E353" s="295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  <c r="AM353" s="2"/>
      <c r="AN353" s="2"/>
      <c r="AO353" s="2"/>
      <c r="AP353" s="2"/>
      <c r="AQ353" s="2"/>
      <c r="AR353" s="2"/>
      <c r="AS353" s="2"/>
      <c r="AT353" s="2"/>
      <c r="AU353" s="2"/>
      <c r="AV353" s="2"/>
      <c r="AW353" s="2"/>
      <c r="AX353" s="2"/>
      <c r="AY353" s="2"/>
      <c r="AZ353" s="2"/>
      <c r="BA353" s="2"/>
      <c r="BB353" s="2"/>
      <c r="BC353" s="2"/>
      <c r="BD353" s="2"/>
      <c r="BE353" s="2"/>
      <c r="BF353" s="2"/>
      <c r="BG353" s="2"/>
      <c r="BH353" s="2"/>
      <c r="BI353" s="2"/>
      <c r="BJ353" s="2"/>
      <c r="BK353" s="2"/>
      <c r="BL353" s="2"/>
      <c r="BM353" s="2"/>
      <c r="BN353" s="2"/>
      <c r="BO353" s="2"/>
      <c r="BP353" s="2"/>
      <c r="BQ353" s="2"/>
      <c r="BR353" s="2"/>
      <c r="BS353" s="2"/>
      <c r="BT353" s="2"/>
      <c r="BU353" s="2"/>
      <c r="BV353" s="2"/>
      <c r="BW353" s="2"/>
      <c r="BX353" s="2"/>
      <c r="BY353" s="2"/>
      <c r="BZ353" s="2"/>
      <c r="CA353" s="2"/>
      <c r="CB353" s="2"/>
      <c r="CC353" s="2"/>
      <c r="CD353" s="2"/>
      <c r="CE353" s="2"/>
      <c r="CF353" s="2"/>
    </row>
    <row r="354" spans="1:84" ht="12.65" customHeight="1" x14ac:dyDescent="0.35">
      <c r="A354" s="295"/>
      <c r="B354" s="295"/>
      <c r="C354" s="303"/>
      <c r="D354" s="295"/>
      <c r="E354" s="295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  <c r="AM354" s="2"/>
      <c r="AN354" s="2"/>
      <c r="AO354" s="2"/>
      <c r="AP354" s="2"/>
      <c r="AQ354" s="2"/>
      <c r="AR354" s="2"/>
      <c r="AS354" s="2"/>
      <c r="AT354" s="2"/>
      <c r="AU354" s="2"/>
      <c r="AV354" s="2"/>
      <c r="AW354" s="2"/>
      <c r="AX354" s="2"/>
      <c r="AY354" s="2"/>
      <c r="AZ354" s="2"/>
      <c r="BA354" s="2"/>
      <c r="BB354" s="2"/>
      <c r="BC354" s="2"/>
      <c r="BD354" s="2"/>
      <c r="BE354" s="2"/>
      <c r="BF354" s="2"/>
      <c r="BG354" s="2"/>
      <c r="BH354" s="2"/>
      <c r="BI354" s="2"/>
      <c r="BJ354" s="2"/>
      <c r="BK354" s="2"/>
      <c r="BL354" s="2"/>
      <c r="BM354" s="2"/>
      <c r="BN354" s="2"/>
      <c r="BO354" s="2"/>
      <c r="BP354" s="2"/>
      <c r="BQ354" s="2"/>
      <c r="BR354" s="2"/>
      <c r="BS354" s="2"/>
      <c r="BT354" s="2"/>
      <c r="BU354" s="2"/>
      <c r="BV354" s="2"/>
      <c r="BW354" s="2"/>
      <c r="BX354" s="2"/>
      <c r="BY354" s="2"/>
      <c r="BZ354" s="2"/>
      <c r="CA354" s="2"/>
      <c r="CB354" s="2"/>
      <c r="CC354" s="2"/>
      <c r="CD354" s="2"/>
      <c r="CE354" s="2"/>
      <c r="CF354" s="2"/>
    </row>
    <row r="355" spans="1:84" ht="20.25" customHeight="1" x14ac:dyDescent="0.35">
      <c r="A355" s="295"/>
      <c r="B355" s="295"/>
      <c r="C355" s="303"/>
      <c r="D355" s="295"/>
      <c r="E355" s="295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  <c r="AN355" s="2"/>
      <c r="AO355" s="2"/>
      <c r="AP355" s="2"/>
      <c r="AQ355" s="2"/>
      <c r="AR355" s="2"/>
      <c r="AS355" s="2"/>
      <c r="AT355" s="2"/>
      <c r="AU355" s="2"/>
      <c r="AV355" s="2"/>
      <c r="AW355" s="2"/>
      <c r="AX355" s="2"/>
      <c r="AY355" s="2"/>
      <c r="AZ355" s="2"/>
      <c r="BA355" s="2"/>
      <c r="BB355" s="2"/>
      <c r="BC355" s="2"/>
      <c r="BD355" s="2"/>
      <c r="BE355" s="2"/>
      <c r="BF355" s="2"/>
      <c r="BG355" s="2"/>
      <c r="BH355" s="2"/>
      <c r="BI355" s="2"/>
      <c r="BJ355" s="2"/>
      <c r="BK355" s="2"/>
      <c r="BL355" s="2"/>
      <c r="BM355" s="2"/>
      <c r="BN355" s="2"/>
      <c r="BO355" s="2"/>
      <c r="BP355" s="2"/>
      <c r="BQ355" s="2"/>
      <c r="BR355" s="2"/>
      <c r="BS355" s="2"/>
      <c r="BT355" s="2"/>
      <c r="BU355" s="2"/>
      <c r="BV355" s="2"/>
      <c r="BW355" s="2"/>
      <c r="BX355" s="2"/>
      <c r="BY355" s="2"/>
      <c r="BZ355" s="2"/>
      <c r="CA355" s="2"/>
      <c r="CB355" s="2"/>
      <c r="CC355" s="2"/>
      <c r="CD355" s="2"/>
      <c r="CE355" s="2"/>
      <c r="CF355" s="2"/>
    </row>
    <row r="356" spans="1:84" ht="12.65" customHeight="1" x14ac:dyDescent="0.35">
      <c r="A356" s="295"/>
      <c r="B356" s="295"/>
      <c r="C356" s="303"/>
      <c r="D356" s="295"/>
      <c r="E356" s="295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  <c r="AK356" s="2"/>
      <c r="AL356" s="2"/>
      <c r="AM356" s="2"/>
      <c r="AN356" s="2"/>
      <c r="AO356" s="2"/>
      <c r="AP356" s="2"/>
      <c r="AQ356" s="2"/>
      <c r="AR356" s="2"/>
      <c r="AS356" s="2"/>
      <c r="AT356" s="2"/>
      <c r="AU356" s="2"/>
      <c r="AV356" s="2"/>
      <c r="AW356" s="2"/>
      <c r="AX356" s="2"/>
      <c r="AY356" s="2"/>
      <c r="AZ356" s="2"/>
      <c r="BA356" s="2"/>
      <c r="BB356" s="2"/>
      <c r="BC356" s="2"/>
      <c r="BD356" s="2"/>
      <c r="BE356" s="2"/>
      <c r="BF356" s="2"/>
      <c r="BG356" s="2"/>
      <c r="BH356" s="2"/>
      <c r="BI356" s="2"/>
      <c r="BJ356" s="2"/>
      <c r="BK356" s="2"/>
      <c r="BL356" s="2"/>
      <c r="BM356" s="2"/>
      <c r="BN356" s="2"/>
      <c r="BO356" s="2"/>
      <c r="BP356" s="2"/>
      <c r="BQ356" s="2"/>
      <c r="BR356" s="2"/>
      <c r="BS356" s="2"/>
      <c r="BT356" s="2"/>
      <c r="BU356" s="2"/>
      <c r="BV356" s="2"/>
      <c r="BW356" s="2"/>
      <c r="BX356" s="2"/>
      <c r="BY356" s="2"/>
      <c r="BZ356" s="2"/>
      <c r="CA356" s="2"/>
      <c r="CB356" s="2"/>
      <c r="CC356" s="2"/>
      <c r="CD356" s="2"/>
      <c r="CE356" s="2"/>
      <c r="CF356" s="2"/>
    </row>
    <row r="357" spans="1:84" ht="12.65" customHeight="1" x14ac:dyDescent="0.35">
      <c r="A357" s="312" t="s">
        <v>426</v>
      </c>
      <c r="B357" s="312"/>
      <c r="C357" s="312"/>
      <c r="D357" s="312"/>
      <c r="E357" s="31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  <c r="AK357" s="2"/>
      <c r="AL357" s="2"/>
      <c r="AM357" s="2"/>
      <c r="AN357" s="2"/>
      <c r="AO357" s="2"/>
      <c r="AP357" s="2"/>
      <c r="AQ357" s="2"/>
      <c r="AR357" s="2"/>
      <c r="AS357" s="2"/>
      <c r="AT357" s="2"/>
      <c r="AU357" s="2"/>
      <c r="AV357" s="2"/>
      <c r="AW357" s="2"/>
      <c r="AX357" s="2"/>
      <c r="AY357" s="2"/>
      <c r="AZ357" s="2"/>
      <c r="BA357" s="2"/>
      <c r="BB357" s="2"/>
      <c r="BC357" s="2"/>
      <c r="BD357" s="2"/>
      <c r="BE357" s="2"/>
      <c r="BF357" s="2"/>
      <c r="BG357" s="2"/>
      <c r="BH357" s="2"/>
      <c r="BI357" s="2"/>
      <c r="BJ357" s="2"/>
      <c r="BK357" s="2"/>
      <c r="BL357" s="2"/>
      <c r="BM357" s="2"/>
      <c r="BN357" s="2"/>
      <c r="BO357" s="2"/>
      <c r="BP357" s="2"/>
      <c r="BQ357" s="2"/>
      <c r="BR357" s="2"/>
      <c r="BS357" s="2"/>
      <c r="BT357" s="2"/>
      <c r="BU357" s="2"/>
      <c r="BV357" s="2"/>
      <c r="BW357" s="2"/>
      <c r="BX357" s="2"/>
      <c r="BY357" s="2"/>
      <c r="BZ357" s="2"/>
      <c r="CA357" s="2"/>
      <c r="CB357" s="2"/>
      <c r="CC357" s="2"/>
      <c r="CD357" s="2"/>
      <c r="CE357" s="2"/>
      <c r="CF357" s="2"/>
    </row>
    <row r="358" spans="1:84" ht="12.65" customHeight="1" x14ac:dyDescent="0.35">
      <c r="A358" s="317" t="s">
        <v>427</v>
      </c>
      <c r="B358" s="317"/>
      <c r="C358" s="317"/>
      <c r="D358" s="317"/>
      <c r="E358" s="317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  <c r="AL358" s="2"/>
      <c r="AM358" s="2"/>
      <c r="AN358" s="2"/>
      <c r="AO358" s="2"/>
      <c r="AP358" s="2"/>
      <c r="AQ358" s="2"/>
      <c r="AR358" s="2"/>
      <c r="AS358" s="2"/>
      <c r="AT358" s="2"/>
      <c r="AU358" s="2"/>
      <c r="AV358" s="2"/>
      <c r="AW358" s="2"/>
      <c r="AX358" s="2"/>
      <c r="AY358" s="2"/>
      <c r="AZ358" s="2"/>
      <c r="BA358" s="2"/>
      <c r="BB358" s="2"/>
      <c r="BC358" s="2"/>
      <c r="BD358" s="2"/>
      <c r="BE358" s="2"/>
      <c r="BF358" s="2"/>
      <c r="BG358" s="2"/>
      <c r="BH358" s="2"/>
      <c r="BI358" s="2"/>
      <c r="BJ358" s="2"/>
      <c r="BK358" s="2"/>
      <c r="BL358" s="2"/>
      <c r="BM358" s="2"/>
      <c r="BN358" s="2"/>
      <c r="BO358" s="2"/>
      <c r="BP358" s="2"/>
      <c r="BQ358" s="2"/>
      <c r="BR358" s="2"/>
      <c r="BS358" s="2"/>
      <c r="BT358" s="2"/>
      <c r="BU358" s="2"/>
      <c r="BV358" s="2"/>
      <c r="BW358" s="2"/>
      <c r="BX358" s="2"/>
      <c r="BY358" s="2"/>
      <c r="BZ358" s="2"/>
      <c r="CA358" s="2"/>
      <c r="CB358" s="2"/>
      <c r="CC358" s="2"/>
      <c r="CD358" s="2"/>
      <c r="CE358" s="2"/>
      <c r="CF358" s="2"/>
    </row>
    <row r="359" spans="1:84" ht="12.65" customHeight="1" x14ac:dyDescent="0.35">
      <c r="A359" s="295" t="s">
        <v>428</v>
      </c>
      <c r="B359" s="313" t="s">
        <v>256</v>
      </c>
      <c r="C359" s="189">
        <v>806347253</v>
      </c>
      <c r="D359" s="295"/>
      <c r="E359" s="295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  <c r="AM359" s="2"/>
      <c r="AN359" s="2"/>
      <c r="AO359" s="2"/>
      <c r="AP359" s="2"/>
      <c r="AQ359" s="2"/>
      <c r="AR359" s="2"/>
      <c r="AS359" s="2"/>
      <c r="AT359" s="2"/>
      <c r="AU359" s="2"/>
      <c r="AV359" s="2"/>
      <c r="AW359" s="2"/>
      <c r="AX359" s="2"/>
      <c r="AY359" s="2"/>
      <c r="AZ359" s="2"/>
      <c r="BA359" s="2"/>
      <c r="BB359" s="2"/>
      <c r="BC359" s="2"/>
      <c r="BD359" s="2"/>
      <c r="BE359" s="2"/>
      <c r="BF359" s="2"/>
      <c r="BG359" s="2"/>
      <c r="BH359" s="2"/>
      <c r="BI359" s="2"/>
      <c r="BJ359" s="2"/>
      <c r="BK359" s="2"/>
      <c r="BL359" s="2"/>
      <c r="BM359" s="2"/>
      <c r="BN359" s="2"/>
      <c r="BO359" s="2"/>
      <c r="BP359" s="2"/>
      <c r="BQ359" s="2"/>
      <c r="BR359" s="2"/>
      <c r="BS359" s="2"/>
      <c r="BT359" s="2"/>
      <c r="BU359" s="2"/>
      <c r="BV359" s="2"/>
      <c r="BW359" s="2"/>
      <c r="BX359" s="2"/>
      <c r="BY359" s="2"/>
      <c r="BZ359" s="2"/>
      <c r="CA359" s="2"/>
      <c r="CB359" s="2"/>
      <c r="CC359" s="2"/>
      <c r="CD359" s="2"/>
      <c r="CE359" s="2"/>
      <c r="CF359" s="2"/>
    </row>
    <row r="360" spans="1:84" ht="12.65" customHeight="1" x14ac:dyDescent="0.35">
      <c r="A360" s="295" t="s">
        <v>429</v>
      </c>
      <c r="B360" s="313" t="s">
        <v>256</v>
      </c>
      <c r="C360" s="189">
        <v>1098178162</v>
      </c>
      <c r="D360" s="295"/>
      <c r="E360" s="295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  <c r="AK360" s="2"/>
      <c r="AL360" s="2"/>
      <c r="AM360" s="2"/>
      <c r="AN360" s="2"/>
      <c r="AO360" s="2"/>
      <c r="AP360" s="2"/>
      <c r="AQ360" s="2"/>
      <c r="AR360" s="2"/>
      <c r="AS360" s="2"/>
      <c r="AT360" s="2"/>
      <c r="AU360" s="2"/>
      <c r="AV360" s="2"/>
      <c r="AW360" s="2"/>
      <c r="AX360" s="2"/>
      <c r="AY360" s="2"/>
      <c r="AZ360" s="2"/>
      <c r="BA360" s="2"/>
      <c r="BB360" s="2"/>
      <c r="BC360" s="2"/>
      <c r="BD360" s="2"/>
      <c r="BE360" s="2"/>
      <c r="BF360" s="2"/>
      <c r="BG360" s="2"/>
      <c r="BH360" s="2"/>
      <c r="BI360" s="2"/>
      <c r="BJ360" s="2"/>
      <c r="BK360" s="2"/>
      <c r="BL360" s="2"/>
      <c r="BM360" s="2"/>
      <c r="BN360" s="2"/>
      <c r="BO360" s="2"/>
      <c r="BP360" s="2"/>
      <c r="BQ360" s="2"/>
      <c r="BR360" s="2"/>
      <c r="BS360" s="2"/>
      <c r="BT360" s="2"/>
      <c r="BU360" s="2"/>
      <c r="BV360" s="2"/>
      <c r="BW360" s="2"/>
      <c r="BX360" s="2"/>
      <c r="BY360" s="2"/>
      <c r="BZ360" s="2"/>
      <c r="CA360" s="2"/>
      <c r="CB360" s="2"/>
      <c r="CC360" s="2"/>
      <c r="CD360" s="2"/>
      <c r="CE360" s="2"/>
      <c r="CF360" s="2"/>
    </row>
    <row r="361" spans="1:84" ht="12.65" customHeight="1" x14ac:dyDescent="0.35">
      <c r="A361" s="295" t="s">
        <v>430</v>
      </c>
      <c r="B361" s="295"/>
      <c r="C361" s="303"/>
      <c r="D361" s="295">
        <f>SUM(C359:C360)</f>
        <v>1904525415</v>
      </c>
      <c r="E361" s="295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  <c r="AL361" s="2"/>
      <c r="AM361" s="2"/>
      <c r="AN361" s="2"/>
      <c r="AO361" s="2"/>
      <c r="AP361" s="2"/>
      <c r="AQ361" s="2"/>
      <c r="AR361" s="2"/>
      <c r="AS361" s="2"/>
      <c r="AT361" s="2"/>
      <c r="AU361" s="2"/>
      <c r="AV361" s="2"/>
      <c r="AW361" s="2"/>
      <c r="AX361" s="2"/>
      <c r="AY361" s="2"/>
      <c r="AZ361" s="2"/>
      <c r="BA361" s="2"/>
      <c r="BB361" s="2"/>
      <c r="BC361" s="2"/>
      <c r="BD361" s="2"/>
      <c r="BE361" s="2"/>
      <c r="BF361" s="2"/>
      <c r="BG361" s="2"/>
      <c r="BH361" s="2"/>
      <c r="BI361" s="2"/>
      <c r="BJ361" s="2"/>
      <c r="BK361" s="2"/>
      <c r="BL361" s="2"/>
      <c r="BM361" s="2"/>
      <c r="BN361" s="2"/>
      <c r="BO361" s="2"/>
      <c r="BP361" s="2"/>
      <c r="BQ361" s="2"/>
      <c r="BR361" s="2"/>
      <c r="BS361" s="2"/>
      <c r="BT361" s="2"/>
      <c r="BU361" s="2"/>
      <c r="BV361" s="2"/>
      <c r="BW361" s="2"/>
      <c r="BX361" s="2"/>
      <c r="BY361" s="2"/>
      <c r="BZ361" s="2"/>
      <c r="CA361" s="2"/>
      <c r="CB361" s="2"/>
      <c r="CC361" s="2"/>
      <c r="CD361" s="2"/>
      <c r="CE361" s="2"/>
      <c r="CF361" s="2"/>
    </row>
    <row r="362" spans="1:84" ht="12.65" customHeight="1" x14ac:dyDescent="0.35">
      <c r="A362" s="317" t="s">
        <v>431</v>
      </c>
      <c r="B362" s="317"/>
      <c r="C362" s="317"/>
      <c r="D362" s="317"/>
      <c r="E362" s="317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  <c r="AN362" s="2"/>
      <c r="AO362" s="2"/>
      <c r="AP362" s="2"/>
      <c r="AQ362" s="2"/>
      <c r="AR362" s="2"/>
      <c r="AS362" s="2"/>
      <c r="AT362" s="2"/>
      <c r="AU362" s="2"/>
      <c r="AV362" s="2"/>
      <c r="AW362" s="2"/>
      <c r="AX362" s="2"/>
      <c r="AY362" s="2"/>
      <c r="AZ362" s="2"/>
      <c r="BA362" s="2"/>
      <c r="BB362" s="2"/>
      <c r="BC362" s="2"/>
      <c r="BD362" s="2"/>
      <c r="BE362" s="2"/>
      <c r="BF362" s="2"/>
      <c r="BG362" s="2"/>
      <c r="BH362" s="2"/>
      <c r="BI362" s="2"/>
      <c r="BJ362" s="2"/>
      <c r="BK362" s="2"/>
      <c r="BL362" s="2"/>
      <c r="BM362" s="2"/>
      <c r="BN362" s="2"/>
      <c r="BO362" s="2"/>
      <c r="BP362" s="2"/>
      <c r="BQ362" s="2"/>
      <c r="BR362" s="2"/>
      <c r="BS362" s="2"/>
      <c r="BT362" s="2"/>
      <c r="BU362" s="2"/>
      <c r="BV362" s="2"/>
      <c r="BW362" s="2"/>
      <c r="BX362" s="2"/>
      <c r="BY362" s="2"/>
      <c r="BZ362" s="2"/>
      <c r="CA362" s="2"/>
      <c r="CB362" s="2"/>
      <c r="CC362" s="2"/>
      <c r="CD362" s="2"/>
      <c r="CE362" s="2"/>
      <c r="CF362" s="2"/>
    </row>
    <row r="363" spans="1:84" ht="12.65" customHeight="1" x14ac:dyDescent="0.35">
      <c r="A363" s="295" t="s">
        <v>1254</v>
      </c>
      <c r="B363" s="317"/>
      <c r="C363" s="189">
        <v>14990941</v>
      </c>
      <c r="D363" s="295"/>
      <c r="E363" s="317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  <c r="AN363" s="2"/>
      <c r="AO363" s="2"/>
      <c r="AP363" s="2"/>
      <c r="AQ363" s="2"/>
      <c r="AR363" s="2"/>
      <c r="AS363" s="2"/>
      <c r="AT363" s="2"/>
      <c r="AU363" s="2"/>
      <c r="AV363" s="2"/>
      <c r="AW363" s="2"/>
      <c r="AX363" s="2"/>
      <c r="AY363" s="2"/>
      <c r="AZ363" s="2"/>
      <c r="BA363" s="2"/>
      <c r="BB363" s="2"/>
      <c r="BC363" s="2"/>
      <c r="BD363" s="2"/>
      <c r="BE363" s="2"/>
      <c r="BF363" s="2"/>
      <c r="BG363" s="2"/>
      <c r="BH363" s="2"/>
      <c r="BI363" s="2"/>
      <c r="BJ363" s="2"/>
      <c r="BK363" s="2"/>
      <c r="BL363" s="2"/>
      <c r="BM363" s="2"/>
      <c r="BN363" s="2"/>
      <c r="BO363" s="2"/>
      <c r="BP363" s="2"/>
      <c r="BQ363" s="2"/>
      <c r="BR363" s="2"/>
      <c r="BS363" s="2"/>
      <c r="BT363" s="2"/>
      <c r="BU363" s="2"/>
      <c r="BV363" s="2"/>
      <c r="BW363" s="2"/>
      <c r="BX363" s="2"/>
      <c r="BY363" s="2"/>
      <c r="BZ363" s="2"/>
      <c r="CA363" s="2"/>
      <c r="CB363" s="2"/>
      <c r="CC363" s="2"/>
      <c r="CD363" s="2"/>
      <c r="CE363" s="2"/>
      <c r="CF363" s="2"/>
    </row>
    <row r="364" spans="1:84" ht="12.65" customHeight="1" x14ac:dyDescent="0.35">
      <c r="A364" s="295" t="s">
        <v>432</v>
      </c>
      <c r="B364" s="313" t="s">
        <v>256</v>
      </c>
      <c r="C364" s="189">
        <v>1212049579</v>
      </c>
      <c r="D364" s="295"/>
      <c r="E364" s="295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  <c r="AK364" s="2"/>
      <c r="AL364" s="2"/>
      <c r="AM364" s="2"/>
      <c r="AN364" s="2"/>
      <c r="AO364" s="2"/>
      <c r="AP364" s="2"/>
      <c r="AQ364" s="2"/>
      <c r="AR364" s="2"/>
      <c r="AS364" s="2"/>
      <c r="AT364" s="2"/>
      <c r="AU364" s="2"/>
      <c r="AV364" s="2"/>
      <c r="AW364" s="2"/>
      <c r="AX364" s="2"/>
      <c r="AY364" s="2"/>
      <c r="AZ364" s="2"/>
      <c r="BA364" s="2"/>
      <c r="BB364" s="2"/>
      <c r="BC364" s="2"/>
      <c r="BD364" s="2"/>
      <c r="BE364" s="2"/>
      <c r="BF364" s="2"/>
      <c r="BG364" s="2"/>
      <c r="BH364" s="2"/>
      <c r="BI364" s="2"/>
      <c r="BJ364" s="2"/>
      <c r="BK364" s="2"/>
      <c r="BL364" s="2"/>
      <c r="BM364" s="2"/>
      <c r="BN364" s="2"/>
      <c r="BO364" s="2"/>
      <c r="BP364" s="2"/>
      <c r="BQ364" s="2"/>
      <c r="BR364" s="2"/>
      <c r="BS364" s="2"/>
      <c r="BT364" s="2"/>
      <c r="BU364" s="2"/>
      <c r="BV364" s="2"/>
      <c r="BW364" s="2"/>
      <c r="BX364" s="2"/>
      <c r="BY364" s="2"/>
      <c r="BZ364" s="2"/>
      <c r="CA364" s="2"/>
      <c r="CB364" s="2"/>
      <c r="CC364" s="2"/>
      <c r="CD364" s="2"/>
      <c r="CE364" s="2"/>
      <c r="CF364" s="2"/>
    </row>
    <row r="365" spans="1:84" ht="12.65" customHeight="1" x14ac:dyDescent="0.35">
      <c r="A365" s="295" t="s">
        <v>433</v>
      </c>
      <c r="B365" s="313" t="s">
        <v>256</v>
      </c>
      <c r="C365" s="189">
        <v>8243073</v>
      </c>
      <c r="D365" s="295"/>
      <c r="E365" s="295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  <c r="AK365" s="2"/>
      <c r="AL365" s="2"/>
      <c r="AM365" s="2"/>
      <c r="AN365" s="2"/>
      <c r="AO365" s="2"/>
      <c r="AP365" s="2"/>
      <c r="AQ365" s="2"/>
      <c r="AR365" s="2"/>
      <c r="AS365" s="2"/>
      <c r="AT365" s="2"/>
      <c r="AU365" s="2"/>
      <c r="AV365" s="2"/>
      <c r="AW365" s="2"/>
      <c r="AX365" s="2"/>
      <c r="AY365" s="2"/>
      <c r="AZ365" s="2"/>
      <c r="BA365" s="2"/>
      <c r="BB365" s="2"/>
      <c r="BC365" s="2"/>
      <c r="BD365" s="2"/>
      <c r="BE365" s="2"/>
      <c r="BF365" s="2"/>
      <c r="BG365" s="2"/>
      <c r="BH365" s="2"/>
      <c r="BI365" s="2"/>
      <c r="BJ365" s="2"/>
      <c r="BK365" s="2"/>
      <c r="BL365" s="2"/>
      <c r="BM365" s="2"/>
      <c r="BN365" s="2"/>
      <c r="BO365" s="2"/>
      <c r="BP365" s="2"/>
      <c r="BQ365" s="2"/>
      <c r="BR365" s="2"/>
      <c r="BS365" s="2"/>
      <c r="BT365" s="2"/>
      <c r="BU365" s="2"/>
      <c r="BV365" s="2"/>
      <c r="BW365" s="2"/>
      <c r="BX365" s="2"/>
      <c r="BY365" s="2"/>
      <c r="BZ365" s="2"/>
      <c r="CA365" s="2"/>
      <c r="CB365" s="2"/>
      <c r="CC365" s="2"/>
      <c r="CD365" s="2"/>
      <c r="CE365" s="2"/>
      <c r="CF365" s="2"/>
    </row>
    <row r="366" spans="1:84" ht="12.65" customHeight="1" x14ac:dyDescent="0.35">
      <c r="A366" s="295" t="s">
        <v>434</v>
      </c>
      <c r="B366" s="313" t="s">
        <v>256</v>
      </c>
      <c r="C366" s="189">
        <v>5233395</v>
      </c>
      <c r="D366" s="295"/>
      <c r="E366" s="295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  <c r="AM366" s="2"/>
      <c r="AN366" s="2"/>
      <c r="AO366" s="2"/>
      <c r="AP366" s="2"/>
      <c r="AQ366" s="2"/>
      <c r="AR366" s="2"/>
      <c r="AS366" s="2"/>
      <c r="AT366" s="2"/>
      <c r="AU366" s="2"/>
      <c r="AV366" s="2"/>
      <c r="AW366" s="2"/>
      <c r="AX366" s="2"/>
      <c r="AY366" s="2"/>
      <c r="AZ366" s="2"/>
      <c r="BA366" s="2"/>
      <c r="BB366" s="2"/>
      <c r="BC366" s="2"/>
      <c r="BD366" s="2"/>
      <c r="BE366" s="2"/>
      <c r="BF366" s="2"/>
      <c r="BG366" s="2"/>
      <c r="BH366" s="2"/>
      <c r="BI366" s="2"/>
      <c r="BJ366" s="2"/>
      <c r="BK366" s="2"/>
      <c r="BL366" s="2"/>
      <c r="BM366" s="2"/>
      <c r="BN366" s="2"/>
      <c r="BO366" s="2"/>
      <c r="BP366" s="2"/>
      <c r="BQ366" s="2"/>
      <c r="BR366" s="2"/>
      <c r="BS366" s="2"/>
      <c r="BT366" s="2"/>
      <c r="BU366" s="2"/>
      <c r="BV366" s="2"/>
      <c r="BW366" s="2"/>
      <c r="BX366" s="2"/>
      <c r="BY366" s="2"/>
      <c r="BZ366" s="2"/>
      <c r="CA366" s="2"/>
      <c r="CB366" s="2"/>
      <c r="CC366" s="2"/>
      <c r="CD366" s="2"/>
      <c r="CE366" s="2"/>
      <c r="CF366" s="2"/>
    </row>
    <row r="367" spans="1:84" ht="12.65" customHeight="1" x14ac:dyDescent="0.35">
      <c r="A367" s="295" t="s">
        <v>359</v>
      </c>
      <c r="B367" s="295"/>
      <c r="C367" s="303"/>
      <c r="D367" s="295">
        <f>SUM(C363:C366)</f>
        <v>1240516988</v>
      </c>
      <c r="E367" s="295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L367" s="2"/>
      <c r="AM367" s="2"/>
      <c r="AN367" s="2"/>
      <c r="AO367" s="2"/>
      <c r="AP367" s="2"/>
      <c r="AQ367" s="2"/>
      <c r="AR367" s="2"/>
      <c r="AS367" s="2"/>
      <c r="AT367" s="2"/>
      <c r="AU367" s="2"/>
      <c r="AV367" s="2"/>
      <c r="AW367" s="2"/>
      <c r="AX367" s="2"/>
      <c r="AY367" s="2"/>
      <c r="AZ367" s="2"/>
      <c r="BA367" s="2"/>
      <c r="BB367" s="2"/>
      <c r="BC367" s="2"/>
      <c r="BD367" s="2"/>
      <c r="BE367" s="2"/>
      <c r="BF367" s="2"/>
      <c r="BG367" s="2"/>
      <c r="BH367" s="2"/>
      <c r="BI367" s="2"/>
      <c r="BJ367" s="2"/>
      <c r="BK367" s="2"/>
      <c r="BL367" s="2"/>
      <c r="BM367" s="2"/>
      <c r="BN367" s="2"/>
      <c r="BO367" s="2"/>
      <c r="BP367" s="2"/>
      <c r="BQ367" s="2"/>
      <c r="BR367" s="2"/>
      <c r="BS367" s="2"/>
      <c r="BT367" s="2"/>
      <c r="BU367" s="2"/>
      <c r="BV367" s="2"/>
      <c r="BW367" s="2"/>
      <c r="BX367" s="2"/>
      <c r="BY367" s="2"/>
      <c r="BZ367" s="2"/>
      <c r="CA367" s="2"/>
      <c r="CB367" s="2"/>
      <c r="CC367" s="2"/>
      <c r="CD367" s="2"/>
      <c r="CE367" s="2"/>
      <c r="CF367" s="2"/>
    </row>
    <row r="368" spans="1:84" ht="12.65" customHeight="1" x14ac:dyDescent="0.35">
      <c r="A368" s="295" t="s">
        <v>435</v>
      </c>
      <c r="B368" s="295"/>
      <c r="C368" s="303"/>
      <c r="D368" s="295">
        <f>D361-D367</f>
        <v>664008427</v>
      </c>
      <c r="E368" s="295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L368" s="2"/>
      <c r="AM368" s="2"/>
      <c r="AN368" s="2"/>
      <c r="AO368" s="2"/>
      <c r="AP368" s="2"/>
      <c r="AQ368" s="2"/>
      <c r="AR368" s="2"/>
      <c r="AS368" s="2"/>
      <c r="AT368" s="2"/>
      <c r="AU368" s="2"/>
      <c r="AV368" s="2"/>
      <c r="AW368" s="2"/>
      <c r="AX368" s="2"/>
      <c r="AY368" s="2"/>
      <c r="AZ368" s="2"/>
      <c r="BA368" s="2"/>
      <c r="BB368" s="2"/>
      <c r="BC368" s="2"/>
      <c r="BD368" s="2"/>
      <c r="BE368" s="2"/>
      <c r="BF368" s="2"/>
      <c r="BG368" s="2"/>
      <c r="BH368" s="2"/>
      <c r="BI368" s="2"/>
      <c r="BJ368" s="2"/>
      <c r="BK368" s="2"/>
      <c r="BL368" s="2"/>
      <c r="BM368" s="2"/>
      <c r="BN368" s="2"/>
      <c r="BO368" s="2"/>
      <c r="BP368" s="2"/>
      <c r="BQ368" s="2"/>
      <c r="BR368" s="2"/>
      <c r="BS368" s="2"/>
      <c r="BT368" s="2"/>
      <c r="BU368" s="2"/>
      <c r="BV368" s="2"/>
      <c r="BW368" s="2"/>
      <c r="BX368" s="2"/>
      <c r="BY368" s="2"/>
      <c r="BZ368" s="2"/>
      <c r="CA368" s="2"/>
      <c r="CB368" s="2"/>
      <c r="CC368" s="2"/>
      <c r="CD368" s="2"/>
      <c r="CE368" s="2"/>
      <c r="CF368" s="2"/>
    </row>
    <row r="369" spans="1:84" ht="12.65" customHeight="1" x14ac:dyDescent="0.35">
      <c r="A369" s="317" t="s">
        <v>436</v>
      </c>
      <c r="B369" s="317"/>
      <c r="C369" s="317"/>
      <c r="D369" s="317"/>
      <c r="E369" s="317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L369" s="2"/>
      <c r="AM369" s="2"/>
      <c r="AN369" s="2"/>
      <c r="AO369" s="2"/>
      <c r="AP369" s="2"/>
      <c r="AQ369" s="2"/>
      <c r="AR369" s="2"/>
      <c r="AS369" s="2"/>
      <c r="AT369" s="2"/>
      <c r="AU369" s="2"/>
      <c r="AV369" s="2"/>
      <c r="AW369" s="2"/>
      <c r="AX369" s="2"/>
      <c r="AY369" s="2"/>
      <c r="AZ369" s="2"/>
      <c r="BA369" s="2"/>
      <c r="BB369" s="2"/>
      <c r="BC369" s="2"/>
      <c r="BD369" s="2"/>
      <c r="BE369" s="2"/>
      <c r="BF369" s="2"/>
      <c r="BG369" s="2"/>
      <c r="BH369" s="2"/>
      <c r="BI369" s="2"/>
      <c r="BJ369" s="2"/>
      <c r="BK369" s="2"/>
      <c r="BL369" s="2"/>
      <c r="BM369" s="2"/>
      <c r="BN369" s="2"/>
      <c r="BO369" s="2"/>
      <c r="BP369" s="2"/>
      <c r="BQ369" s="2"/>
      <c r="BR369" s="2"/>
      <c r="BS369" s="2"/>
      <c r="BT369" s="2"/>
      <c r="BU369" s="2"/>
      <c r="BV369" s="2"/>
      <c r="BW369" s="2"/>
      <c r="BX369" s="2"/>
      <c r="BY369" s="2"/>
      <c r="BZ369" s="2"/>
      <c r="CA369" s="2"/>
      <c r="CB369" s="2"/>
      <c r="CC369" s="2"/>
      <c r="CD369" s="2"/>
      <c r="CE369" s="2"/>
      <c r="CF369" s="2"/>
    </row>
    <row r="370" spans="1:84" ht="12.65" customHeight="1" x14ac:dyDescent="0.35">
      <c r="A370" s="295" t="s">
        <v>437</v>
      </c>
      <c r="B370" s="313" t="s">
        <v>256</v>
      </c>
      <c r="C370" s="189">
        <v>47001114</v>
      </c>
      <c r="D370" s="295"/>
      <c r="E370" s="295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  <c r="AK370" s="2"/>
      <c r="AL370" s="2"/>
      <c r="AM370" s="2"/>
      <c r="AN370" s="2"/>
      <c r="AO370" s="2"/>
      <c r="AP370" s="2"/>
      <c r="AQ370" s="2"/>
      <c r="AR370" s="2"/>
      <c r="AS370" s="2"/>
      <c r="AT370" s="2"/>
      <c r="AU370" s="2"/>
      <c r="AV370" s="2"/>
      <c r="AW370" s="2"/>
      <c r="AX370" s="2"/>
      <c r="AY370" s="2"/>
      <c r="AZ370" s="2"/>
      <c r="BA370" s="2"/>
      <c r="BB370" s="2"/>
      <c r="BC370" s="2"/>
      <c r="BD370" s="2"/>
      <c r="BE370" s="2"/>
      <c r="BF370" s="2"/>
      <c r="BG370" s="2"/>
      <c r="BH370" s="2"/>
      <c r="BI370" s="2"/>
      <c r="BJ370" s="2"/>
      <c r="BK370" s="2"/>
      <c r="BL370" s="2"/>
      <c r="BM370" s="2"/>
      <c r="BN370" s="2"/>
      <c r="BO370" s="2"/>
      <c r="BP370" s="2"/>
      <c r="BQ370" s="2"/>
      <c r="BR370" s="2"/>
      <c r="BS370" s="2"/>
      <c r="BT370" s="2"/>
      <c r="BU370" s="2"/>
      <c r="BV370" s="2"/>
      <c r="BW370" s="2"/>
      <c r="BX370" s="2"/>
      <c r="BY370" s="2"/>
      <c r="BZ370" s="2"/>
      <c r="CA370" s="2"/>
      <c r="CB370" s="2"/>
      <c r="CC370" s="2"/>
      <c r="CD370" s="2"/>
      <c r="CE370" s="2"/>
      <c r="CF370" s="2"/>
    </row>
    <row r="371" spans="1:84" ht="12.65" customHeight="1" x14ac:dyDescent="0.35">
      <c r="A371" s="295" t="s">
        <v>438</v>
      </c>
      <c r="B371" s="313" t="s">
        <v>256</v>
      </c>
      <c r="C371" s="189">
        <v>27871776</v>
      </c>
      <c r="D371" s="295"/>
      <c r="E371" s="295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  <c r="AK371" s="2"/>
      <c r="AL371" s="2"/>
      <c r="AM371" s="2"/>
      <c r="AN371" s="2"/>
      <c r="AO371" s="2"/>
      <c r="AP371" s="2"/>
      <c r="AQ371" s="2"/>
      <c r="AR371" s="2"/>
      <c r="AS371" s="2"/>
      <c r="AT371" s="2"/>
      <c r="AU371" s="2"/>
      <c r="AV371" s="2"/>
      <c r="AW371" s="2"/>
      <c r="AX371" s="2"/>
      <c r="AY371" s="2"/>
      <c r="AZ371" s="2"/>
      <c r="BA371" s="2"/>
      <c r="BB371" s="2"/>
      <c r="BC371" s="2"/>
      <c r="BD371" s="2"/>
      <c r="BE371" s="2"/>
      <c r="BF371" s="2"/>
      <c r="BG371" s="2"/>
      <c r="BH371" s="2"/>
      <c r="BI371" s="2"/>
      <c r="BJ371" s="2"/>
      <c r="BK371" s="2"/>
      <c r="BL371" s="2"/>
      <c r="BM371" s="2"/>
      <c r="BN371" s="2"/>
      <c r="BO371" s="2"/>
      <c r="BP371" s="2"/>
      <c r="BQ371" s="2"/>
      <c r="BR371" s="2"/>
      <c r="BS371" s="2"/>
      <c r="BT371" s="2"/>
      <c r="BU371" s="2"/>
      <c r="BV371" s="2"/>
      <c r="BW371" s="2"/>
      <c r="BX371" s="2"/>
      <c r="BY371" s="2"/>
      <c r="BZ371" s="2"/>
      <c r="CA371" s="2"/>
      <c r="CB371" s="2"/>
      <c r="CC371" s="2"/>
      <c r="CD371" s="2"/>
      <c r="CE371" s="2"/>
      <c r="CF371" s="2"/>
    </row>
    <row r="372" spans="1:84" ht="12.65" customHeight="1" x14ac:dyDescent="0.35">
      <c r="A372" s="295" t="s">
        <v>439</v>
      </c>
      <c r="B372" s="295"/>
      <c r="C372" s="303"/>
      <c r="D372" s="295">
        <f>SUM(C370:C371)</f>
        <v>74872890</v>
      </c>
      <c r="E372" s="295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  <c r="AK372" s="2"/>
      <c r="AL372" s="2"/>
      <c r="AM372" s="2"/>
      <c r="AN372" s="2"/>
      <c r="AO372" s="2"/>
      <c r="AP372" s="2"/>
      <c r="AQ372" s="2"/>
      <c r="AR372" s="2"/>
      <c r="AS372" s="2"/>
      <c r="AT372" s="2"/>
      <c r="AU372" s="2"/>
      <c r="AV372" s="2"/>
      <c r="AW372" s="2"/>
      <c r="AX372" s="2"/>
      <c r="AY372" s="2"/>
      <c r="AZ372" s="2"/>
      <c r="BA372" s="2"/>
      <c r="BB372" s="2"/>
      <c r="BC372" s="2"/>
      <c r="BD372" s="2"/>
      <c r="BE372" s="2"/>
      <c r="BF372" s="2"/>
      <c r="BG372" s="2"/>
      <c r="BH372" s="2"/>
      <c r="BI372" s="2"/>
      <c r="BJ372" s="2"/>
      <c r="BK372" s="2"/>
      <c r="BL372" s="2"/>
      <c r="BM372" s="2"/>
      <c r="BN372" s="2"/>
      <c r="BO372" s="2"/>
      <c r="BP372" s="2"/>
      <c r="BQ372" s="2"/>
      <c r="BR372" s="2"/>
      <c r="BS372" s="2"/>
      <c r="BT372" s="2"/>
      <c r="BU372" s="2"/>
      <c r="BV372" s="2"/>
      <c r="BW372" s="2"/>
      <c r="BX372" s="2"/>
      <c r="BY372" s="2"/>
      <c r="BZ372" s="2"/>
      <c r="CA372" s="2"/>
      <c r="CB372" s="2"/>
      <c r="CC372" s="2"/>
      <c r="CD372" s="2"/>
      <c r="CE372" s="2"/>
      <c r="CF372" s="2"/>
    </row>
    <row r="373" spans="1:84" ht="12.65" customHeight="1" x14ac:dyDescent="0.35">
      <c r="A373" s="295" t="s">
        <v>440</v>
      </c>
      <c r="B373" s="295"/>
      <c r="C373" s="303"/>
      <c r="D373" s="295">
        <f>D368+D372</f>
        <v>738881317</v>
      </c>
      <c r="E373" s="295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  <c r="AK373" s="2"/>
      <c r="AL373" s="2"/>
      <c r="AM373" s="2"/>
      <c r="AN373" s="2"/>
      <c r="AO373" s="2"/>
      <c r="AP373" s="2"/>
      <c r="AQ373" s="2"/>
      <c r="AR373" s="2"/>
      <c r="AS373" s="2"/>
      <c r="AT373" s="2"/>
      <c r="AU373" s="2"/>
      <c r="AV373" s="2"/>
      <c r="AW373" s="2"/>
      <c r="AX373" s="2"/>
      <c r="AY373" s="2"/>
      <c r="AZ373" s="2"/>
      <c r="BA373" s="2"/>
      <c r="BB373" s="2"/>
      <c r="BC373" s="2"/>
      <c r="BD373" s="2"/>
      <c r="BE373" s="2"/>
      <c r="BF373" s="2"/>
      <c r="BG373" s="2"/>
      <c r="BH373" s="2"/>
      <c r="BI373" s="2"/>
      <c r="BJ373" s="2"/>
      <c r="BK373" s="2"/>
      <c r="BL373" s="2"/>
      <c r="BM373" s="2"/>
      <c r="BN373" s="2"/>
      <c r="BO373" s="2"/>
      <c r="BP373" s="2"/>
      <c r="BQ373" s="2"/>
      <c r="BR373" s="2"/>
      <c r="BS373" s="2"/>
      <c r="BT373" s="2"/>
      <c r="BU373" s="2"/>
      <c r="BV373" s="2"/>
      <c r="BW373" s="2"/>
      <c r="BX373" s="2"/>
      <c r="BY373" s="2"/>
      <c r="BZ373" s="2"/>
      <c r="CA373" s="2"/>
      <c r="CB373" s="2"/>
      <c r="CC373" s="2"/>
      <c r="CD373" s="2"/>
      <c r="CE373" s="2"/>
      <c r="CF373" s="2"/>
    </row>
    <row r="374" spans="1:84" ht="12.65" customHeight="1" x14ac:dyDescent="0.35">
      <c r="A374" s="295"/>
      <c r="B374" s="295"/>
      <c r="C374" s="303"/>
      <c r="D374" s="295"/>
      <c r="E374" s="295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  <c r="AK374" s="2"/>
      <c r="AL374" s="2"/>
      <c r="AM374" s="2"/>
      <c r="AN374" s="2"/>
      <c r="AO374" s="2"/>
      <c r="AP374" s="2"/>
      <c r="AQ374" s="2"/>
      <c r="AR374" s="2"/>
      <c r="AS374" s="2"/>
      <c r="AT374" s="2"/>
      <c r="AU374" s="2"/>
      <c r="AV374" s="2"/>
      <c r="AW374" s="2"/>
      <c r="AX374" s="2"/>
      <c r="AY374" s="2"/>
      <c r="AZ374" s="2"/>
      <c r="BA374" s="2"/>
      <c r="BB374" s="2"/>
      <c r="BC374" s="2"/>
      <c r="BD374" s="2"/>
      <c r="BE374" s="2"/>
      <c r="BF374" s="2"/>
      <c r="BG374" s="2"/>
      <c r="BH374" s="2"/>
      <c r="BI374" s="2"/>
      <c r="BJ374" s="2"/>
      <c r="BK374" s="2"/>
      <c r="BL374" s="2"/>
      <c r="BM374" s="2"/>
      <c r="BN374" s="2"/>
      <c r="BO374" s="2"/>
      <c r="BP374" s="2"/>
      <c r="BQ374" s="2"/>
      <c r="BR374" s="2"/>
      <c r="BS374" s="2"/>
      <c r="BT374" s="2"/>
      <c r="BU374" s="2"/>
      <c r="BV374" s="2"/>
      <c r="BW374" s="2"/>
      <c r="BX374" s="2"/>
      <c r="BY374" s="2"/>
      <c r="BZ374" s="2"/>
      <c r="CA374" s="2"/>
      <c r="CB374" s="2"/>
      <c r="CC374" s="2"/>
      <c r="CD374" s="2"/>
      <c r="CE374" s="2"/>
      <c r="CF374" s="2"/>
    </row>
    <row r="375" spans="1:84" ht="12.65" customHeight="1" x14ac:dyDescent="0.35">
      <c r="A375" s="295"/>
      <c r="B375" s="295"/>
      <c r="C375" s="303"/>
      <c r="D375" s="295"/>
      <c r="E375" s="295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  <c r="AL375" s="2"/>
      <c r="AM375" s="2"/>
      <c r="AN375" s="2"/>
      <c r="AO375" s="2"/>
      <c r="AP375" s="2"/>
      <c r="AQ375" s="2"/>
      <c r="AR375" s="2"/>
      <c r="AS375" s="2"/>
      <c r="AT375" s="2"/>
      <c r="AU375" s="2"/>
      <c r="AV375" s="2"/>
      <c r="AW375" s="2"/>
      <c r="AX375" s="2"/>
      <c r="AY375" s="2"/>
      <c r="AZ375" s="2"/>
      <c r="BA375" s="2"/>
      <c r="BB375" s="2"/>
      <c r="BC375" s="2"/>
      <c r="BD375" s="2"/>
      <c r="BE375" s="2"/>
      <c r="BF375" s="2"/>
      <c r="BG375" s="2"/>
      <c r="BH375" s="2"/>
      <c r="BI375" s="2"/>
      <c r="BJ375" s="2"/>
      <c r="BK375" s="2"/>
      <c r="BL375" s="2"/>
      <c r="BM375" s="2"/>
      <c r="BN375" s="2"/>
      <c r="BO375" s="2"/>
      <c r="BP375" s="2"/>
      <c r="BQ375" s="2"/>
      <c r="BR375" s="2"/>
      <c r="BS375" s="2"/>
      <c r="BT375" s="2"/>
      <c r="BU375" s="2"/>
      <c r="BV375" s="2"/>
      <c r="BW375" s="2"/>
      <c r="BX375" s="2"/>
      <c r="BY375" s="2"/>
      <c r="BZ375" s="2"/>
      <c r="CA375" s="2"/>
      <c r="CB375" s="2"/>
      <c r="CC375" s="2"/>
      <c r="CD375" s="2"/>
      <c r="CE375" s="2"/>
      <c r="CF375" s="2"/>
    </row>
    <row r="376" spans="1:84" ht="12.65" customHeight="1" x14ac:dyDescent="0.35">
      <c r="A376" s="295"/>
      <c r="B376" s="295"/>
      <c r="C376" s="303"/>
      <c r="D376" s="295"/>
      <c r="E376" s="295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L376" s="2"/>
      <c r="AM376" s="2"/>
      <c r="AN376" s="2"/>
      <c r="AO376" s="2"/>
      <c r="AP376" s="2"/>
      <c r="AQ376" s="2"/>
      <c r="AR376" s="2"/>
      <c r="AS376" s="2"/>
      <c r="AT376" s="2"/>
      <c r="AU376" s="2"/>
      <c r="AV376" s="2"/>
      <c r="AW376" s="2"/>
      <c r="AX376" s="2"/>
      <c r="AY376" s="2"/>
      <c r="AZ376" s="2"/>
      <c r="BA376" s="2"/>
      <c r="BB376" s="2"/>
      <c r="BC376" s="2"/>
      <c r="BD376" s="2"/>
      <c r="BE376" s="2"/>
      <c r="BF376" s="2"/>
      <c r="BG376" s="2"/>
      <c r="BH376" s="2"/>
      <c r="BI376" s="2"/>
      <c r="BJ376" s="2"/>
      <c r="BK376" s="2"/>
      <c r="BL376" s="2"/>
      <c r="BM376" s="2"/>
      <c r="BN376" s="2"/>
      <c r="BO376" s="2"/>
      <c r="BP376" s="2"/>
      <c r="BQ376" s="2"/>
      <c r="BR376" s="2"/>
      <c r="BS376" s="2"/>
      <c r="BT376" s="2"/>
      <c r="BU376" s="2"/>
      <c r="BV376" s="2"/>
      <c r="BW376" s="2"/>
      <c r="BX376" s="2"/>
      <c r="BY376" s="2"/>
      <c r="BZ376" s="2"/>
      <c r="CA376" s="2"/>
      <c r="CB376" s="2"/>
      <c r="CC376" s="2"/>
      <c r="CD376" s="2"/>
      <c r="CE376" s="2"/>
      <c r="CF376" s="2"/>
    </row>
    <row r="377" spans="1:84" ht="12.65" customHeight="1" x14ac:dyDescent="0.35">
      <c r="A377" s="317" t="s">
        <v>441</v>
      </c>
      <c r="B377" s="317"/>
      <c r="C377" s="317"/>
      <c r="D377" s="317"/>
      <c r="E377" s="317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L377" s="2"/>
      <c r="AM377" s="2"/>
      <c r="AN377" s="2"/>
      <c r="AO377" s="2"/>
      <c r="AP377" s="2"/>
      <c r="AQ377" s="2"/>
      <c r="AR377" s="2"/>
      <c r="AS377" s="2"/>
      <c r="AT377" s="2"/>
      <c r="AU377" s="2"/>
      <c r="AV377" s="2"/>
      <c r="AW377" s="2"/>
      <c r="AX377" s="2"/>
      <c r="AY377" s="2"/>
      <c r="AZ377" s="2"/>
      <c r="BA377" s="2"/>
      <c r="BB377" s="2"/>
      <c r="BC377" s="2"/>
      <c r="BD377" s="2"/>
      <c r="BE377" s="2"/>
      <c r="BF377" s="2"/>
      <c r="BG377" s="2"/>
      <c r="BH377" s="2"/>
      <c r="BI377" s="2"/>
      <c r="BJ377" s="2"/>
      <c r="BK377" s="2"/>
      <c r="BL377" s="2"/>
      <c r="BM377" s="2"/>
      <c r="BN377" s="2"/>
      <c r="BO377" s="2"/>
      <c r="BP377" s="2"/>
      <c r="BQ377" s="2"/>
      <c r="BR377" s="2"/>
      <c r="BS377" s="2"/>
      <c r="BT377" s="2"/>
      <c r="BU377" s="2"/>
      <c r="BV377" s="2"/>
      <c r="BW377" s="2"/>
      <c r="BX377" s="2"/>
      <c r="BY377" s="2"/>
      <c r="BZ377" s="2"/>
      <c r="CA377" s="2"/>
      <c r="CB377" s="2"/>
      <c r="CC377" s="2"/>
      <c r="CD377" s="2"/>
      <c r="CE377" s="2"/>
      <c r="CF377" s="2"/>
    </row>
    <row r="378" spans="1:84" ht="12.65" customHeight="1" x14ac:dyDescent="0.35">
      <c r="A378" s="295" t="s">
        <v>442</v>
      </c>
      <c r="B378" s="313" t="s">
        <v>256</v>
      </c>
      <c r="C378" s="189">
        <v>396802109</v>
      </c>
      <c r="D378" s="295"/>
      <c r="E378" s="295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  <c r="AI378" s="2"/>
      <c r="AJ378" s="2"/>
      <c r="AK378" s="2"/>
      <c r="AL378" s="2"/>
      <c r="AM378" s="2"/>
      <c r="AN378" s="2"/>
      <c r="AO378" s="2"/>
      <c r="AP378" s="2"/>
      <c r="AQ378" s="2"/>
      <c r="AR378" s="2"/>
      <c r="AS378" s="2"/>
      <c r="AT378" s="2"/>
      <c r="AU378" s="2"/>
      <c r="AV378" s="2"/>
      <c r="AW378" s="2"/>
      <c r="AX378" s="2"/>
      <c r="AY378" s="2"/>
      <c r="AZ378" s="2"/>
      <c r="BA378" s="2"/>
      <c r="BB378" s="2"/>
      <c r="BC378" s="2"/>
      <c r="BD378" s="2"/>
      <c r="BE378" s="2"/>
      <c r="BF378" s="2"/>
      <c r="BG378" s="2"/>
      <c r="BH378" s="2"/>
      <c r="BI378" s="2"/>
      <c r="BJ378" s="2"/>
      <c r="BK378" s="2"/>
      <c r="BL378" s="2"/>
      <c r="BM378" s="2"/>
      <c r="BN378" s="2"/>
      <c r="BO378" s="2"/>
      <c r="BP378" s="2"/>
      <c r="BQ378" s="2"/>
      <c r="BR378" s="2"/>
      <c r="BS378" s="2"/>
      <c r="BT378" s="2"/>
      <c r="BU378" s="2"/>
      <c r="BV378" s="2"/>
      <c r="BW378" s="2"/>
      <c r="BX378" s="2"/>
      <c r="BY378" s="2"/>
      <c r="BZ378" s="2"/>
      <c r="CA378" s="2"/>
      <c r="CB378" s="2"/>
      <c r="CC378" s="2"/>
      <c r="CD378" s="2"/>
      <c r="CE378" s="2"/>
      <c r="CF378" s="2"/>
    </row>
    <row r="379" spans="1:84" ht="12.65" customHeight="1" x14ac:dyDescent="0.35">
      <c r="A379" s="295" t="s">
        <v>3</v>
      </c>
      <c r="B379" s="313" t="s">
        <v>256</v>
      </c>
      <c r="C379" s="189">
        <v>92499075</v>
      </c>
      <c r="D379" s="295"/>
      <c r="E379" s="295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  <c r="AI379" s="2"/>
      <c r="AJ379" s="2"/>
      <c r="AK379" s="2"/>
      <c r="AL379" s="2"/>
      <c r="AM379" s="2"/>
      <c r="AN379" s="2"/>
      <c r="AO379" s="2"/>
      <c r="AP379" s="2"/>
      <c r="AQ379" s="2"/>
      <c r="AR379" s="2"/>
      <c r="AS379" s="2"/>
      <c r="AT379" s="2"/>
      <c r="AU379" s="2"/>
      <c r="AV379" s="2"/>
      <c r="AW379" s="2"/>
      <c r="AX379" s="2"/>
      <c r="AY379" s="2"/>
      <c r="AZ379" s="2"/>
      <c r="BA379" s="2"/>
      <c r="BB379" s="2"/>
      <c r="BC379" s="2"/>
      <c r="BD379" s="2"/>
      <c r="BE379" s="2"/>
      <c r="BF379" s="2"/>
      <c r="BG379" s="2"/>
      <c r="BH379" s="2"/>
      <c r="BI379" s="2"/>
      <c r="BJ379" s="2"/>
      <c r="BK379" s="2"/>
      <c r="BL379" s="2"/>
      <c r="BM379" s="2"/>
      <c r="BN379" s="2"/>
      <c r="BO379" s="2"/>
      <c r="BP379" s="2"/>
      <c r="BQ379" s="2"/>
      <c r="BR379" s="2"/>
      <c r="BS379" s="2"/>
      <c r="BT379" s="2"/>
      <c r="BU379" s="2"/>
      <c r="BV379" s="2"/>
      <c r="BW379" s="2"/>
      <c r="BX379" s="2"/>
      <c r="BY379" s="2"/>
      <c r="BZ379" s="2"/>
      <c r="CA379" s="2"/>
      <c r="CB379" s="2"/>
      <c r="CC379" s="2"/>
      <c r="CD379" s="2"/>
      <c r="CE379" s="2"/>
      <c r="CF379" s="2"/>
    </row>
    <row r="380" spans="1:84" ht="12.65" customHeight="1" x14ac:dyDescent="0.35">
      <c r="A380" s="295" t="s">
        <v>236</v>
      </c>
      <c r="B380" s="313" t="s">
        <v>256</v>
      </c>
      <c r="C380" s="189">
        <v>18767520</v>
      </c>
      <c r="D380" s="295"/>
      <c r="E380" s="295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  <c r="AL380" s="2"/>
      <c r="AM380" s="2"/>
      <c r="AN380" s="2"/>
      <c r="AO380" s="2"/>
      <c r="AP380" s="2"/>
      <c r="AQ380" s="2"/>
      <c r="AR380" s="2"/>
      <c r="AS380" s="2"/>
      <c r="AT380" s="2"/>
      <c r="AU380" s="2"/>
      <c r="AV380" s="2"/>
      <c r="AW380" s="2"/>
      <c r="AX380" s="2"/>
      <c r="AY380" s="2"/>
      <c r="AZ380" s="2"/>
      <c r="BA380" s="2"/>
      <c r="BB380" s="2"/>
      <c r="BC380" s="2"/>
      <c r="BD380" s="2"/>
      <c r="BE380" s="2"/>
      <c r="BF380" s="2"/>
      <c r="BG380" s="2"/>
      <c r="BH380" s="2"/>
      <c r="BI380" s="2"/>
      <c r="BJ380" s="2"/>
      <c r="BK380" s="2"/>
      <c r="BL380" s="2"/>
      <c r="BM380" s="2"/>
      <c r="BN380" s="2"/>
      <c r="BO380" s="2"/>
      <c r="BP380" s="2"/>
      <c r="BQ380" s="2"/>
      <c r="BR380" s="2"/>
      <c r="BS380" s="2"/>
      <c r="BT380" s="2"/>
      <c r="BU380" s="2"/>
      <c r="BV380" s="2"/>
      <c r="BW380" s="2"/>
      <c r="BX380" s="2"/>
      <c r="BY380" s="2"/>
      <c r="BZ380" s="2"/>
      <c r="CA380" s="2"/>
      <c r="CB380" s="2"/>
      <c r="CC380" s="2"/>
      <c r="CD380" s="2"/>
      <c r="CE380" s="2"/>
      <c r="CF380" s="2"/>
    </row>
    <row r="381" spans="1:84" ht="12.65" customHeight="1" x14ac:dyDescent="0.35">
      <c r="A381" s="295" t="s">
        <v>443</v>
      </c>
      <c r="B381" s="313" t="s">
        <v>256</v>
      </c>
      <c r="C381" s="189">
        <v>104115544</v>
      </c>
      <c r="D381" s="295"/>
      <c r="E381" s="295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L381" s="2"/>
      <c r="AM381" s="2"/>
      <c r="AN381" s="2"/>
      <c r="AO381" s="2"/>
      <c r="AP381" s="2"/>
      <c r="AQ381" s="2"/>
      <c r="AR381" s="2"/>
      <c r="AS381" s="2"/>
      <c r="AT381" s="2"/>
      <c r="AU381" s="2"/>
      <c r="AV381" s="2"/>
      <c r="AW381" s="2"/>
      <c r="AX381" s="2"/>
      <c r="AY381" s="2"/>
      <c r="AZ381" s="2"/>
      <c r="BA381" s="2"/>
      <c r="BB381" s="2"/>
      <c r="BC381" s="2"/>
      <c r="BD381" s="2"/>
      <c r="BE381" s="2"/>
      <c r="BF381" s="2"/>
      <c r="BG381" s="2"/>
      <c r="BH381" s="2"/>
      <c r="BI381" s="2"/>
      <c r="BJ381" s="2"/>
      <c r="BK381" s="2"/>
      <c r="BL381" s="2"/>
      <c r="BM381" s="2"/>
      <c r="BN381" s="2"/>
      <c r="BO381" s="2"/>
      <c r="BP381" s="2"/>
      <c r="BQ381" s="2"/>
      <c r="BR381" s="2"/>
      <c r="BS381" s="2"/>
      <c r="BT381" s="2"/>
      <c r="BU381" s="2"/>
      <c r="BV381" s="2"/>
      <c r="BW381" s="2"/>
      <c r="BX381" s="2"/>
      <c r="BY381" s="2"/>
      <c r="BZ381" s="2"/>
      <c r="CA381" s="2"/>
      <c r="CB381" s="2"/>
      <c r="CC381" s="2"/>
      <c r="CD381" s="2"/>
      <c r="CE381" s="2"/>
      <c r="CF381" s="2"/>
    </row>
    <row r="382" spans="1:84" ht="12.65" customHeight="1" x14ac:dyDescent="0.35">
      <c r="A382" s="295" t="s">
        <v>444</v>
      </c>
      <c r="B382" s="313" t="s">
        <v>256</v>
      </c>
      <c r="C382" s="189">
        <v>6254681</v>
      </c>
      <c r="D382" s="295"/>
      <c r="E382" s="295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  <c r="AM382" s="2"/>
      <c r="AN382" s="2"/>
      <c r="AO382" s="2"/>
      <c r="AP382" s="2"/>
      <c r="AQ382" s="2"/>
      <c r="AR382" s="2"/>
      <c r="AS382" s="2"/>
      <c r="AT382" s="2"/>
      <c r="AU382" s="2"/>
      <c r="AV382" s="2"/>
      <c r="AW382" s="2"/>
      <c r="AX382" s="2"/>
      <c r="AY382" s="2"/>
      <c r="AZ382" s="2"/>
      <c r="BA382" s="2"/>
      <c r="BB382" s="2"/>
      <c r="BC382" s="2"/>
      <c r="BD382" s="2"/>
      <c r="BE382" s="2"/>
      <c r="BF382" s="2"/>
      <c r="BG382" s="2"/>
      <c r="BH382" s="2"/>
      <c r="BI382" s="2"/>
      <c r="BJ382" s="2"/>
      <c r="BK382" s="2"/>
      <c r="BL382" s="2"/>
      <c r="BM382" s="2"/>
      <c r="BN382" s="2"/>
      <c r="BO382" s="2"/>
      <c r="BP382" s="2"/>
      <c r="BQ382" s="2"/>
      <c r="BR382" s="2"/>
      <c r="BS382" s="2"/>
      <c r="BT382" s="2"/>
      <c r="BU382" s="2"/>
      <c r="BV382" s="2"/>
      <c r="BW382" s="2"/>
      <c r="BX382" s="2"/>
      <c r="BY382" s="2"/>
      <c r="BZ382" s="2"/>
      <c r="CA382" s="2"/>
      <c r="CB382" s="2"/>
      <c r="CC382" s="2"/>
      <c r="CD382" s="2"/>
      <c r="CE382" s="2"/>
      <c r="CF382" s="2"/>
    </row>
    <row r="383" spans="1:84" ht="12.65" customHeight="1" x14ac:dyDescent="0.35">
      <c r="A383" s="295" t="s">
        <v>445</v>
      </c>
      <c r="B383" s="313" t="s">
        <v>256</v>
      </c>
      <c r="C383" s="189">
        <f>46008286+18715968</f>
        <v>64724254</v>
      </c>
      <c r="D383" s="295"/>
      <c r="E383" s="295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L383" s="2"/>
      <c r="AM383" s="2"/>
      <c r="AN383" s="2"/>
      <c r="AO383" s="2"/>
      <c r="AP383" s="2"/>
      <c r="AQ383" s="2"/>
      <c r="AR383" s="2"/>
      <c r="AS383" s="2"/>
      <c r="AT383" s="2"/>
      <c r="AU383" s="2"/>
      <c r="AV383" s="2"/>
      <c r="AW383" s="2"/>
      <c r="AX383" s="2"/>
      <c r="AY383" s="2"/>
      <c r="AZ383" s="2"/>
      <c r="BA383" s="2"/>
      <c r="BB383" s="2"/>
      <c r="BC383" s="2"/>
      <c r="BD383" s="2"/>
      <c r="BE383" s="2"/>
      <c r="BF383" s="2"/>
      <c r="BG383" s="2"/>
      <c r="BH383" s="2"/>
      <c r="BI383" s="2"/>
      <c r="BJ383" s="2"/>
      <c r="BK383" s="2"/>
      <c r="BL383" s="2"/>
      <c r="BM383" s="2"/>
      <c r="BN383" s="2"/>
      <c r="BO383" s="2"/>
      <c r="BP383" s="2"/>
      <c r="BQ383" s="2"/>
      <c r="BR383" s="2"/>
      <c r="BS383" s="2"/>
      <c r="BT383" s="2"/>
      <c r="BU383" s="2"/>
      <c r="BV383" s="2"/>
      <c r="BW383" s="2"/>
      <c r="BX383" s="2"/>
      <c r="BY383" s="2"/>
      <c r="BZ383" s="2"/>
      <c r="CA383" s="2"/>
      <c r="CB383" s="2"/>
      <c r="CC383" s="2"/>
      <c r="CD383" s="2"/>
      <c r="CE383" s="2"/>
      <c r="CF383" s="2"/>
    </row>
    <row r="384" spans="1:84" ht="12.65" customHeight="1" x14ac:dyDescent="0.35">
      <c r="A384" s="295" t="s">
        <v>6</v>
      </c>
      <c r="B384" s="313" t="s">
        <v>256</v>
      </c>
      <c r="C384" s="189">
        <v>35828141</v>
      </c>
      <c r="D384" s="295"/>
      <c r="E384" s="295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  <c r="AK384" s="2"/>
      <c r="AL384" s="2"/>
      <c r="AM384" s="2"/>
      <c r="AN384" s="2"/>
      <c r="AO384" s="2"/>
      <c r="AP384" s="2"/>
      <c r="AQ384" s="2"/>
      <c r="AR384" s="2"/>
      <c r="AS384" s="2"/>
      <c r="AT384" s="2"/>
      <c r="AU384" s="2"/>
      <c r="AV384" s="2"/>
      <c r="AW384" s="2"/>
      <c r="AX384" s="2"/>
      <c r="AY384" s="2"/>
      <c r="AZ384" s="2"/>
      <c r="BA384" s="2"/>
      <c r="BB384" s="2"/>
      <c r="BC384" s="2"/>
      <c r="BD384" s="2"/>
      <c r="BE384" s="2"/>
      <c r="BF384" s="2"/>
      <c r="BG384" s="2"/>
      <c r="BH384" s="2"/>
      <c r="BI384" s="2"/>
      <c r="BJ384" s="2"/>
      <c r="BK384" s="2"/>
      <c r="BL384" s="2"/>
      <c r="BM384" s="2"/>
      <c r="BN384" s="2"/>
      <c r="BO384" s="2"/>
      <c r="BP384" s="2"/>
      <c r="BQ384" s="2"/>
      <c r="BR384" s="2"/>
      <c r="BS384" s="2"/>
      <c r="BT384" s="2"/>
      <c r="BU384" s="2"/>
      <c r="BV384" s="2"/>
      <c r="BW384" s="2"/>
      <c r="BX384" s="2"/>
      <c r="BY384" s="2"/>
      <c r="BZ384" s="2"/>
      <c r="CA384" s="2"/>
      <c r="CB384" s="2"/>
      <c r="CC384" s="2"/>
      <c r="CD384" s="2"/>
      <c r="CE384" s="2"/>
      <c r="CF384" s="2"/>
    </row>
    <row r="385" spans="1:84" ht="12.65" customHeight="1" x14ac:dyDescent="0.35">
      <c r="A385" s="295" t="s">
        <v>446</v>
      </c>
      <c r="B385" s="313" t="s">
        <v>256</v>
      </c>
      <c r="C385" s="189">
        <v>15464106</v>
      </c>
      <c r="D385" s="295"/>
      <c r="E385" s="295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  <c r="AK385" s="2"/>
      <c r="AL385" s="2"/>
      <c r="AM385" s="2"/>
      <c r="AN385" s="2"/>
      <c r="AO385" s="2"/>
      <c r="AP385" s="2"/>
      <c r="AQ385" s="2"/>
      <c r="AR385" s="2"/>
      <c r="AS385" s="2"/>
      <c r="AT385" s="2"/>
      <c r="AU385" s="2"/>
      <c r="AV385" s="2"/>
      <c r="AW385" s="2"/>
      <c r="AX385" s="2"/>
      <c r="AY385" s="2"/>
      <c r="AZ385" s="2"/>
      <c r="BA385" s="2"/>
      <c r="BB385" s="2"/>
      <c r="BC385" s="2"/>
      <c r="BD385" s="2"/>
      <c r="BE385" s="2"/>
      <c r="BF385" s="2"/>
      <c r="BG385" s="2"/>
      <c r="BH385" s="2"/>
      <c r="BI385" s="2"/>
      <c r="BJ385" s="2"/>
      <c r="BK385" s="2"/>
      <c r="BL385" s="2"/>
      <c r="BM385" s="2"/>
      <c r="BN385" s="2"/>
      <c r="BO385" s="2"/>
      <c r="BP385" s="2"/>
      <c r="BQ385" s="2"/>
      <c r="BR385" s="2"/>
      <c r="BS385" s="2"/>
      <c r="BT385" s="2"/>
      <c r="BU385" s="2"/>
      <c r="BV385" s="2"/>
      <c r="BW385" s="2"/>
      <c r="BX385" s="2"/>
      <c r="BY385" s="2"/>
      <c r="BZ385" s="2"/>
      <c r="CA385" s="2"/>
      <c r="CB385" s="2"/>
      <c r="CC385" s="2"/>
      <c r="CD385" s="2"/>
      <c r="CE385" s="2"/>
      <c r="CF385" s="2"/>
    </row>
    <row r="386" spans="1:84" ht="12.65" customHeight="1" x14ac:dyDescent="0.35">
      <c r="A386" s="295" t="s">
        <v>447</v>
      </c>
      <c r="B386" s="313" t="s">
        <v>256</v>
      </c>
      <c r="C386" s="189">
        <v>2777194</v>
      </c>
      <c r="D386" s="295"/>
      <c r="E386" s="295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  <c r="AK386" s="2"/>
      <c r="AL386" s="2"/>
      <c r="AM386" s="2"/>
      <c r="AN386" s="2"/>
      <c r="AO386" s="2"/>
      <c r="AP386" s="2"/>
      <c r="AQ386" s="2"/>
      <c r="AR386" s="2"/>
      <c r="AS386" s="2"/>
      <c r="AT386" s="2"/>
      <c r="AU386" s="2"/>
      <c r="AV386" s="2"/>
      <c r="AW386" s="2"/>
      <c r="AX386" s="2"/>
      <c r="AY386" s="2"/>
      <c r="AZ386" s="2"/>
      <c r="BA386" s="2"/>
      <c r="BB386" s="2"/>
      <c r="BC386" s="2"/>
      <c r="BD386" s="2"/>
      <c r="BE386" s="2"/>
      <c r="BF386" s="2"/>
      <c r="BG386" s="2"/>
      <c r="BH386" s="2"/>
      <c r="BI386" s="2"/>
      <c r="BJ386" s="2"/>
      <c r="BK386" s="2"/>
      <c r="BL386" s="2"/>
      <c r="BM386" s="2"/>
      <c r="BN386" s="2"/>
      <c r="BO386" s="2"/>
      <c r="BP386" s="2"/>
      <c r="BQ386" s="2"/>
      <c r="BR386" s="2"/>
      <c r="BS386" s="2"/>
      <c r="BT386" s="2"/>
      <c r="BU386" s="2"/>
      <c r="BV386" s="2"/>
      <c r="BW386" s="2"/>
      <c r="BX386" s="2"/>
      <c r="BY386" s="2"/>
      <c r="BZ386" s="2"/>
      <c r="CA386" s="2"/>
      <c r="CB386" s="2"/>
      <c r="CC386" s="2"/>
      <c r="CD386" s="2"/>
      <c r="CE386" s="2"/>
      <c r="CF386" s="2"/>
    </row>
    <row r="387" spans="1:84" ht="12.65" customHeight="1" x14ac:dyDescent="0.35">
      <c r="A387" s="295" t="s">
        <v>448</v>
      </c>
      <c r="B387" s="313" t="s">
        <v>256</v>
      </c>
      <c r="C387" s="189">
        <v>7090917</v>
      </c>
      <c r="D387" s="295"/>
      <c r="E387" s="295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  <c r="AK387" s="2"/>
      <c r="AL387" s="2"/>
      <c r="AM387" s="2"/>
      <c r="AN387" s="2"/>
      <c r="AO387" s="2"/>
      <c r="AP387" s="2"/>
      <c r="AQ387" s="2"/>
      <c r="AR387" s="2"/>
      <c r="AS387" s="2"/>
      <c r="AT387" s="2"/>
      <c r="AU387" s="2"/>
      <c r="AV387" s="2"/>
      <c r="AW387" s="2"/>
      <c r="AX387" s="2"/>
      <c r="AY387" s="2"/>
      <c r="AZ387" s="2"/>
      <c r="BA387" s="2"/>
      <c r="BB387" s="2"/>
      <c r="BC387" s="2"/>
      <c r="BD387" s="2"/>
      <c r="BE387" s="2"/>
      <c r="BF387" s="2"/>
      <c r="BG387" s="2"/>
      <c r="BH387" s="2"/>
      <c r="BI387" s="2"/>
      <c r="BJ387" s="2"/>
      <c r="BK387" s="2"/>
      <c r="BL387" s="2"/>
      <c r="BM387" s="2"/>
      <c r="BN387" s="2"/>
      <c r="BO387" s="2"/>
      <c r="BP387" s="2"/>
      <c r="BQ387" s="2"/>
      <c r="BR387" s="2"/>
      <c r="BS387" s="2"/>
      <c r="BT387" s="2"/>
      <c r="BU387" s="2"/>
      <c r="BV387" s="2"/>
      <c r="BW387" s="2"/>
      <c r="BX387" s="2"/>
      <c r="BY387" s="2"/>
      <c r="BZ387" s="2"/>
      <c r="CA387" s="2"/>
      <c r="CB387" s="2"/>
      <c r="CC387" s="2"/>
      <c r="CD387" s="2"/>
      <c r="CE387" s="2"/>
      <c r="CF387" s="2"/>
    </row>
    <row r="388" spans="1:84" ht="12.65" customHeight="1" x14ac:dyDescent="0.35">
      <c r="A388" s="295" t="s">
        <v>449</v>
      </c>
      <c r="B388" s="313" t="s">
        <v>256</v>
      </c>
      <c r="C388" s="189">
        <v>9105986</v>
      </c>
      <c r="D388" s="295"/>
      <c r="E388" s="295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  <c r="AL388" s="2"/>
      <c r="AM388" s="2"/>
      <c r="AN388" s="2"/>
      <c r="AO388" s="2"/>
      <c r="AP388" s="2"/>
      <c r="AQ388" s="2"/>
      <c r="AR388" s="2"/>
      <c r="AS388" s="2"/>
      <c r="AT388" s="2"/>
      <c r="AU388" s="2"/>
      <c r="AV388" s="2"/>
      <c r="AW388" s="2"/>
      <c r="AX388" s="2"/>
      <c r="AY388" s="2"/>
      <c r="AZ388" s="2"/>
      <c r="BA388" s="2"/>
      <c r="BB388" s="2"/>
      <c r="BC388" s="2"/>
      <c r="BD388" s="2"/>
      <c r="BE388" s="2"/>
      <c r="BF388" s="2"/>
      <c r="BG388" s="2"/>
      <c r="BH388" s="2"/>
      <c r="BI388" s="2"/>
      <c r="BJ388" s="2"/>
      <c r="BK388" s="2"/>
      <c r="BL388" s="2"/>
      <c r="BM388" s="2"/>
      <c r="BN388" s="2"/>
      <c r="BO388" s="2"/>
      <c r="BP388" s="2"/>
      <c r="BQ388" s="2"/>
      <c r="BR388" s="2"/>
      <c r="BS388" s="2"/>
      <c r="BT388" s="2"/>
      <c r="BU388" s="2"/>
      <c r="BV388" s="2"/>
      <c r="BW388" s="2"/>
      <c r="BX388" s="2"/>
      <c r="BY388" s="2"/>
      <c r="BZ388" s="2"/>
      <c r="CA388" s="2"/>
      <c r="CB388" s="2"/>
      <c r="CC388" s="2"/>
      <c r="CD388" s="2"/>
      <c r="CE388" s="2"/>
      <c r="CF388" s="2"/>
    </row>
    <row r="389" spans="1:84" ht="12.65" customHeight="1" x14ac:dyDescent="0.35">
      <c r="A389" s="295" t="s">
        <v>451</v>
      </c>
      <c r="B389" s="313" t="s">
        <v>256</v>
      </c>
      <c r="C389" s="189">
        <v>9528965</v>
      </c>
      <c r="D389" s="295"/>
      <c r="E389" s="295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  <c r="AM389" s="2"/>
      <c r="AN389" s="2"/>
      <c r="AO389" s="2"/>
      <c r="AP389" s="2"/>
      <c r="AQ389" s="2"/>
      <c r="AR389" s="2"/>
      <c r="AS389" s="2"/>
      <c r="AT389" s="2"/>
      <c r="AU389" s="2"/>
      <c r="AV389" s="2"/>
      <c r="AW389" s="2"/>
      <c r="AX389" s="2"/>
      <c r="AY389" s="2"/>
      <c r="AZ389" s="2"/>
      <c r="BA389" s="2"/>
      <c r="BB389" s="2"/>
      <c r="BC389" s="2"/>
      <c r="BD389" s="2"/>
      <c r="BE389" s="2"/>
      <c r="BF389" s="2"/>
      <c r="BG389" s="2"/>
      <c r="BH389" s="2"/>
      <c r="BI389" s="2"/>
      <c r="BJ389" s="2"/>
      <c r="BK389" s="2"/>
      <c r="BL389" s="2"/>
      <c r="BM389" s="2"/>
      <c r="BN389" s="2"/>
      <c r="BO389" s="2"/>
      <c r="BP389" s="2"/>
      <c r="BQ389" s="2"/>
      <c r="BR389" s="2"/>
      <c r="BS389" s="2"/>
      <c r="BT389" s="2"/>
      <c r="BU389" s="2"/>
      <c r="BV389" s="2"/>
      <c r="BW389" s="2"/>
      <c r="BX389" s="2"/>
      <c r="BY389" s="2"/>
      <c r="BZ389" s="2"/>
      <c r="CA389" s="2"/>
      <c r="CB389" s="2"/>
      <c r="CC389" s="2"/>
      <c r="CD389" s="2"/>
      <c r="CE389" s="2"/>
      <c r="CF389" s="2"/>
    </row>
    <row r="390" spans="1:84" ht="12.65" customHeight="1" x14ac:dyDescent="0.35">
      <c r="A390" s="295" t="s">
        <v>452</v>
      </c>
      <c r="B390" s="295"/>
      <c r="C390" s="303"/>
      <c r="D390" s="295">
        <f>SUM(C378:C389)</f>
        <v>762958492</v>
      </c>
      <c r="E390" s="295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L390" s="2"/>
      <c r="AM390" s="2"/>
      <c r="AN390" s="2"/>
      <c r="AO390" s="2"/>
      <c r="AP390" s="2"/>
      <c r="AQ390" s="2"/>
      <c r="AR390" s="2"/>
      <c r="AS390" s="2"/>
      <c r="AT390" s="2"/>
      <c r="AU390" s="2"/>
      <c r="AV390" s="2"/>
      <c r="AW390" s="2"/>
      <c r="AX390" s="2"/>
      <c r="AY390" s="2"/>
      <c r="AZ390" s="2"/>
      <c r="BA390" s="2"/>
      <c r="BB390" s="2"/>
      <c r="BC390" s="2"/>
      <c r="BD390" s="2"/>
      <c r="BE390" s="2"/>
      <c r="BF390" s="2"/>
      <c r="BG390" s="2"/>
      <c r="BH390" s="2"/>
      <c r="BI390" s="2"/>
      <c r="BJ390" s="2"/>
      <c r="BK390" s="2"/>
      <c r="BL390" s="2"/>
      <c r="BM390" s="2"/>
      <c r="BN390" s="2"/>
      <c r="BO390" s="2"/>
      <c r="BP390" s="2"/>
      <c r="BQ390" s="2"/>
      <c r="BR390" s="2"/>
      <c r="BS390" s="2"/>
      <c r="BT390" s="2"/>
      <c r="BU390" s="2"/>
      <c r="BV390" s="2"/>
      <c r="BW390" s="2"/>
      <c r="BX390" s="2"/>
      <c r="BY390" s="2"/>
      <c r="BZ390" s="2"/>
      <c r="CA390" s="2"/>
      <c r="CB390" s="2"/>
      <c r="CC390" s="2"/>
      <c r="CD390" s="2"/>
      <c r="CE390" s="2"/>
      <c r="CF390" s="2"/>
    </row>
    <row r="391" spans="1:84" ht="12.65" customHeight="1" x14ac:dyDescent="0.35">
      <c r="A391" s="295" t="s">
        <v>453</v>
      </c>
      <c r="B391" s="295"/>
      <c r="C391" s="303"/>
      <c r="D391" s="295">
        <f>D373-D390</f>
        <v>-24077175</v>
      </c>
      <c r="E391" s="295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  <c r="AL391" s="2"/>
      <c r="AM391" s="2"/>
      <c r="AN391" s="2"/>
      <c r="AO391" s="2"/>
      <c r="AP391" s="2"/>
      <c r="AQ391" s="2"/>
      <c r="AR391" s="2"/>
      <c r="AS391" s="2"/>
      <c r="AT391" s="2"/>
      <c r="AU391" s="2"/>
      <c r="AV391" s="2"/>
      <c r="AW391" s="2"/>
      <c r="AX391" s="2"/>
      <c r="AY391" s="2"/>
      <c r="AZ391" s="2"/>
      <c r="BA391" s="2"/>
      <c r="BB391" s="2"/>
      <c r="BC391" s="2"/>
      <c r="BD391" s="2"/>
      <c r="BE391" s="2"/>
      <c r="BF391" s="2"/>
      <c r="BG391" s="2"/>
      <c r="BH391" s="2"/>
      <c r="BI391" s="2"/>
      <c r="BJ391" s="2"/>
      <c r="BK391" s="2"/>
      <c r="BL391" s="2"/>
      <c r="BM391" s="2"/>
      <c r="BN391" s="2"/>
      <c r="BO391" s="2"/>
      <c r="BP391" s="2"/>
      <c r="BQ391" s="2"/>
      <c r="BR391" s="2"/>
      <c r="BS391" s="2"/>
      <c r="BT391" s="2"/>
      <c r="BU391" s="2"/>
      <c r="BV391" s="2"/>
      <c r="BW391" s="2"/>
      <c r="BX391" s="2"/>
      <c r="BY391" s="2"/>
      <c r="BZ391" s="2"/>
      <c r="CA391" s="2"/>
      <c r="CB391" s="2"/>
      <c r="CC391" s="2"/>
      <c r="CD391" s="2"/>
      <c r="CE391" s="2"/>
      <c r="CF391" s="2"/>
    </row>
    <row r="392" spans="1:84" ht="12.65" customHeight="1" x14ac:dyDescent="0.35">
      <c r="A392" s="295" t="s">
        <v>454</v>
      </c>
      <c r="B392" s="313" t="s">
        <v>256</v>
      </c>
      <c r="C392" s="189">
        <v>47068467</v>
      </c>
      <c r="D392" s="295"/>
      <c r="E392" s="295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  <c r="AI392" s="2"/>
      <c r="AJ392" s="2"/>
      <c r="AK392" s="2"/>
      <c r="AL392" s="2"/>
      <c r="AM392" s="2"/>
      <c r="AN392" s="2"/>
      <c r="AO392" s="2"/>
      <c r="AP392" s="2"/>
      <c r="AQ392" s="2"/>
      <c r="AR392" s="2"/>
      <c r="AS392" s="2"/>
      <c r="AT392" s="2"/>
      <c r="AU392" s="2"/>
      <c r="AV392" s="2"/>
      <c r="AW392" s="2"/>
      <c r="AX392" s="2"/>
      <c r="AY392" s="2"/>
      <c r="AZ392" s="2"/>
      <c r="BA392" s="2"/>
      <c r="BB392" s="2"/>
      <c r="BC392" s="2"/>
      <c r="BD392" s="2"/>
      <c r="BE392" s="2"/>
      <c r="BF392" s="2"/>
      <c r="BG392" s="2"/>
      <c r="BH392" s="2"/>
      <c r="BI392" s="2"/>
      <c r="BJ392" s="2"/>
      <c r="BK392" s="2"/>
      <c r="BL392" s="2"/>
      <c r="BM392" s="2"/>
      <c r="BN392" s="2"/>
      <c r="BO392" s="2"/>
      <c r="BP392" s="2"/>
      <c r="BQ392" s="2"/>
      <c r="BR392" s="2"/>
      <c r="BS392" s="2"/>
      <c r="BT392" s="2"/>
      <c r="BU392" s="2"/>
      <c r="BV392" s="2"/>
      <c r="BW392" s="2"/>
      <c r="BX392" s="2"/>
      <c r="BY392" s="2"/>
      <c r="BZ392" s="2"/>
      <c r="CA392" s="2"/>
      <c r="CB392" s="2"/>
      <c r="CC392" s="2"/>
      <c r="CD392" s="2"/>
      <c r="CE392" s="2"/>
      <c r="CF392" s="2"/>
    </row>
    <row r="393" spans="1:84" ht="12.65" customHeight="1" x14ac:dyDescent="0.35">
      <c r="A393" s="295" t="s">
        <v>455</v>
      </c>
      <c r="B393" s="295"/>
      <c r="C393" s="303"/>
      <c r="D393" s="295">
        <f>D391+C392</f>
        <v>22991292</v>
      </c>
      <c r="E393" s="295"/>
      <c r="F393" s="328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  <c r="AK393" s="2"/>
      <c r="AL393" s="2"/>
      <c r="AM393" s="2"/>
      <c r="AN393" s="2"/>
      <c r="AO393" s="2"/>
      <c r="AP393" s="2"/>
      <c r="AQ393" s="2"/>
      <c r="AR393" s="2"/>
      <c r="AS393" s="2"/>
      <c r="AT393" s="2"/>
      <c r="AU393" s="2"/>
      <c r="AV393" s="2"/>
      <c r="AW393" s="2"/>
      <c r="AX393" s="2"/>
      <c r="AY393" s="2"/>
      <c r="AZ393" s="2"/>
      <c r="BA393" s="2"/>
      <c r="BB393" s="2"/>
      <c r="BC393" s="2"/>
      <c r="BD393" s="2"/>
      <c r="BE393" s="2"/>
      <c r="BF393" s="2"/>
      <c r="BG393" s="2"/>
      <c r="BH393" s="2"/>
      <c r="BI393" s="2"/>
      <c r="BJ393" s="2"/>
      <c r="BK393" s="2"/>
      <c r="BL393" s="2"/>
      <c r="BM393" s="2"/>
      <c r="BN393" s="2"/>
      <c r="BO393" s="2"/>
      <c r="BP393" s="2"/>
      <c r="BQ393" s="2"/>
      <c r="BR393" s="2"/>
      <c r="BS393" s="2"/>
      <c r="BT393" s="2"/>
      <c r="BU393" s="2"/>
      <c r="BV393" s="2"/>
      <c r="BW393" s="2"/>
      <c r="BX393" s="2"/>
      <c r="BY393" s="2"/>
      <c r="BZ393" s="2"/>
      <c r="CA393" s="2"/>
      <c r="CB393" s="2"/>
      <c r="CC393" s="2"/>
      <c r="CD393" s="2"/>
      <c r="CE393" s="2"/>
      <c r="CF393" s="2"/>
    </row>
    <row r="394" spans="1:84" ht="12.65" customHeight="1" x14ac:dyDescent="0.35">
      <c r="A394" s="295" t="s">
        <v>456</v>
      </c>
      <c r="B394" s="313" t="s">
        <v>256</v>
      </c>
      <c r="C394" s="189"/>
      <c r="D394" s="295"/>
      <c r="E394" s="295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  <c r="AN394" s="2"/>
      <c r="AO394" s="2"/>
      <c r="AP394" s="2"/>
      <c r="AQ394" s="2"/>
      <c r="AR394" s="2"/>
      <c r="AS394" s="2"/>
      <c r="AT394" s="2"/>
      <c r="AU394" s="2"/>
      <c r="AV394" s="2"/>
      <c r="AW394" s="2"/>
      <c r="AX394" s="2"/>
      <c r="AY394" s="2"/>
      <c r="AZ394" s="2"/>
      <c r="BA394" s="2"/>
      <c r="BB394" s="2"/>
      <c r="BC394" s="2"/>
      <c r="BD394" s="2"/>
      <c r="BE394" s="2"/>
      <c r="BF394" s="2"/>
      <c r="BG394" s="2"/>
      <c r="BH394" s="2"/>
      <c r="BI394" s="2"/>
      <c r="BJ394" s="2"/>
      <c r="BK394" s="2"/>
      <c r="BL394" s="2"/>
      <c r="BM394" s="2"/>
      <c r="BN394" s="2"/>
      <c r="BO394" s="2"/>
      <c r="BP394" s="2"/>
      <c r="BQ394" s="2"/>
      <c r="BR394" s="2"/>
      <c r="BS394" s="2"/>
      <c r="BT394" s="2"/>
      <c r="BU394" s="2"/>
      <c r="BV394" s="2"/>
      <c r="BW394" s="2"/>
      <c r="BX394" s="2"/>
      <c r="BY394" s="2"/>
      <c r="BZ394" s="2"/>
      <c r="CA394" s="2"/>
      <c r="CB394" s="2"/>
      <c r="CC394" s="2"/>
      <c r="CD394" s="2"/>
      <c r="CE394" s="2"/>
      <c r="CF394" s="2"/>
    </row>
    <row r="395" spans="1:84" ht="12.65" customHeight="1" x14ac:dyDescent="0.35">
      <c r="A395" s="295" t="s">
        <v>457</v>
      </c>
      <c r="B395" s="313" t="s">
        <v>256</v>
      </c>
      <c r="C395" s="189"/>
      <c r="D395" s="295"/>
      <c r="E395" s="295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  <c r="AM395" s="2"/>
      <c r="AN395" s="2"/>
      <c r="AO395" s="2"/>
      <c r="AP395" s="2"/>
      <c r="AQ395" s="2"/>
      <c r="AR395" s="2"/>
      <c r="AS395" s="2"/>
      <c r="AT395" s="2"/>
      <c r="AU395" s="2"/>
      <c r="AV395" s="2"/>
      <c r="AW395" s="2"/>
      <c r="AX395" s="2"/>
      <c r="AY395" s="2"/>
      <c r="AZ395" s="2"/>
      <c r="BA395" s="2"/>
      <c r="BB395" s="2"/>
      <c r="BC395" s="2"/>
      <c r="BD395" s="2"/>
      <c r="BE395" s="2"/>
      <c r="BF395" s="2"/>
      <c r="BG395" s="2"/>
      <c r="BH395" s="2"/>
      <c r="BI395" s="2"/>
      <c r="BJ395" s="2"/>
      <c r="BK395" s="2"/>
      <c r="BL395" s="2"/>
      <c r="BM395" s="2"/>
      <c r="BN395" s="2"/>
      <c r="BO395" s="2"/>
      <c r="BP395" s="2"/>
      <c r="BQ395" s="2"/>
      <c r="BR395" s="2"/>
      <c r="BS395" s="2"/>
      <c r="BT395" s="2"/>
      <c r="BU395" s="2"/>
      <c r="BV395" s="2"/>
      <c r="BW395" s="2"/>
      <c r="BX395" s="2"/>
      <c r="BY395" s="2"/>
      <c r="BZ395" s="2"/>
      <c r="CA395" s="2"/>
      <c r="CB395" s="2"/>
      <c r="CC395" s="2"/>
      <c r="CD395" s="2"/>
      <c r="CE395" s="2"/>
      <c r="CF395" s="2"/>
    </row>
    <row r="396" spans="1:84" ht="13.5" customHeight="1" x14ac:dyDescent="0.35">
      <c r="A396" s="295" t="s">
        <v>458</v>
      </c>
      <c r="B396" s="295"/>
      <c r="C396" s="303"/>
      <c r="D396" s="295">
        <f>D393+C394-C395</f>
        <v>22991292</v>
      </c>
      <c r="E396" s="295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  <c r="AL396" s="2"/>
      <c r="AM396" s="2"/>
      <c r="AN396" s="2"/>
      <c r="AO396" s="2"/>
      <c r="AP396" s="2"/>
      <c r="AQ396" s="2"/>
      <c r="AR396" s="2"/>
      <c r="AS396" s="2"/>
      <c r="AT396" s="2"/>
      <c r="AU396" s="2"/>
      <c r="AV396" s="2"/>
      <c r="AW396" s="2"/>
      <c r="AX396" s="2"/>
      <c r="AY396" s="2"/>
      <c r="AZ396" s="2"/>
      <c r="BA396" s="2"/>
      <c r="BB396" s="2"/>
      <c r="BC396" s="2"/>
      <c r="BD396" s="2"/>
      <c r="BE396" s="2"/>
      <c r="BF396" s="2"/>
      <c r="BG396" s="2"/>
      <c r="BH396" s="2"/>
      <c r="BI396" s="2"/>
      <c r="BJ396" s="2"/>
      <c r="BK396" s="2"/>
      <c r="BL396" s="2"/>
      <c r="BM396" s="2"/>
      <c r="BN396" s="2"/>
      <c r="BO396" s="2"/>
      <c r="BP396" s="2"/>
      <c r="BQ396" s="2"/>
      <c r="BR396" s="2"/>
      <c r="BS396" s="2"/>
      <c r="BT396" s="2"/>
      <c r="BU396" s="2"/>
      <c r="BV396" s="2"/>
      <c r="BW396" s="2"/>
      <c r="BX396" s="2"/>
      <c r="BY396" s="2"/>
      <c r="BZ396" s="2"/>
      <c r="CA396" s="2"/>
      <c r="CB396" s="2"/>
      <c r="CC396" s="2"/>
      <c r="CD396" s="2"/>
      <c r="CE396" s="2"/>
      <c r="CF396" s="2"/>
    </row>
    <row r="397" spans="1:84" ht="12.65" customHeight="1" x14ac:dyDescent="0.3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  <c r="AK397" s="2"/>
      <c r="AL397" s="2"/>
      <c r="AM397" s="2"/>
      <c r="AN397" s="2"/>
      <c r="AO397" s="2"/>
      <c r="AP397" s="2"/>
      <c r="AQ397" s="2"/>
      <c r="AR397" s="2"/>
      <c r="AS397" s="2"/>
      <c r="AT397" s="2"/>
      <c r="AU397" s="2"/>
      <c r="AV397" s="2"/>
      <c r="AW397" s="2"/>
      <c r="AX397" s="2"/>
      <c r="AY397" s="2"/>
      <c r="AZ397" s="2"/>
      <c r="BA397" s="2"/>
      <c r="BB397" s="2"/>
      <c r="BC397" s="2"/>
      <c r="BD397" s="2"/>
      <c r="BE397" s="2"/>
      <c r="BF397" s="2"/>
      <c r="BG397" s="2"/>
      <c r="BH397" s="2"/>
      <c r="BI397" s="2"/>
      <c r="BJ397" s="2"/>
      <c r="BK397" s="2"/>
      <c r="BL397" s="2"/>
      <c r="BM397" s="2"/>
      <c r="BN397" s="2"/>
      <c r="BO397" s="2"/>
      <c r="BP397" s="2"/>
      <c r="BQ397" s="2"/>
      <c r="BR397" s="2"/>
      <c r="BS397" s="2"/>
      <c r="BT397" s="2"/>
      <c r="BU397" s="2"/>
      <c r="BV397" s="2"/>
      <c r="BW397" s="2"/>
      <c r="BX397" s="2"/>
      <c r="BY397" s="2"/>
      <c r="BZ397" s="2"/>
      <c r="CA397" s="2"/>
      <c r="CB397" s="2"/>
      <c r="CC397" s="2"/>
      <c r="CD397" s="2"/>
      <c r="CE397" s="2"/>
      <c r="CF397" s="2"/>
    </row>
    <row r="398" spans="1:84" ht="12.65" customHeight="1" x14ac:dyDescent="0.3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  <c r="AK398" s="2"/>
      <c r="AL398" s="2"/>
      <c r="AM398" s="2"/>
      <c r="AN398" s="2"/>
      <c r="AO398" s="2"/>
      <c r="AP398" s="2"/>
      <c r="AQ398" s="2"/>
      <c r="AR398" s="2"/>
      <c r="AS398" s="2"/>
      <c r="AT398" s="2"/>
      <c r="AU398" s="2"/>
      <c r="AV398" s="2"/>
      <c r="AW398" s="2"/>
      <c r="AX398" s="2"/>
      <c r="AY398" s="2"/>
      <c r="AZ398" s="2"/>
      <c r="BA398" s="2"/>
      <c r="BB398" s="2"/>
      <c r="BC398" s="2"/>
      <c r="BD398" s="2"/>
      <c r="BE398" s="2"/>
      <c r="BF398" s="2"/>
      <c r="BG398" s="2"/>
      <c r="BH398" s="2"/>
      <c r="BI398" s="2"/>
      <c r="BJ398" s="2"/>
      <c r="BK398" s="2"/>
      <c r="BL398" s="2"/>
      <c r="BM398" s="2"/>
      <c r="BN398" s="2"/>
      <c r="BO398" s="2"/>
      <c r="BP398" s="2"/>
      <c r="BQ398" s="2"/>
      <c r="BR398" s="2"/>
      <c r="BS398" s="2"/>
      <c r="BT398" s="2"/>
      <c r="BU398" s="2"/>
      <c r="BV398" s="2"/>
      <c r="BW398" s="2"/>
      <c r="BX398" s="2"/>
      <c r="BY398" s="2"/>
      <c r="BZ398" s="2"/>
      <c r="CA398" s="2"/>
      <c r="CB398" s="2"/>
      <c r="CC398" s="2"/>
      <c r="CD398" s="2"/>
      <c r="CE398" s="2"/>
      <c r="CF398" s="2"/>
    </row>
    <row r="399" spans="1:84" ht="12" customHeight="1" x14ac:dyDescent="0.3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2"/>
      <c r="AL399" s="2"/>
      <c r="AM399" s="2"/>
      <c r="AN399" s="2"/>
      <c r="AO399" s="2"/>
      <c r="AP399" s="2"/>
      <c r="AQ399" s="2"/>
      <c r="AR399" s="2"/>
      <c r="AS399" s="2"/>
      <c r="AT399" s="2"/>
      <c r="AU399" s="2"/>
      <c r="AV399" s="2"/>
      <c r="AW399" s="2"/>
      <c r="AX399" s="2"/>
      <c r="AY399" s="2"/>
      <c r="AZ399" s="2"/>
      <c r="BA399" s="2"/>
      <c r="BB399" s="2"/>
      <c r="BC399" s="2"/>
      <c r="BD399" s="2"/>
      <c r="BE399" s="2"/>
      <c r="BF399" s="2"/>
      <c r="BG399" s="2"/>
      <c r="BH399" s="2"/>
      <c r="BI399" s="2"/>
      <c r="BJ399" s="2"/>
      <c r="BK399" s="2"/>
      <c r="BL399" s="2"/>
      <c r="BM399" s="2"/>
      <c r="BN399" s="2"/>
      <c r="BO399" s="2"/>
      <c r="BP399" s="2"/>
      <c r="BQ399" s="2"/>
      <c r="BR399" s="2"/>
      <c r="BS399" s="2"/>
      <c r="BT399" s="2"/>
      <c r="BU399" s="2"/>
      <c r="BV399" s="2"/>
      <c r="BW399" s="2"/>
      <c r="BX399" s="2"/>
      <c r="BY399" s="2"/>
      <c r="BZ399" s="2"/>
      <c r="CA399" s="2"/>
      <c r="CB399" s="2"/>
      <c r="CC399" s="2"/>
      <c r="CD399" s="2"/>
      <c r="CE399" s="2"/>
      <c r="CF399" s="2"/>
    </row>
    <row r="400" spans="1:84" ht="12" customHeight="1" x14ac:dyDescent="0.3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  <c r="AK400" s="2"/>
      <c r="AL400" s="2"/>
      <c r="AM400" s="2"/>
      <c r="AN400" s="2"/>
      <c r="AO400" s="2"/>
      <c r="AP400" s="2"/>
      <c r="AQ400" s="2"/>
      <c r="AR400" s="2"/>
      <c r="AS400" s="2"/>
      <c r="AT400" s="2"/>
      <c r="AU400" s="2"/>
      <c r="AV400" s="2"/>
      <c r="AW400" s="2"/>
      <c r="AX400" s="2"/>
      <c r="AY400" s="2"/>
      <c r="AZ400" s="2"/>
      <c r="BA400" s="2"/>
      <c r="BB400" s="2"/>
      <c r="BC400" s="2"/>
      <c r="BD400" s="2"/>
      <c r="BE400" s="2"/>
      <c r="BF400" s="2"/>
      <c r="BG400" s="2"/>
      <c r="BH400" s="2"/>
      <c r="BI400" s="2"/>
      <c r="BJ400" s="2"/>
      <c r="BK400" s="2"/>
      <c r="BL400" s="2"/>
      <c r="BM400" s="2"/>
      <c r="BN400" s="2"/>
      <c r="BO400" s="2"/>
      <c r="BP400" s="2"/>
      <c r="BQ400" s="2"/>
      <c r="BR400" s="2"/>
      <c r="BS400" s="2"/>
      <c r="BT400" s="2"/>
      <c r="BU400" s="2"/>
      <c r="BV400" s="2"/>
      <c r="BW400" s="2"/>
      <c r="BX400" s="2"/>
      <c r="BY400" s="2"/>
      <c r="BZ400" s="2"/>
      <c r="CA400" s="2"/>
      <c r="CB400" s="2"/>
      <c r="CC400" s="2"/>
      <c r="CD400" s="2"/>
      <c r="CE400" s="2"/>
      <c r="CF400" s="2"/>
    </row>
    <row r="401" spans="1:84" ht="12" customHeight="1" x14ac:dyDescent="0.3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  <c r="AL401" s="2"/>
      <c r="AM401" s="2"/>
      <c r="AN401" s="2"/>
      <c r="AO401" s="2"/>
      <c r="AP401" s="2"/>
      <c r="AQ401" s="2"/>
      <c r="AR401" s="2"/>
      <c r="AS401" s="2"/>
      <c r="AT401" s="2"/>
      <c r="AU401" s="2"/>
      <c r="AV401" s="2"/>
      <c r="AW401" s="2"/>
      <c r="AX401" s="2"/>
      <c r="AY401" s="2"/>
      <c r="AZ401" s="2"/>
      <c r="BA401" s="2"/>
      <c r="BB401" s="2"/>
      <c r="BC401" s="2"/>
      <c r="BD401" s="2"/>
      <c r="BE401" s="2"/>
      <c r="BF401" s="2"/>
      <c r="BG401" s="2"/>
      <c r="BH401" s="2"/>
      <c r="BI401" s="2"/>
      <c r="BJ401" s="2"/>
      <c r="BK401" s="2"/>
      <c r="BL401" s="2"/>
      <c r="BM401" s="2"/>
      <c r="BN401" s="2"/>
      <c r="BO401" s="2"/>
      <c r="BP401" s="2"/>
      <c r="BQ401" s="2"/>
      <c r="BR401" s="2"/>
      <c r="BS401" s="2"/>
      <c r="BT401" s="2"/>
      <c r="BU401" s="2"/>
      <c r="BV401" s="2"/>
      <c r="BW401" s="2"/>
      <c r="BX401" s="2"/>
      <c r="BY401" s="2"/>
      <c r="BZ401" s="2"/>
      <c r="CA401" s="2"/>
      <c r="CB401" s="2"/>
      <c r="CC401" s="2"/>
      <c r="CD401" s="2"/>
      <c r="CE401" s="2"/>
      <c r="CF401" s="2"/>
    </row>
    <row r="402" spans="1:84" ht="12" customHeight="1" x14ac:dyDescent="0.3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  <c r="AK402" s="2"/>
      <c r="AL402" s="2"/>
      <c r="AM402" s="2"/>
      <c r="AN402" s="2"/>
      <c r="AO402" s="2"/>
      <c r="AP402" s="2"/>
      <c r="AQ402" s="2"/>
      <c r="AR402" s="2"/>
      <c r="AS402" s="2"/>
      <c r="AT402" s="2"/>
      <c r="AU402" s="2"/>
      <c r="AV402" s="2"/>
      <c r="AW402" s="2"/>
      <c r="AX402" s="2"/>
      <c r="AY402" s="2"/>
      <c r="AZ402" s="2"/>
      <c r="BA402" s="2"/>
      <c r="BB402" s="2"/>
      <c r="BC402" s="2"/>
      <c r="BD402" s="2"/>
      <c r="BE402" s="2"/>
      <c r="BF402" s="2"/>
      <c r="BG402" s="2"/>
      <c r="BH402" s="2"/>
      <c r="BI402" s="2"/>
      <c r="BJ402" s="2"/>
      <c r="BK402" s="2"/>
      <c r="BL402" s="2"/>
      <c r="BM402" s="2"/>
      <c r="BN402" s="2"/>
      <c r="BO402" s="2"/>
      <c r="BP402" s="2"/>
      <c r="BQ402" s="2"/>
      <c r="BR402" s="2"/>
      <c r="BS402" s="2"/>
      <c r="BT402" s="2"/>
      <c r="BU402" s="2"/>
      <c r="BV402" s="2"/>
      <c r="BW402" s="2"/>
      <c r="BX402" s="2"/>
      <c r="BY402" s="2"/>
      <c r="BZ402" s="2"/>
      <c r="CA402" s="2"/>
      <c r="CB402" s="2"/>
      <c r="CC402" s="2"/>
      <c r="CD402" s="2"/>
      <c r="CE402" s="2"/>
      <c r="CF402" s="2"/>
    </row>
    <row r="403" spans="1:84" ht="12" customHeight="1" x14ac:dyDescent="0.3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  <c r="AK403" s="2"/>
      <c r="AL403" s="2"/>
      <c r="AM403" s="2"/>
      <c r="AN403" s="2"/>
      <c r="AO403" s="2"/>
      <c r="AP403" s="2"/>
      <c r="AQ403" s="2"/>
      <c r="AR403" s="2"/>
      <c r="AS403" s="2"/>
      <c r="AT403" s="2"/>
      <c r="AU403" s="2"/>
      <c r="AV403" s="2"/>
      <c r="AW403" s="2"/>
      <c r="AX403" s="2"/>
      <c r="AY403" s="2"/>
      <c r="AZ403" s="2"/>
      <c r="BA403" s="2"/>
      <c r="BB403" s="2"/>
      <c r="BC403" s="2"/>
      <c r="BD403" s="2"/>
      <c r="BE403" s="2"/>
      <c r="BF403" s="2"/>
      <c r="BG403" s="2"/>
      <c r="BH403" s="2"/>
      <c r="BI403" s="2"/>
      <c r="BJ403" s="2"/>
      <c r="BK403" s="2"/>
      <c r="BL403" s="2"/>
      <c r="BM403" s="2"/>
      <c r="BN403" s="2"/>
      <c r="BO403" s="2"/>
      <c r="BP403" s="2"/>
      <c r="BQ403" s="2"/>
      <c r="BR403" s="2"/>
      <c r="BS403" s="2"/>
      <c r="BT403" s="2"/>
      <c r="BU403" s="2"/>
      <c r="BV403" s="2"/>
      <c r="BW403" s="2"/>
      <c r="BX403" s="2"/>
      <c r="BY403" s="2"/>
      <c r="BZ403" s="2"/>
      <c r="CA403" s="2"/>
      <c r="CB403" s="2"/>
      <c r="CC403" s="2"/>
      <c r="CD403" s="2"/>
      <c r="CE403" s="2"/>
      <c r="CF403" s="2"/>
    </row>
    <row r="404" spans="1:84" ht="12.65" customHeight="1" x14ac:dyDescent="0.3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  <c r="AK404" s="2"/>
      <c r="AL404" s="2"/>
      <c r="AM404" s="2"/>
      <c r="AN404" s="2"/>
      <c r="AO404" s="2"/>
      <c r="AP404" s="2"/>
      <c r="AQ404" s="2"/>
      <c r="AR404" s="2"/>
      <c r="AS404" s="2"/>
      <c r="AT404" s="2"/>
      <c r="AU404" s="2"/>
      <c r="AV404" s="2"/>
      <c r="AW404" s="2"/>
      <c r="AX404" s="2"/>
      <c r="AY404" s="2"/>
      <c r="AZ404" s="2"/>
      <c r="BA404" s="2"/>
      <c r="BB404" s="2"/>
      <c r="BC404" s="2"/>
      <c r="BD404" s="2"/>
      <c r="BE404" s="2"/>
      <c r="BF404" s="2"/>
      <c r="BG404" s="2"/>
      <c r="BH404" s="2"/>
      <c r="BI404" s="2"/>
      <c r="BJ404" s="2"/>
      <c r="BK404" s="2"/>
      <c r="BL404" s="2"/>
      <c r="BM404" s="2"/>
      <c r="BN404" s="2"/>
      <c r="BO404" s="2"/>
      <c r="BP404" s="2"/>
      <c r="BQ404" s="2"/>
      <c r="BR404" s="2"/>
      <c r="BS404" s="2"/>
      <c r="BT404" s="2"/>
      <c r="BU404" s="2"/>
      <c r="BV404" s="2"/>
      <c r="BW404" s="2"/>
      <c r="BX404" s="2"/>
      <c r="BY404" s="2"/>
      <c r="BZ404" s="2"/>
      <c r="CA404" s="2"/>
      <c r="CB404" s="2"/>
      <c r="CC404" s="2"/>
      <c r="CD404" s="2"/>
      <c r="CE404" s="2"/>
      <c r="CF404" s="2"/>
    </row>
    <row r="405" spans="1:84" ht="12.65" customHeight="1" x14ac:dyDescent="0.3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  <c r="AL405" s="2"/>
      <c r="AM405" s="2"/>
      <c r="AN405" s="2"/>
      <c r="AO405" s="2"/>
      <c r="AP405" s="2"/>
      <c r="AQ405" s="2"/>
      <c r="AR405" s="2"/>
      <c r="AS405" s="2"/>
      <c r="AT405" s="2"/>
      <c r="AU405" s="2"/>
      <c r="AV405" s="2"/>
      <c r="AW405" s="2"/>
      <c r="AX405" s="2"/>
      <c r="AY405" s="2"/>
      <c r="AZ405" s="2"/>
      <c r="BA405" s="2"/>
      <c r="BB405" s="2"/>
      <c r="BC405" s="2"/>
      <c r="BD405" s="2"/>
      <c r="BE405" s="2"/>
      <c r="BF405" s="2"/>
      <c r="BG405" s="2"/>
      <c r="BH405" s="2"/>
      <c r="BI405" s="2"/>
      <c r="BJ405" s="2"/>
      <c r="BK405" s="2"/>
      <c r="BL405" s="2"/>
      <c r="BM405" s="2"/>
      <c r="BN405" s="2"/>
      <c r="BO405" s="2"/>
      <c r="BP405" s="2"/>
      <c r="BQ405" s="2"/>
      <c r="BR405" s="2"/>
      <c r="BS405" s="2"/>
      <c r="BT405" s="2"/>
      <c r="BU405" s="2"/>
      <c r="BV405" s="2"/>
      <c r="BW405" s="2"/>
      <c r="BX405" s="2"/>
      <c r="BY405" s="2"/>
      <c r="BZ405" s="2"/>
      <c r="CA405" s="2"/>
      <c r="CB405" s="2"/>
      <c r="CC405" s="2"/>
      <c r="CD405" s="2"/>
      <c r="CE405" s="2"/>
      <c r="CF405" s="2"/>
    </row>
    <row r="406" spans="1:84" ht="12.65" customHeight="1" x14ac:dyDescent="0.3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  <c r="AK406" s="2"/>
      <c r="AL406" s="2"/>
      <c r="AM406" s="2"/>
      <c r="AN406" s="2"/>
      <c r="AO406" s="2"/>
      <c r="AP406" s="2"/>
      <c r="AQ406" s="2"/>
      <c r="AR406" s="2"/>
      <c r="AS406" s="2"/>
      <c r="AT406" s="2"/>
      <c r="AU406" s="2"/>
      <c r="AV406" s="2"/>
      <c r="AW406" s="2"/>
      <c r="AX406" s="2"/>
      <c r="AY406" s="2"/>
      <c r="AZ406" s="2"/>
      <c r="BA406" s="2"/>
      <c r="BB406" s="2"/>
      <c r="BC406" s="2"/>
      <c r="BD406" s="2"/>
      <c r="BE406" s="2"/>
      <c r="BF406" s="2"/>
      <c r="BG406" s="2"/>
      <c r="BH406" s="2"/>
      <c r="BI406" s="2"/>
      <c r="BJ406" s="2"/>
      <c r="BK406" s="2"/>
      <c r="BL406" s="2"/>
      <c r="BM406" s="2"/>
      <c r="BN406" s="2"/>
      <c r="BO406" s="2"/>
      <c r="BP406" s="2"/>
      <c r="BQ406" s="2"/>
      <c r="BR406" s="2"/>
      <c r="BS406" s="2"/>
      <c r="BT406" s="2"/>
      <c r="BU406" s="2"/>
      <c r="BV406" s="2"/>
      <c r="BW406" s="2"/>
      <c r="BX406" s="2"/>
      <c r="BY406" s="2"/>
      <c r="BZ406" s="2"/>
      <c r="CA406" s="2"/>
      <c r="CB406" s="2"/>
      <c r="CC406" s="2"/>
      <c r="CD406" s="2"/>
      <c r="CE406" s="2"/>
      <c r="CF406" s="2"/>
    </row>
    <row r="407" spans="1:84" ht="12.65" customHeight="1" x14ac:dyDescent="0.3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  <c r="AK407" s="2"/>
      <c r="AL407" s="2"/>
      <c r="AM407" s="2"/>
      <c r="AN407" s="2"/>
      <c r="AO407" s="2"/>
      <c r="AP407" s="2"/>
      <c r="AQ407" s="2"/>
      <c r="AR407" s="2"/>
      <c r="AS407" s="2"/>
      <c r="AT407" s="2"/>
      <c r="AU407" s="2"/>
      <c r="AV407" s="2"/>
      <c r="AW407" s="2"/>
      <c r="AX407" s="2"/>
      <c r="AY407" s="2"/>
      <c r="AZ407" s="2"/>
      <c r="BA407" s="2"/>
      <c r="BB407" s="2"/>
      <c r="BC407" s="2"/>
      <c r="BD407" s="2"/>
      <c r="BE407" s="2"/>
      <c r="BF407" s="2"/>
      <c r="BG407" s="2"/>
      <c r="BH407" s="2"/>
      <c r="BI407" s="2"/>
      <c r="BJ407" s="2"/>
      <c r="BK407" s="2"/>
      <c r="BL407" s="2"/>
      <c r="BM407" s="2"/>
      <c r="BN407" s="2"/>
      <c r="BO407" s="2"/>
      <c r="BP407" s="2"/>
      <c r="BQ407" s="2"/>
      <c r="BR407" s="2"/>
      <c r="BS407" s="2"/>
      <c r="BT407" s="2"/>
      <c r="BU407" s="2"/>
      <c r="BV407" s="2"/>
      <c r="BW407" s="2"/>
      <c r="BX407" s="2"/>
      <c r="BY407" s="2"/>
      <c r="BZ407" s="2"/>
      <c r="CA407" s="2"/>
      <c r="CB407" s="2"/>
      <c r="CC407" s="2"/>
      <c r="CD407" s="2"/>
      <c r="CE407" s="2"/>
      <c r="CF407" s="2"/>
    </row>
    <row r="408" spans="1:84" ht="12.65" customHeight="1" x14ac:dyDescent="0.3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  <c r="AK408" s="2"/>
      <c r="AL408" s="2"/>
      <c r="AM408" s="2"/>
      <c r="AN408" s="2"/>
      <c r="AO408" s="2"/>
      <c r="AP408" s="2"/>
      <c r="AQ408" s="2"/>
      <c r="AR408" s="2"/>
      <c r="AS408" s="2"/>
      <c r="AT408" s="2"/>
      <c r="AU408" s="2"/>
      <c r="AV408" s="2"/>
      <c r="AW408" s="2"/>
      <c r="AX408" s="2"/>
      <c r="AY408" s="2"/>
      <c r="AZ408" s="2"/>
      <c r="BA408" s="2"/>
      <c r="BB408" s="2"/>
      <c r="BC408" s="2"/>
      <c r="BD408" s="2"/>
      <c r="BE408" s="2"/>
      <c r="BF408" s="2"/>
      <c r="BG408" s="2"/>
      <c r="BH408" s="2"/>
      <c r="BI408" s="2"/>
      <c r="BJ408" s="2"/>
      <c r="BK408" s="2"/>
      <c r="BL408" s="2"/>
      <c r="BM408" s="2"/>
      <c r="BN408" s="2"/>
      <c r="BO408" s="2"/>
      <c r="BP408" s="2"/>
      <c r="BQ408" s="2"/>
      <c r="BR408" s="2"/>
      <c r="BS408" s="2"/>
      <c r="BT408" s="2"/>
      <c r="BU408" s="2"/>
      <c r="BV408" s="2"/>
      <c r="BW408" s="2"/>
      <c r="BX408" s="2"/>
      <c r="BY408" s="2"/>
      <c r="BZ408" s="2"/>
      <c r="CA408" s="2"/>
      <c r="CB408" s="2"/>
      <c r="CC408" s="2"/>
      <c r="CD408" s="2"/>
      <c r="CE408" s="2"/>
      <c r="CF408" s="2"/>
    </row>
    <row r="409" spans="1:84" ht="12.65" customHeight="1" x14ac:dyDescent="0.3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  <c r="AK409" s="2"/>
      <c r="AL409" s="2"/>
      <c r="AM409" s="2"/>
      <c r="AN409" s="2"/>
      <c r="AO409" s="2"/>
      <c r="AP409" s="2"/>
      <c r="AQ409" s="2"/>
      <c r="AR409" s="2"/>
      <c r="AS409" s="2"/>
      <c r="AT409" s="2"/>
      <c r="AU409" s="2"/>
      <c r="AV409" s="2"/>
      <c r="AW409" s="2"/>
      <c r="AX409" s="2"/>
      <c r="AY409" s="2"/>
      <c r="AZ409" s="2"/>
      <c r="BA409" s="2"/>
      <c r="BB409" s="2"/>
      <c r="BC409" s="2"/>
      <c r="BD409" s="2"/>
      <c r="BE409" s="2"/>
      <c r="BF409" s="2"/>
      <c r="BG409" s="2"/>
      <c r="BH409" s="2"/>
      <c r="BI409" s="2"/>
      <c r="BJ409" s="2"/>
      <c r="BK409" s="2"/>
      <c r="BL409" s="2"/>
      <c r="BM409" s="2"/>
      <c r="BN409" s="2"/>
      <c r="BO409" s="2"/>
      <c r="BP409" s="2"/>
      <c r="BQ409" s="2"/>
      <c r="BR409" s="2"/>
      <c r="BS409" s="2"/>
      <c r="BT409" s="2"/>
      <c r="BU409" s="2"/>
      <c r="BV409" s="2"/>
      <c r="BW409" s="2"/>
      <c r="BX409" s="2"/>
      <c r="BY409" s="2"/>
      <c r="BZ409" s="2"/>
      <c r="CA409" s="2"/>
      <c r="CB409" s="2"/>
      <c r="CC409" s="2"/>
      <c r="CD409" s="2"/>
      <c r="CE409" s="2"/>
      <c r="CF409" s="2"/>
    </row>
    <row r="410" spans="1:84" ht="12.65" customHeight="1" x14ac:dyDescent="0.3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  <c r="AL410" s="2"/>
      <c r="AM410" s="2"/>
      <c r="AN410" s="2"/>
      <c r="AO410" s="2"/>
      <c r="AP410" s="2"/>
      <c r="AQ410" s="2"/>
      <c r="AR410" s="2"/>
      <c r="AS410" s="2"/>
      <c r="AT410" s="2"/>
      <c r="AU410" s="2"/>
      <c r="AV410" s="2"/>
      <c r="AW410" s="2"/>
      <c r="AX410" s="2"/>
      <c r="AY410" s="2"/>
      <c r="AZ410" s="2"/>
      <c r="BA410" s="2"/>
      <c r="BB410" s="2"/>
      <c r="BC410" s="2"/>
      <c r="BD410" s="2"/>
      <c r="BE410" s="2"/>
      <c r="BF410" s="2"/>
      <c r="BG410" s="2"/>
      <c r="BH410" s="2"/>
      <c r="BI410" s="2"/>
      <c r="BJ410" s="2"/>
      <c r="BK410" s="2"/>
      <c r="BL410" s="2"/>
      <c r="BM410" s="2"/>
      <c r="BN410" s="2"/>
      <c r="BO410" s="2"/>
      <c r="BP410" s="2"/>
      <c r="BQ410" s="2"/>
      <c r="BR410" s="2"/>
      <c r="BS410" s="2"/>
      <c r="BT410" s="2"/>
      <c r="BU410" s="2"/>
      <c r="BV410" s="2"/>
      <c r="BW410" s="2"/>
      <c r="BX410" s="2"/>
      <c r="BY410" s="2"/>
      <c r="BZ410" s="2"/>
      <c r="CA410" s="2"/>
      <c r="CB410" s="2"/>
      <c r="CC410" s="2"/>
      <c r="CD410" s="2"/>
      <c r="CE410" s="2"/>
      <c r="CF410" s="2"/>
    </row>
    <row r="411" spans="1:84" ht="12.65" customHeight="1" x14ac:dyDescent="0.35">
      <c r="A411" s="2"/>
      <c r="B411" s="2"/>
      <c r="C411" s="329" t="s">
        <v>459</v>
      </c>
      <c r="D411" s="2"/>
      <c r="E411" s="330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L411" s="2"/>
      <c r="AM411" s="2"/>
      <c r="AN411" s="2"/>
      <c r="AO411" s="2"/>
      <c r="AP411" s="2"/>
      <c r="AQ411" s="2"/>
      <c r="AR411" s="2"/>
      <c r="AS411" s="2"/>
      <c r="AT411" s="2"/>
      <c r="AU411" s="2"/>
      <c r="AV411" s="2"/>
      <c r="AW411" s="2"/>
      <c r="AX411" s="2"/>
      <c r="AY411" s="2"/>
      <c r="AZ411" s="2"/>
      <c r="BA411" s="2"/>
      <c r="BB411" s="2"/>
      <c r="BC411" s="2"/>
      <c r="BD411" s="2"/>
      <c r="BE411" s="2"/>
      <c r="BF411" s="2"/>
      <c r="BG411" s="2"/>
      <c r="BH411" s="2"/>
      <c r="BI411" s="2"/>
      <c r="BJ411" s="2"/>
      <c r="BK411" s="2"/>
      <c r="BL411" s="2"/>
      <c r="BM411" s="2"/>
      <c r="BN411" s="2"/>
      <c r="BO411" s="2"/>
      <c r="BP411" s="2"/>
      <c r="BQ411" s="2"/>
      <c r="BR411" s="2"/>
      <c r="BS411" s="2"/>
      <c r="BT411" s="2"/>
      <c r="BU411" s="2"/>
      <c r="BV411" s="2"/>
      <c r="BW411" s="2"/>
      <c r="BX411" s="2"/>
      <c r="BY411" s="2"/>
      <c r="BZ411" s="2"/>
      <c r="CA411" s="2"/>
      <c r="CB411" s="2"/>
      <c r="CC411" s="2"/>
      <c r="CD411" s="2"/>
      <c r="CE411" s="2"/>
      <c r="CF411" s="2"/>
    </row>
    <row r="412" spans="1:84" ht="12.65" customHeight="1" x14ac:dyDescent="0.35">
      <c r="A412" s="2" t="str">
        <f>C84&amp;"   "&amp;"H-"&amp;FIXED(C83,0,TRUE)&amp;"     FYE "&amp;C82</f>
        <v>EvergreenHealth Kirkland / King Country Public Hos #2   H-0     FYE 12/31/2020</v>
      </c>
      <c r="B412" s="2"/>
      <c r="C412" s="2"/>
      <c r="D412" s="2"/>
      <c r="E412" s="330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  <c r="AK412" s="2"/>
      <c r="AL412" s="2"/>
      <c r="AM412" s="2"/>
      <c r="AN412" s="2"/>
      <c r="AO412" s="2"/>
      <c r="AP412" s="2"/>
      <c r="AQ412" s="2"/>
      <c r="AR412" s="2"/>
      <c r="AS412" s="2"/>
      <c r="AT412" s="2"/>
      <c r="AU412" s="2"/>
      <c r="AV412" s="2"/>
      <c r="AW412" s="2"/>
      <c r="AX412" s="2"/>
      <c r="AY412" s="2"/>
      <c r="AZ412" s="2"/>
      <c r="BA412" s="2"/>
      <c r="BB412" s="2"/>
      <c r="BC412" s="2"/>
      <c r="BD412" s="2"/>
      <c r="BE412" s="2"/>
      <c r="BF412" s="2"/>
      <c r="BG412" s="2"/>
      <c r="BH412" s="2"/>
      <c r="BI412" s="2"/>
      <c r="BJ412" s="2"/>
      <c r="BK412" s="2"/>
      <c r="BL412" s="2"/>
      <c r="BM412" s="2"/>
      <c r="BN412" s="2"/>
      <c r="BO412" s="2"/>
      <c r="BP412" s="2"/>
      <c r="BQ412" s="2"/>
      <c r="BR412" s="2"/>
      <c r="BS412" s="2"/>
      <c r="BT412" s="2"/>
      <c r="BU412" s="2"/>
      <c r="BV412" s="2"/>
      <c r="BW412" s="2"/>
      <c r="BX412" s="2"/>
      <c r="BY412" s="2"/>
      <c r="BZ412" s="2"/>
      <c r="CA412" s="2"/>
      <c r="CB412" s="2"/>
      <c r="CC412" s="2"/>
      <c r="CD412" s="2"/>
      <c r="CE412" s="2"/>
      <c r="CF412" s="2"/>
    </row>
    <row r="413" spans="1:84" ht="12.65" customHeight="1" x14ac:dyDescent="0.35">
      <c r="A413" s="2" t="s">
        <v>460</v>
      </c>
      <c r="B413" s="329" t="s">
        <v>461</v>
      </c>
      <c r="C413" s="329" t="s">
        <v>1242</v>
      </c>
      <c r="D413" s="329" t="s">
        <v>462</v>
      </c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  <c r="AK413" s="2"/>
      <c r="AL413" s="2"/>
      <c r="AM413" s="2"/>
      <c r="AN413" s="2"/>
      <c r="AO413" s="2"/>
      <c r="AP413" s="2"/>
      <c r="AQ413" s="2"/>
      <c r="AR413" s="2"/>
      <c r="AS413" s="2"/>
      <c r="AT413" s="2"/>
      <c r="AU413" s="2"/>
      <c r="AV413" s="2"/>
      <c r="AW413" s="2"/>
      <c r="AX413" s="2"/>
      <c r="AY413" s="2"/>
      <c r="AZ413" s="2"/>
      <c r="BA413" s="2"/>
      <c r="BB413" s="2"/>
      <c r="BC413" s="2"/>
      <c r="BD413" s="2"/>
      <c r="BE413" s="2"/>
      <c r="BF413" s="2"/>
      <c r="BG413" s="2"/>
      <c r="BH413" s="2"/>
      <c r="BI413" s="2"/>
      <c r="BJ413" s="2"/>
      <c r="BK413" s="2"/>
      <c r="BL413" s="2"/>
      <c r="BM413" s="2"/>
      <c r="BN413" s="2"/>
      <c r="BO413" s="2"/>
      <c r="BP413" s="2"/>
      <c r="BQ413" s="2"/>
      <c r="BR413" s="2"/>
      <c r="BS413" s="2"/>
      <c r="BT413" s="2"/>
      <c r="BU413" s="2"/>
      <c r="BV413" s="2"/>
      <c r="BW413" s="2"/>
      <c r="BX413" s="2"/>
      <c r="BY413" s="2"/>
      <c r="BZ413" s="2"/>
      <c r="CA413" s="2"/>
      <c r="CB413" s="2"/>
      <c r="CC413" s="2"/>
      <c r="CD413" s="2"/>
      <c r="CE413" s="2"/>
      <c r="CF413" s="2"/>
    </row>
    <row r="414" spans="1:84" ht="12.65" customHeight="1" x14ac:dyDescent="0.35">
      <c r="A414" s="2" t="s">
        <v>463</v>
      </c>
      <c r="B414" s="2">
        <f>C111</f>
        <v>13819</v>
      </c>
      <c r="C414" s="2">
        <f>E138</f>
        <v>13819</v>
      </c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  <c r="AI414" s="2"/>
      <c r="AJ414" s="2"/>
      <c r="AK414" s="2"/>
      <c r="AL414" s="2"/>
      <c r="AM414" s="2"/>
      <c r="AN414" s="2"/>
      <c r="AO414" s="2"/>
      <c r="AP414" s="2"/>
      <c r="AQ414" s="2"/>
      <c r="AR414" s="2"/>
      <c r="AS414" s="2"/>
      <c r="AT414" s="2"/>
      <c r="AU414" s="2"/>
      <c r="AV414" s="2"/>
      <c r="AW414" s="2"/>
      <c r="AX414" s="2"/>
      <c r="AY414" s="2"/>
      <c r="AZ414" s="2"/>
      <c r="BA414" s="2"/>
      <c r="BB414" s="2"/>
      <c r="BC414" s="2"/>
      <c r="BD414" s="2"/>
      <c r="BE414" s="2"/>
      <c r="BF414" s="2"/>
      <c r="BG414" s="2"/>
      <c r="BH414" s="2"/>
      <c r="BI414" s="2"/>
      <c r="BJ414" s="2"/>
      <c r="BK414" s="2"/>
      <c r="BL414" s="2"/>
      <c r="BM414" s="2"/>
      <c r="BN414" s="2"/>
      <c r="BO414" s="2"/>
      <c r="BP414" s="2"/>
      <c r="BQ414" s="2"/>
      <c r="BR414" s="2"/>
      <c r="BS414" s="2"/>
      <c r="BT414" s="2"/>
      <c r="BU414" s="2"/>
      <c r="BV414" s="2"/>
      <c r="BW414" s="2"/>
      <c r="BX414" s="2"/>
      <c r="BY414" s="2"/>
      <c r="BZ414" s="2"/>
      <c r="CA414" s="2"/>
      <c r="CB414" s="2"/>
      <c r="CC414" s="2"/>
      <c r="CD414" s="2"/>
      <c r="CE414" s="2"/>
      <c r="CF414" s="2"/>
    </row>
    <row r="415" spans="1:84" ht="12.65" customHeight="1" x14ac:dyDescent="0.35">
      <c r="A415" s="2" t="s">
        <v>464</v>
      </c>
      <c r="B415" s="2">
        <f>D111</f>
        <v>61292</v>
      </c>
      <c r="C415" s="2">
        <f>E139</f>
        <v>61292</v>
      </c>
      <c r="D415" s="2">
        <f>SUM(C59:H59)+N59</f>
        <v>55016.85</v>
      </c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  <c r="AI415" s="2"/>
      <c r="AJ415" s="2"/>
      <c r="AK415" s="2"/>
      <c r="AL415" s="2"/>
      <c r="AM415" s="2"/>
      <c r="AN415" s="2"/>
      <c r="AO415" s="2"/>
      <c r="AP415" s="2"/>
      <c r="AQ415" s="2"/>
      <c r="AR415" s="2"/>
      <c r="AS415" s="2"/>
      <c r="AT415" s="2"/>
      <c r="AU415" s="2"/>
      <c r="AV415" s="2"/>
      <c r="AW415" s="2"/>
      <c r="AX415" s="2"/>
      <c r="AY415" s="2"/>
      <c r="AZ415" s="2"/>
      <c r="BA415" s="2"/>
      <c r="BB415" s="2"/>
      <c r="BC415" s="2"/>
      <c r="BD415" s="2"/>
      <c r="BE415" s="2"/>
      <c r="BF415" s="2"/>
      <c r="BG415" s="2"/>
      <c r="BH415" s="2"/>
      <c r="BI415" s="2"/>
      <c r="BJ415" s="2"/>
      <c r="BK415" s="2"/>
      <c r="BL415" s="2"/>
      <c r="BM415" s="2"/>
      <c r="BN415" s="2"/>
      <c r="BO415" s="2"/>
      <c r="BP415" s="2"/>
      <c r="BQ415" s="2"/>
      <c r="BR415" s="2"/>
      <c r="BS415" s="2"/>
      <c r="BT415" s="2"/>
      <c r="BU415" s="2"/>
      <c r="BV415" s="2"/>
      <c r="BW415" s="2"/>
      <c r="BX415" s="2"/>
      <c r="BY415" s="2"/>
      <c r="BZ415" s="2"/>
      <c r="CA415" s="2"/>
      <c r="CB415" s="2"/>
      <c r="CC415" s="2"/>
      <c r="CD415" s="2"/>
      <c r="CE415" s="2"/>
      <c r="CF415" s="2"/>
    </row>
    <row r="416" spans="1:84" ht="12.65" customHeight="1" x14ac:dyDescent="0.3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  <c r="AJ416" s="2"/>
      <c r="AK416" s="2"/>
      <c r="AL416" s="2"/>
      <c r="AM416" s="2"/>
      <c r="AN416" s="2"/>
      <c r="AO416" s="2"/>
      <c r="AP416" s="2"/>
      <c r="AQ416" s="2"/>
      <c r="AR416" s="2"/>
      <c r="AS416" s="2"/>
      <c r="AT416" s="2"/>
      <c r="AU416" s="2"/>
      <c r="AV416" s="2"/>
      <c r="AW416" s="2"/>
      <c r="AX416" s="2"/>
      <c r="AY416" s="2"/>
      <c r="AZ416" s="2"/>
      <c r="BA416" s="2"/>
      <c r="BB416" s="2"/>
      <c r="BC416" s="2"/>
      <c r="BD416" s="2"/>
      <c r="BE416" s="2"/>
      <c r="BF416" s="2"/>
      <c r="BG416" s="2"/>
      <c r="BH416" s="2"/>
      <c r="BI416" s="2"/>
      <c r="BJ416" s="2"/>
      <c r="BK416" s="2"/>
      <c r="BL416" s="2"/>
      <c r="BM416" s="2"/>
      <c r="BN416" s="2"/>
      <c r="BO416" s="2"/>
      <c r="BP416" s="2"/>
      <c r="BQ416" s="2"/>
      <c r="BR416" s="2"/>
      <c r="BS416" s="2"/>
      <c r="BT416" s="2"/>
      <c r="BU416" s="2"/>
      <c r="BV416" s="2"/>
      <c r="BW416" s="2"/>
      <c r="BX416" s="2"/>
      <c r="BY416" s="2"/>
      <c r="BZ416" s="2"/>
      <c r="CA416" s="2"/>
      <c r="CB416" s="2"/>
      <c r="CC416" s="2"/>
      <c r="CD416" s="2"/>
      <c r="CE416" s="2"/>
      <c r="CF416" s="2"/>
    </row>
    <row r="417" spans="1:84" ht="12.65" customHeight="1" x14ac:dyDescent="0.35">
      <c r="A417" s="2" t="s">
        <v>465</v>
      </c>
      <c r="B417" s="2">
        <f>C112</f>
        <v>0</v>
      </c>
      <c r="C417" s="2">
        <f>E144</f>
        <v>0</v>
      </c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  <c r="AK417" s="2"/>
      <c r="AL417" s="2"/>
      <c r="AM417" s="2"/>
      <c r="AN417" s="2"/>
      <c r="AO417" s="2"/>
      <c r="AP417" s="2"/>
      <c r="AQ417" s="2"/>
      <c r="AR417" s="2"/>
      <c r="AS417" s="2"/>
      <c r="AT417" s="2"/>
      <c r="AU417" s="2"/>
      <c r="AV417" s="2"/>
      <c r="AW417" s="2"/>
      <c r="AX417" s="2"/>
      <c r="AY417" s="2"/>
      <c r="AZ417" s="2"/>
      <c r="BA417" s="2"/>
      <c r="BB417" s="2"/>
      <c r="BC417" s="2"/>
      <c r="BD417" s="2"/>
      <c r="BE417" s="2"/>
      <c r="BF417" s="2"/>
      <c r="BG417" s="2"/>
      <c r="BH417" s="2"/>
      <c r="BI417" s="2"/>
      <c r="BJ417" s="2"/>
      <c r="BK417" s="2"/>
      <c r="BL417" s="2"/>
      <c r="BM417" s="2"/>
      <c r="BN417" s="2"/>
      <c r="BO417" s="2"/>
      <c r="BP417" s="2"/>
      <c r="BQ417" s="2"/>
      <c r="BR417" s="2"/>
      <c r="BS417" s="2"/>
      <c r="BT417" s="2"/>
      <c r="BU417" s="2"/>
      <c r="BV417" s="2"/>
      <c r="BW417" s="2"/>
      <c r="BX417" s="2"/>
      <c r="BY417" s="2"/>
      <c r="BZ417" s="2"/>
      <c r="CA417" s="2"/>
      <c r="CB417" s="2"/>
      <c r="CC417" s="2"/>
      <c r="CD417" s="2"/>
      <c r="CE417" s="2"/>
      <c r="CF417" s="2"/>
    </row>
    <row r="418" spans="1:84" ht="12.65" customHeight="1" x14ac:dyDescent="0.35">
      <c r="A418" s="2" t="s">
        <v>466</v>
      </c>
      <c r="B418" s="2">
        <f>D112</f>
        <v>0</v>
      </c>
      <c r="C418" s="2">
        <f>E145</f>
        <v>0</v>
      </c>
      <c r="D418" s="2">
        <f>K59+L59</f>
        <v>0</v>
      </c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  <c r="AK418" s="2"/>
      <c r="AL418" s="2"/>
      <c r="AM418" s="2"/>
      <c r="AN418" s="2"/>
      <c r="AO418" s="2"/>
      <c r="AP418" s="2"/>
      <c r="AQ418" s="2"/>
      <c r="AR418" s="2"/>
      <c r="AS418" s="2"/>
      <c r="AT418" s="2"/>
      <c r="AU418" s="2"/>
      <c r="AV418" s="2"/>
      <c r="AW418" s="2"/>
      <c r="AX418" s="2"/>
      <c r="AY418" s="2"/>
      <c r="AZ418" s="2"/>
      <c r="BA418" s="2"/>
      <c r="BB418" s="2"/>
      <c r="BC418" s="2"/>
      <c r="BD418" s="2"/>
      <c r="BE418" s="2"/>
      <c r="BF418" s="2"/>
      <c r="BG418" s="2"/>
      <c r="BH418" s="2"/>
      <c r="BI418" s="2"/>
      <c r="BJ418" s="2"/>
      <c r="BK418" s="2"/>
      <c r="BL418" s="2"/>
      <c r="BM418" s="2"/>
      <c r="BN418" s="2"/>
      <c r="BO418" s="2"/>
      <c r="BP418" s="2"/>
      <c r="BQ418" s="2"/>
      <c r="BR418" s="2"/>
      <c r="BS418" s="2"/>
      <c r="BT418" s="2"/>
      <c r="BU418" s="2"/>
      <c r="BV418" s="2"/>
      <c r="BW418" s="2"/>
      <c r="BX418" s="2"/>
      <c r="BY418" s="2"/>
      <c r="BZ418" s="2"/>
      <c r="CA418" s="2"/>
      <c r="CB418" s="2"/>
      <c r="CC418" s="2"/>
      <c r="CD418" s="2"/>
      <c r="CE418" s="2"/>
      <c r="CF418" s="2"/>
    </row>
    <row r="419" spans="1:84" ht="12.65" customHeight="1" x14ac:dyDescent="0.3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  <c r="AL419" s="2"/>
      <c r="AM419" s="2"/>
      <c r="AN419" s="2"/>
      <c r="AO419" s="2"/>
      <c r="AP419" s="2"/>
      <c r="AQ419" s="2"/>
      <c r="AR419" s="2"/>
      <c r="AS419" s="2"/>
      <c r="AT419" s="2"/>
      <c r="AU419" s="2"/>
      <c r="AV419" s="2"/>
      <c r="AW419" s="2"/>
      <c r="AX419" s="2"/>
      <c r="AY419" s="2"/>
      <c r="AZ419" s="2"/>
      <c r="BA419" s="2"/>
      <c r="BB419" s="2"/>
      <c r="BC419" s="2"/>
      <c r="BD419" s="2"/>
      <c r="BE419" s="2"/>
      <c r="BF419" s="2"/>
      <c r="BG419" s="2"/>
      <c r="BH419" s="2"/>
      <c r="BI419" s="2"/>
      <c r="BJ419" s="2"/>
      <c r="BK419" s="2"/>
      <c r="BL419" s="2"/>
      <c r="BM419" s="2"/>
      <c r="BN419" s="2"/>
      <c r="BO419" s="2"/>
      <c r="BP419" s="2"/>
      <c r="BQ419" s="2"/>
      <c r="BR419" s="2"/>
      <c r="BS419" s="2"/>
      <c r="BT419" s="2"/>
      <c r="BU419" s="2"/>
      <c r="BV419" s="2"/>
      <c r="BW419" s="2"/>
      <c r="BX419" s="2"/>
      <c r="BY419" s="2"/>
      <c r="BZ419" s="2"/>
      <c r="CA419" s="2"/>
      <c r="CB419" s="2"/>
      <c r="CC419" s="2"/>
      <c r="CD419" s="2"/>
      <c r="CE419" s="2"/>
      <c r="CF419" s="2"/>
    </row>
    <row r="420" spans="1:84" ht="12.65" customHeight="1" x14ac:dyDescent="0.35">
      <c r="A420" s="2" t="s">
        <v>467</v>
      </c>
      <c r="B420" s="2">
        <f>C113</f>
        <v>0</v>
      </c>
      <c r="C420" s="2">
        <f>E150</f>
        <v>0</v>
      </c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  <c r="AI420" s="2"/>
      <c r="AJ420" s="2"/>
      <c r="AK420" s="2"/>
      <c r="AL420" s="2"/>
      <c r="AM420" s="2"/>
      <c r="AN420" s="2"/>
      <c r="AO420" s="2"/>
      <c r="AP420" s="2"/>
      <c r="AQ420" s="2"/>
      <c r="AR420" s="2"/>
      <c r="AS420" s="2"/>
      <c r="AT420" s="2"/>
      <c r="AU420" s="2"/>
      <c r="AV420" s="2"/>
      <c r="AW420" s="2"/>
      <c r="AX420" s="2"/>
      <c r="AY420" s="2"/>
      <c r="AZ420" s="2"/>
      <c r="BA420" s="2"/>
      <c r="BB420" s="2"/>
      <c r="BC420" s="2"/>
      <c r="BD420" s="2"/>
      <c r="BE420" s="2"/>
      <c r="BF420" s="2"/>
      <c r="BG420" s="2"/>
      <c r="BH420" s="2"/>
      <c r="BI420" s="2"/>
      <c r="BJ420" s="2"/>
      <c r="BK420" s="2"/>
      <c r="BL420" s="2"/>
      <c r="BM420" s="2"/>
      <c r="BN420" s="2"/>
      <c r="BO420" s="2"/>
      <c r="BP420" s="2"/>
      <c r="BQ420" s="2"/>
      <c r="BR420" s="2"/>
      <c r="BS420" s="2"/>
      <c r="BT420" s="2"/>
      <c r="BU420" s="2"/>
      <c r="BV420" s="2"/>
      <c r="BW420" s="2"/>
      <c r="BX420" s="2"/>
      <c r="BY420" s="2"/>
      <c r="BZ420" s="2"/>
      <c r="CA420" s="2"/>
      <c r="CB420" s="2"/>
      <c r="CC420" s="2"/>
      <c r="CD420" s="2"/>
      <c r="CE420" s="2"/>
      <c r="CF420" s="2"/>
    </row>
    <row r="421" spans="1:84" ht="12.65" customHeight="1" x14ac:dyDescent="0.35">
      <c r="A421" s="2" t="s">
        <v>468</v>
      </c>
      <c r="B421" s="2">
        <f>D113</f>
        <v>0</v>
      </c>
      <c r="C421" s="2">
        <f>E151</f>
        <v>0</v>
      </c>
      <c r="D421" s="2">
        <f>I59</f>
        <v>0</v>
      </c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2"/>
      <c r="AI421" s="2"/>
      <c r="AJ421" s="2"/>
      <c r="AK421" s="2"/>
      <c r="AL421" s="2"/>
      <c r="AM421" s="2"/>
      <c r="AN421" s="2"/>
      <c r="AO421" s="2"/>
      <c r="AP421" s="2"/>
      <c r="AQ421" s="2"/>
      <c r="AR421" s="2"/>
      <c r="AS421" s="2"/>
      <c r="AT421" s="2"/>
      <c r="AU421" s="2"/>
      <c r="AV421" s="2"/>
      <c r="AW421" s="2"/>
      <c r="AX421" s="2"/>
      <c r="AY421" s="2"/>
      <c r="AZ421" s="2"/>
      <c r="BA421" s="2"/>
      <c r="BB421" s="2"/>
      <c r="BC421" s="2"/>
      <c r="BD421" s="2"/>
      <c r="BE421" s="2"/>
      <c r="BF421" s="2"/>
      <c r="BG421" s="2"/>
      <c r="BH421" s="2"/>
      <c r="BI421" s="2"/>
      <c r="BJ421" s="2"/>
      <c r="BK421" s="2"/>
      <c r="BL421" s="2"/>
      <c r="BM421" s="2"/>
      <c r="BN421" s="2"/>
      <c r="BO421" s="2"/>
      <c r="BP421" s="2"/>
      <c r="BQ421" s="2"/>
      <c r="BR421" s="2"/>
      <c r="BS421" s="2"/>
      <c r="BT421" s="2"/>
      <c r="BU421" s="2"/>
      <c r="BV421" s="2"/>
      <c r="BW421" s="2"/>
      <c r="BX421" s="2"/>
      <c r="BY421" s="2"/>
      <c r="BZ421" s="2"/>
      <c r="CA421" s="2"/>
      <c r="CB421" s="2"/>
      <c r="CC421" s="2"/>
      <c r="CD421" s="2"/>
      <c r="CE421" s="2"/>
      <c r="CF421" s="2"/>
    </row>
    <row r="422" spans="1:84" ht="12.65" customHeight="1" x14ac:dyDescent="0.35">
      <c r="A422" s="331"/>
      <c r="B422" s="331"/>
      <c r="C422" s="329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  <c r="AK422" s="2"/>
      <c r="AL422" s="2"/>
      <c r="AM422" s="2"/>
      <c r="AN422" s="2"/>
      <c r="AO422" s="2"/>
      <c r="AP422" s="2"/>
      <c r="AQ422" s="2"/>
      <c r="AR422" s="2"/>
      <c r="AS422" s="2"/>
      <c r="AT422" s="2"/>
      <c r="AU422" s="2"/>
      <c r="AV422" s="2"/>
      <c r="AW422" s="2"/>
      <c r="AX422" s="2"/>
      <c r="AY422" s="2"/>
      <c r="AZ422" s="2"/>
      <c r="BA422" s="2"/>
      <c r="BB422" s="2"/>
      <c r="BC422" s="2"/>
      <c r="BD422" s="2"/>
      <c r="BE422" s="2"/>
      <c r="BF422" s="2"/>
      <c r="BG422" s="2"/>
      <c r="BH422" s="2"/>
      <c r="BI422" s="2"/>
      <c r="BJ422" s="2"/>
      <c r="BK422" s="2"/>
      <c r="BL422" s="2"/>
      <c r="BM422" s="2"/>
      <c r="BN422" s="2"/>
      <c r="BO422" s="2"/>
      <c r="BP422" s="2"/>
      <c r="BQ422" s="2"/>
      <c r="BR422" s="2"/>
      <c r="BS422" s="2"/>
      <c r="BT422" s="2"/>
      <c r="BU422" s="2"/>
      <c r="BV422" s="2"/>
      <c r="BW422" s="2"/>
      <c r="BX422" s="2"/>
      <c r="BY422" s="2"/>
      <c r="BZ422" s="2"/>
      <c r="CA422" s="2"/>
      <c r="CB422" s="2"/>
      <c r="CC422" s="2"/>
      <c r="CD422" s="2"/>
      <c r="CE422" s="2"/>
      <c r="CF422" s="2"/>
    </row>
    <row r="423" spans="1:84" ht="12.65" customHeight="1" x14ac:dyDescent="0.35">
      <c r="A423" s="2" t="s">
        <v>469</v>
      </c>
      <c r="B423" s="2">
        <f>C114</f>
        <v>4451</v>
      </c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  <c r="AK423" s="2"/>
      <c r="AL423" s="2"/>
      <c r="AM423" s="2"/>
      <c r="AN423" s="2"/>
      <c r="AO423" s="2"/>
      <c r="AP423" s="2"/>
      <c r="AQ423" s="2"/>
      <c r="AR423" s="2"/>
      <c r="AS423" s="2"/>
      <c r="AT423" s="2"/>
      <c r="AU423" s="2"/>
      <c r="AV423" s="2"/>
      <c r="AW423" s="2"/>
      <c r="AX423" s="2"/>
      <c r="AY423" s="2"/>
      <c r="AZ423" s="2"/>
      <c r="BA423" s="2"/>
      <c r="BB423" s="2"/>
      <c r="BC423" s="2"/>
      <c r="BD423" s="2"/>
      <c r="BE423" s="2"/>
      <c r="BF423" s="2"/>
      <c r="BG423" s="2"/>
      <c r="BH423" s="2"/>
      <c r="BI423" s="2"/>
      <c r="BJ423" s="2"/>
      <c r="BK423" s="2"/>
      <c r="BL423" s="2"/>
      <c r="BM423" s="2"/>
      <c r="BN423" s="2"/>
      <c r="BO423" s="2"/>
      <c r="BP423" s="2"/>
      <c r="BQ423" s="2"/>
      <c r="BR423" s="2"/>
      <c r="BS423" s="2"/>
      <c r="BT423" s="2"/>
      <c r="BU423" s="2"/>
      <c r="BV423" s="2"/>
      <c r="BW423" s="2"/>
      <c r="BX423" s="2"/>
      <c r="BY423" s="2"/>
      <c r="BZ423" s="2"/>
      <c r="CA423" s="2"/>
      <c r="CB423" s="2"/>
      <c r="CC423" s="2"/>
      <c r="CD423" s="2"/>
      <c r="CE423" s="2"/>
      <c r="CF423" s="2"/>
    </row>
    <row r="424" spans="1:84" ht="12.65" customHeight="1" x14ac:dyDescent="0.35">
      <c r="A424" s="2" t="s">
        <v>1243</v>
      </c>
      <c r="B424" s="2">
        <f>D114</f>
        <v>0</v>
      </c>
      <c r="C424" s="2"/>
      <c r="D424" s="2">
        <f>J59</f>
        <v>0</v>
      </c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  <c r="AK424" s="2"/>
      <c r="AL424" s="2"/>
      <c r="AM424" s="2"/>
      <c r="AN424" s="2"/>
      <c r="AO424" s="2"/>
      <c r="AP424" s="2"/>
      <c r="AQ424" s="2"/>
      <c r="AR424" s="2"/>
      <c r="AS424" s="2"/>
      <c r="AT424" s="2"/>
      <c r="AU424" s="2"/>
      <c r="AV424" s="2"/>
      <c r="AW424" s="2"/>
      <c r="AX424" s="2"/>
      <c r="AY424" s="2"/>
      <c r="AZ424" s="2"/>
      <c r="BA424" s="2"/>
      <c r="BB424" s="2"/>
      <c r="BC424" s="2"/>
      <c r="BD424" s="2"/>
      <c r="BE424" s="2"/>
      <c r="BF424" s="2"/>
      <c r="BG424" s="2"/>
      <c r="BH424" s="2"/>
      <c r="BI424" s="2"/>
      <c r="BJ424" s="2"/>
      <c r="BK424" s="2"/>
      <c r="BL424" s="2"/>
      <c r="BM424" s="2"/>
      <c r="BN424" s="2"/>
      <c r="BO424" s="2"/>
      <c r="BP424" s="2"/>
      <c r="BQ424" s="2"/>
      <c r="BR424" s="2"/>
      <c r="BS424" s="2"/>
      <c r="BT424" s="2"/>
      <c r="BU424" s="2"/>
      <c r="BV424" s="2"/>
      <c r="BW424" s="2"/>
      <c r="BX424" s="2"/>
      <c r="BY424" s="2"/>
      <c r="BZ424" s="2"/>
      <c r="CA424" s="2"/>
      <c r="CB424" s="2"/>
      <c r="CC424" s="2"/>
      <c r="CD424" s="2"/>
      <c r="CE424" s="2"/>
      <c r="CF424" s="2"/>
    </row>
    <row r="425" spans="1:84" ht="12.65" customHeight="1" x14ac:dyDescent="0.35">
      <c r="A425" s="331"/>
      <c r="B425" s="331"/>
      <c r="C425" s="331"/>
      <c r="D425" s="331"/>
      <c r="E425" s="2"/>
      <c r="F425" s="331"/>
      <c r="G425" s="331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  <c r="AK425" s="2"/>
      <c r="AL425" s="2"/>
      <c r="AM425" s="2"/>
      <c r="AN425" s="2"/>
      <c r="AO425" s="2"/>
      <c r="AP425" s="2"/>
      <c r="AQ425" s="2"/>
      <c r="AR425" s="2"/>
      <c r="AS425" s="2"/>
      <c r="AT425" s="2"/>
      <c r="AU425" s="2"/>
      <c r="AV425" s="2"/>
      <c r="AW425" s="2"/>
      <c r="AX425" s="2"/>
      <c r="AY425" s="2"/>
      <c r="AZ425" s="2"/>
      <c r="BA425" s="2"/>
      <c r="BB425" s="2"/>
      <c r="BC425" s="2"/>
      <c r="BD425" s="2"/>
      <c r="BE425" s="2"/>
      <c r="BF425" s="2"/>
      <c r="BG425" s="2"/>
      <c r="BH425" s="2"/>
      <c r="BI425" s="2"/>
      <c r="BJ425" s="2"/>
      <c r="BK425" s="2"/>
      <c r="BL425" s="2"/>
      <c r="BM425" s="2"/>
      <c r="BN425" s="2"/>
      <c r="BO425" s="2"/>
      <c r="BP425" s="2"/>
      <c r="BQ425" s="2"/>
      <c r="BR425" s="2"/>
      <c r="BS425" s="2"/>
      <c r="BT425" s="2"/>
      <c r="BU425" s="2"/>
      <c r="BV425" s="2"/>
      <c r="BW425" s="2"/>
      <c r="BX425" s="2"/>
      <c r="BY425" s="2"/>
      <c r="BZ425" s="2"/>
      <c r="CA425" s="2"/>
      <c r="CB425" s="2"/>
      <c r="CC425" s="2"/>
      <c r="CD425" s="2"/>
      <c r="CE425" s="2"/>
      <c r="CF425" s="2"/>
    </row>
    <row r="426" spans="1:84" ht="12.65" customHeight="1" x14ac:dyDescent="0.35">
      <c r="A426" s="2" t="s">
        <v>470</v>
      </c>
      <c r="B426" s="329" t="s">
        <v>471</v>
      </c>
      <c r="C426" s="329" t="s">
        <v>462</v>
      </c>
      <c r="D426" s="329" t="s">
        <v>472</v>
      </c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  <c r="AI426" s="2"/>
      <c r="AJ426" s="2"/>
      <c r="AK426" s="2"/>
      <c r="AL426" s="2"/>
      <c r="AM426" s="2"/>
      <c r="AN426" s="2"/>
      <c r="AO426" s="2"/>
      <c r="AP426" s="2"/>
      <c r="AQ426" s="2"/>
      <c r="AR426" s="2"/>
      <c r="AS426" s="2"/>
      <c r="AT426" s="2"/>
      <c r="AU426" s="2"/>
      <c r="AV426" s="2"/>
      <c r="AW426" s="2"/>
      <c r="AX426" s="2"/>
      <c r="AY426" s="2"/>
      <c r="AZ426" s="2"/>
      <c r="BA426" s="2"/>
      <c r="BB426" s="2"/>
      <c r="BC426" s="2"/>
      <c r="BD426" s="2"/>
      <c r="BE426" s="2"/>
      <c r="BF426" s="2"/>
      <c r="BG426" s="2"/>
      <c r="BH426" s="2"/>
      <c r="BI426" s="2"/>
      <c r="BJ426" s="2"/>
      <c r="BK426" s="2"/>
      <c r="BL426" s="2"/>
      <c r="BM426" s="2"/>
      <c r="BN426" s="2"/>
      <c r="BO426" s="2"/>
      <c r="BP426" s="2"/>
      <c r="BQ426" s="2"/>
      <c r="BR426" s="2"/>
      <c r="BS426" s="2"/>
      <c r="BT426" s="2"/>
      <c r="BU426" s="2"/>
      <c r="BV426" s="2"/>
      <c r="BW426" s="2"/>
      <c r="BX426" s="2"/>
      <c r="BY426" s="2"/>
      <c r="BZ426" s="2"/>
      <c r="CA426" s="2"/>
      <c r="CB426" s="2"/>
      <c r="CC426" s="2"/>
      <c r="CD426" s="2"/>
      <c r="CE426" s="2"/>
      <c r="CF426" s="2"/>
    </row>
    <row r="427" spans="1:84" ht="12.65" customHeight="1" x14ac:dyDescent="0.35">
      <c r="A427" s="2" t="s">
        <v>473</v>
      </c>
      <c r="B427" s="2">
        <f t="shared" ref="B427:B437" si="13">C378</f>
        <v>396802109</v>
      </c>
      <c r="C427" s="2">
        <f t="shared" ref="C427:C434" si="14">CE61</f>
        <v>396802109.25999999</v>
      </c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  <c r="AI427" s="2"/>
      <c r="AJ427" s="2"/>
      <c r="AK427" s="2"/>
      <c r="AL427" s="2"/>
      <c r="AM427" s="2"/>
      <c r="AN427" s="2"/>
      <c r="AO427" s="2"/>
      <c r="AP427" s="2"/>
      <c r="AQ427" s="2"/>
      <c r="AR427" s="2"/>
      <c r="AS427" s="2"/>
      <c r="AT427" s="2"/>
      <c r="AU427" s="2"/>
      <c r="AV427" s="2"/>
      <c r="AW427" s="2"/>
      <c r="AX427" s="2"/>
      <c r="AY427" s="2"/>
      <c r="AZ427" s="2"/>
      <c r="BA427" s="2"/>
      <c r="BB427" s="2"/>
      <c r="BC427" s="2"/>
      <c r="BD427" s="2"/>
      <c r="BE427" s="2"/>
      <c r="BF427" s="2"/>
      <c r="BG427" s="2"/>
      <c r="BH427" s="2"/>
      <c r="BI427" s="2"/>
      <c r="BJ427" s="2"/>
      <c r="BK427" s="2"/>
      <c r="BL427" s="2"/>
      <c r="BM427" s="2"/>
      <c r="BN427" s="2"/>
      <c r="BO427" s="2"/>
      <c r="BP427" s="2"/>
      <c r="BQ427" s="2"/>
      <c r="BR427" s="2"/>
      <c r="BS427" s="2"/>
      <c r="BT427" s="2"/>
      <c r="BU427" s="2"/>
      <c r="BV427" s="2"/>
      <c r="BW427" s="2"/>
      <c r="BX427" s="2"/>
      <c r="BY427" s="2"/>
      <c r="BZ427" s="2"/>
      <c r="CA427" s="2"/>
      <c r="CB427" s="2"/>
      <c r="CC427" s="2"/>
      <c r="CD427" s="2"/>
      <c r="CE427" s="2"/>
      <c r="CF427" s="2"/>
    </row>
    <row r="428" spans="1:84" ht="12.65" customHeight="1" x14ac:dyDescent="0.35">
      <c r="A428" s="2" t="s">
        <v>3</v>
      </c>
      <c r="B428" s="2">
        <f t="shared" si="13"/>
        <v>92499075</v>
      </c>
      <c r="C428" s="2">
        <f t="shared" si="14"/>
        <v>92499077</v>
      </c>
      <c r="D428" s="2">
        <f>D173</f>
        <v>92499075</v>
      </c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  <c r="AI428" s="2"/>
      <c r="AJ428" s="2"/>
      <c r="AK428" s="2"/>
      <c r="AL428" s="2"/>
      <c r="AM428" s="2"/>
      <c r="AN428" s="2"/>
      <c r="AO428" s="2"/>
      <c r="AP428" s="2"/>
      <c r="AQ428" s="2"/>
      <c r="AR428" s="2"/>
      <c r="AS428" s="2"/>
      <c r="AT428" s="2"/>
      <c r="AU428" s="2"/>
      <c r="AV428" s="2"/>
      <c r="AW428" s="2"/>
      <c r="AX428" s="2"/>
      <c r="AY428" s="2"/>
      <c r="AZ428" s="2"/>
      <c r="BA428" s="2"/>
      <c r="BB428" s="2"/>
      <c r="BC428" s="2"/>
      <c r="BD428" s="2"/>
      <c r="BE428" s="2"/>
      <c r="BF428" s="2"/>
      <c r="BG428" s="2"/>
      <c r="BH428" s="2"/>
      <c r="BI428" s="2"/>
      <c r="BJ428" s="2"/>
      <c r="BK428" s="2"/>
      <c r="BL428" s="2"/>
      <c r="BM428" s="2"/>
      <c r="BN428" s="2"/>
      <c r="BO428" s="2"/>
      <c r="BP428" s="2"/>
      <c r="BQ428" s="2"/>
      <c r="BR428" s="2"/>
      <c r="BS428" s="2"/>
      <c r="BT428" s="2"/>
      <c r="BU428" s="2"/>
      <c r="BV428" s="2"/>
      <c r="BW428" s="2"/>
      <c r="BX428" s="2"/>
      <c r="BY428" s="2"/>
      <c r="BZ428" s="2"/>
      <c r="CA428" s="2"/>
      <c r="CB428" s="2"/>
      <c r="CC428" s="2"/>
      <c r="CD428" s="2"/>
      <c r="CE428" s="2"/>
      <c r="CF428" s="2"/>
    </row>
    <row r="429" spans="1:84" ht="12.65" customHeight="1" x14ac:dyDescent="0.35">
      <c r="A429" s="2" t="s">
        <v>236</v>
      </c>
      <c r="B429" s="2">
        <f t="shared" si="13"/>
        <v>18767520</v>
      </c>
      <c r="C429" s="2">
        <f t="shared" si="14"/>
        <v>18767519.540000003</v>
      </c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  <c r="AK429" s="2"/>
      <c r="AL429" s="2"/>
      <c r="AM429" s="2"/>
      <c r="AN429" s="2"/>
      <c r="AO429" s="2"/>
      <c r="AP429" s="2"/>
      <c r="AQ429" s="2"/>
      <c r="AR429" s="2"/>
      <c r="AS429" s="2"/>
      <c r="AT429" s="2"/>
      <c r="AU429" s="2"/>
      <c r="AV429" s="2"/>
      <c r="AW429" s="2"/>
      <c r="AX429" s="2"/>
      <c r="AY429" s="2"/>
      <c r="AZ429" s="2"/>
      <c r="BA429" s="2"/>
      <c r="BB429" s="2"/>
      <c r="BC429" s="2"/>
      <c r="BD429" s="2"/>
      <c r="BE429" s="2"/>
      <c r="BF429" s="2"/>
      <c r="BG429" s="2"/>
      <c r="BH429" s="2"/>
      <c r="BI429" s="2"/>
      <c r="BJ429" s="2"/>
      <c r="BK429" s="2"/>
      <c r="BL429" s="2"/>
      <c r="BM429" s="2"/>
      <c r="BN429" s="2"/>
      <c r="BO429" s="2"/>
      <c r="BP429" s="2"/>
      <c r="BQ429" s="2"/>
      <c r="BR429" s="2"/>
      <c r="BS429" s="2"/>
      <c r="BT429" s="2"/>
      <c r="BU429" s="2"/>
      <c r="BV429" s="2"/>
      <c r="BW429" s="2"/>
      <c r="BX429" s="2"/>
      <c r="BY429" s="2"/>
      <c r="BZ429" s="2"/>
      <c r="CA429" s="2"/>
      <c r="CB429" s="2"/>
      <c r="CC429" s="2"/>
      <c r="CD429" s="2"/>
      <c r="CE429" s="2"/>
      <c r="CF429" s="2"/>
    </row>
    <row r="430" spans="1:84" ht="12.65" customHeight="1" x14ac:dyDescent="0.35">
      <c r="A430" s="2" t="s">
        <v>237</v>
      </c>
      <c r="B430" s="2">
        <f t="shared" si="13"/>
        <v>104115544</v>
      </c>
      <c r="C430" s="2">
        <f t="shared" si="14"/>
        <v>104115543.92000002</v>
      </c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  <c r="AK430" s="2"/>
      <c r="AL430" s="2"/>
      <c r="AM430" s="2"/>
      <c r="AN430" s="2"/>
      <c r="AO430" s="2"/>
      <c r="AP430" s="2"/>
      <c r="AQ430" s="2"/>
      <c r="AR430" s="2"/>
      <c r="AS430" s="2"/>
      <c r="AT430" s="2"/>
      <c r="AU430" s="2"/>
      <c r="AV430" s="2"/>
      <c r="AW430" s="2"/>
      <c r="AX430" s="2"/>
      <c r="AY430" s="2"/>
      <c r="AZ430" s="2"/>
      <c r="BA430" s="2"/>
      <c r="BB430" s="2"/>
      <c r="BC430" s="2"/>
      <c r="BD430" s="2"/>
      <c r="BE430" s="2"/>
      <c r="BF430" s="2"/>
      <c r="BG430" s="2"/>
      <c r="BH430" s="2"/>
      <c r="BI430" s="2"/>
      <c r="BJ430" s="2"/>
      <c r="BK430" s="2"/>
      <c r="BL430" s="2"/>
      <c r="BM430" s="2"/>
      <c r="BN430" s="2"/>
      <c r="BO430" s="2"/>
      <c r="BP430" s="2"/>
      <c r="BQ430" s="2"/>
      <c r="BR430" s="2"/>
      <c r="BS430" s="2"/>
      <c r="BT430" s="2"/>
      <c r="BU430" s="2"/>
      <c r="BV430" s="2"/>
      <c r="BW430" s="2"/>
      <c r="BX430" s="2"/>
      <c r="BY430" s="2"/>
      <c r="BZ430" s="2"/>
      <c r="CA430" s="2"/>
      <c r="CB430" s="2"/>
      <c r="CC430" s="2"/>
      <c r="CD430" s="2"/>
      <c r="CE430" s="2"/>
      <c r="CF430" s="2"/>
    </row>
    <row r="431" spans="1:84" ht="12.65" customHeight="1" x14ac:dyDescent="0.35">
      <c r="A431" s="2" t="s">
        <v>444</v>
      </c>
      <c r="B431" s="2">
        <f t="shared" si="13"/>
        <v>6254681</v>
      </c>
      <c r="C431" s="2">
        <f t="shared" si="14"/>
        <v>6254681.330000001</v>
      </c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  <c r="AK431" s="2"/>
      <c r="AL431" s="2"/>
      <c r="AM431" s="2"/>
      <c r="AN431" s="2"/>
      <c r="AO431" s="2"/>
      <c r="AP431" s="2"/>
      <c r="AQ431" s="2"/>
      <c r="AR431" s="2"/>
      <c r="AS431" s="2"/>
      <c r="AT431" s="2"/>
      <c r="AU431" s="2"/>
      <c r="AV431" s="2"/>
      <c r="AW431" s="2"/>
      <c r="AX431" s="2"/>
      <c r="AY431" s="2"/>
      <c r="AZ431" s="2"/>
      <c r="BA431" s="2"/>
      <c r="BB431" s="2"/>
      <c r="BC431" s="2"/>
      <c r="BD431" s="2"/>
      <c r="BE431" s="2"/>
      <c r="BF431" s="2"/>
      <c r="BG431" s="2"/>
      <c r="BH431" s="2"/>
      <c r="BI431" s="2"/>
      <c r="BJ431" s="2"/>
      <c r="BK431" s="2"/>
      <c r="BL431" s="2"/>
      <c r="BM431" s="2"/>
      <c r="BN431" s="2"/>
      <c r="BO431" s="2"/>
      <c r="BP431" s="2"/>
      <c r="BQ431" s="2"/>
      <c r="BR431" s="2"/>
      <c r="BS431" s="2"/>
      <c r="BT431" s="2"/>
      <c r="BU431" s="2"/>
      <c r="BV431" s="2"/>
      <c r="BW431" s="2"/>
      <c r="BX431" s="2"/>
      <c r="BY431" s="2"/>
      <c r="BZ431" s="2"/>
      <c r="CA431" s="2"/>
      <c r="CB431" s="2"/>
      <c r="CC431" s="2"/>
      <c r="CD431" s="2"/>
      <c r="CE431" s="2"/>
      <c r="CF431" s="2"/>
    </row>
    <row r="432" spans="1:84" ht="12.65" customHeight="1" x14ac:dyDescent="0.35">
      <c r="A432" s="2" t="s">
        <v>445</v>
      </c>
      <c r="B432" s="2">
        <f t="shared" si="13"/>
        <v>64724254</v>
      </c>
      <c r="C432" s="2">
        <f t="shared" si="14"/>
        <v>64724254.180000022</v>
      </c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  <c r="AI432" s="2"/>
      <c r="AJ432" s="2"/>
      <c r="AK432" s="2"/>
      <c r="AL432" s="2"/>
      <c r="AM432" s="2"/>
      <c r="AN432" s="2"/>
      <c r="AO432" s="2"/>
      <c r="AP432" s="2"/>
      <c r="AQ432" s="2"/>
      <c r="AR432" s="2"/>
      <c r="AS432" s="2"/>
      <c r="AT432" s="2"/>
      <c r="AU432" s="2"/>
      <c r="AV432" s="2"/>
      <c r="AW432" s="2"/>
      <c r="AX432" s="2"/>
      <c r="AY432" s="2"/>
      <c r="AZ432" s="2"/>
      <c r="BA432" s="2"/>
      <c r="BB432" s="2"/>
      <c r="BC432" s="2"/>
      <c r="BD432" s="2"/>
      <c r="BE432" s="2"/>
      <c r="BF432" s="2"/>
      <c r="BG432" s="2"/>
      <c r="BH432" s="2"/>
      <c r="BI432" s="2"/>
      <c r="BJ432" s="2"/>
      <c r="BK432" s="2"/>
      <c r="BL432" s="2"/>
      <c r="BM432" s="2"/>
      <c r="BN432" s="2"/>
      <c r="BO432" s="2"/>
      <c r="BP432" s="2"/>
      <c r="BQ432" s="2"/>
      <c r="BR432" s="2"/>
      <c r="BS432" s="2"/>
      <c r="BT432" s="2"/>
      <c r="BU432" s="2"/>
      <c r="BV432" s="2"/>
      <c r="BW432" s="2"/>
      <c r="BX432" s="2"/>
      <c r="BY432" s="2"/>
      <c r="BZ432" s="2"/>
      <c r="CA432" s="2"/>
      <c r="CB432" s="2"/>
      <c r="CC432" s="2"/>
      <c r="CD432" s="2"/>
      <c r="CE432" s="2"/>
      <c r="CF432" s="2"/>
    </row>
    <row r="433" spans="1:84" ht="12.65" customHeight="1" x14ac:dyDescent="0.35">
      <c r="A433" s="2" t="s">
        <v>6</v>
      </c>
      <c r="B433" s="2">
        <f t="shared" si="13"/>
        <v>35828141</v>
      </c>
      <c r="C433" s="2">
        <f t="shared" si="14"/>
        <v>35828142</v>
      </c>
      <c r="D433" s="2">
        <f>C217</f>
        <v>36303120.109999999</v>
      </c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  <c r="AI433" s="2"/>
      <c r="AJ433" s="2"/>
      <c r="AK433" s="2"/>
      <c r="AL433" s="2"/>
      <c r="AM433" s="2"/>
      <c r="AN433" s="2"/>
      <c r="AO433" s="2"/>
      <c r="AP433" s="2"/>
      <c r="AQ433" s="2"/>
      <c r="AR433" s="2"/>
      <c r="AS433" s="2"/>
      <c r="AT433" s="2"/>
      <c r="AU433" s="2"/>
      <c r="AV433" s="2"/>
      <c r="AW433" s="2"/>
      <c r="AX433" s="2"/>
      <c r="AY433" s="2"/>
      <c r="AZ433" s="2"/>
      <c r="BA433" s="2"/>
      <c r="BB433" s="2"/>
      <c r="BC433" s="2"/>
      <c r="BD433" s="2"/>
      <c r="BE433" s="2"/>
      <c r="BF433" s="2"/>
      <c r="BG433" s="2"/>
      <c r="BH433" s="2"/>
      <c r="BI433" s="2"/>
      <c r="BJ433" s="2"/>
      <c r="BK433" s="2"/>
      <c r="BL433" s="2"/>
      <c r="BM433" s="2"/>
      <c r="BN433" s="2"/>
      <c r="BO433" s="2"/>
      <c r="BP433" s="2"/>
      <c r="BQ433" s="2"/>
      <c r="BR433" s="2"/>
      <c r="BS433" s="2"/>
      <c r="BT433" s="2"/>
      <c r="BU433" s="2"/>
      <c r="BV433" s="2"/>
      <c r="BW433" s="2"/>
      <c r="BX433" s="2"/>
      <c r="BY433" s="2"/>
      <c r="BZ433" s="2"/>
      <c r="CA433" s="2"/>
      <c r="CB433" s="2"/>
      <c r="CC433" s="2"/>
      <c r="CD433" s="2"/>
      <c r="CE433" s="2"/>
      <c r="CF433" s="2"/>
    </row>
    <row r="434" spans="1:84" ht="12.65" customHeight="1" x14ac:dyDescent="0.35">
      <c r="A434" s="2" t="s">
        <v>474</v>
      </c>
      <c r="B434" s="2">
        <f t="shared" si="13"/>
        <v>15464106</v>
      </c>
      <c r="C434" s="2">
        <f t="shared" si="14"/>
        <v>15464105.580000004</v>
      </c>
      <c r="D434" s="2">
        <f>D177</f>
        <v>15464106</v>
      </c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"/>
      <c r="AI434" s="2"/>
      <c r="AJ434" s="2"/>
      <c r="AK434" s="2"/>
      <c r="AL434" s="2"/>
      <c r="AM434" s="2"/>
      <c r="AN434" s="2"/>
      <c r="AO434" s="2"/>
      <c r="AP434" s="2"/>
      <c r="AQ434" s="2"/>
      <c r="AR434" s="2"/>
      <c r="AS434" s="2"/>
      <c r="AT434" s="2"/>
      <c r="AU434" s="2"/>
      <c r="AV434" s="2"/>
      <c r="AW434" s="2"/>
      <c r="AX434" s="2"/>
      <c r="AY434" s="2"/>
      <c r="AZ434" s="2"/>
      <c r="BA434" s="2"/>
      <c r="BB434" s="2"/>
      <c r="BC434" s="2"/>
      <c r="BD434" s="2"/>
      <c r="BE434" s="2"/>
      <c r="BF434" s="2"/>
      <c r="BG434" s="2"/>
      <c r="BH434" s="2"/>
      <c r="BI434" s="2"/>
      <c r="BJ434" s="2"/>
      <c r="BK434" s="2"/>
      <c r="BL434" s="2"/>
      <c r="BM434" s="2"/>
      <c r="BN434" s="2"/>
      <c r="BO434" s="2"/>
      <c r="BP434" s="2"/>
      <c r="BQ434" s="2"/>
      <c r="BR434" s="2"/>
      <c r="BS434" s="2"/>
      <c r="BT434" s="2"/>
      <c r="BU434" s="2"/>
      <c r="BV434" s="2"/>
      <c r="BW434" s="2"/>
      <c r="BX434" s="2"/>
      <c r="BY434" s="2"/>
      <c r="BZ434" s="2"/>
      <c r="CA434" s="2"/>
      <c r="CB434" s="2"/>
      <c r="CC434" s="2"/>
      <c r="CD434" s="2"/>
      <c r="CE434" s="2"/>
      <c r="CF434" s="2"/>
    </row>
    <row r="435" spans="1:84" ht="12.65" customHeight="1" x14ac:dyDescent="0.35">
      <c r="A435" s="2" t="s">
        <v>447</v>
      </c>
      <c r="B435" s="2">
        <f t="shared" si="13"/>
        <v>2777194</v>
      </c>
      <c r="C435" s="2"/>
      <c r="D435" s="2">
        <f>D181</f>
        <v>2777194</v>
      </c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  <c r="AI435" s="2"/>
      <c r="AJ435" s="2"/>
      <c r="AK435" s="2"/>
      <c r="AL435" s="2"/>
      <c r="AM435" s="2"/>
      <c r="AN435" s="2"/>
      <c r="AO435" s="2"/>
      <c r="AP435" s="2"/>
      <c r="AQ435" s="2"/>
      <c r="AR435" s="2"/>
      <c r="AS435" s="2"/>
      <c r="AT435" s="2"/>
      <c r="AU435" s="2"/>
      <c r="AV435" s="2"/>
      <c r="AW435" s="2"/>
      <c r="AX435" s="2"/>
      <c r="AY435" s="2"/>
      <c r="AZ435" s="2"/>
      <c r="BA435" s="2"/>
      <c r="BB435" s="2"/>
      <c r="BC435" s="2"/>
      <c r="BD435" s="2"/>
      <c r="BE435" s="2"/>
      <c r="BF435" s="2"/>
      <c r="BG435" s="2"/>
      <c r="BH435" s="2"/>
      <c r="BI435" s="2"/>
      <c r="BJ435" s="2"/>
      <c r="BK435" s="2"/>
      <c r="BL435" s="2"/>
      <c r="BM435" s="2"/>
      <c r="BN435" s="2"/>
      <c r="BO435" s="2"/>
      <c r="BP435" s="2"/>
      <c r="BQ435" s="2"/>
      <c r="BR435" s="2"/>
      <c r="BS435" s="2"/>
      <c r="BT435" s="2"/>
      <c r="BU435" s="2"/>
      <c r="BV435" s="2"/>
      <c r="BW435" s="2"/>
      <c r="BX435" s="2"/>
      <c r="BY435" s="2"/>
      <c r="BZ435" s="2"/>
      <c r="CA435" s="2"/>
      <c r="CB435" s="2"/>
      <c r="CC435" s="2"/>
      <c r="CD435" s="2"/>
      <c r="CE435" s="2"/>
      <c r="CF435" s="2"/>
    </row>
    <row r="436" spans="1:84" ht="12.65" customHeight="1" x14ac:dyDescent="0.35">
      <c r="A436" s="2" t="s">
        <v>475</v>
      </c>
      <c r="B436" s="2">
        <f t="shared" si="13"/>
        <v>7090917</v>
      </c>
      <c r="C436" s="2"/>
      <c r="D436" s="2">
        <f>D186</f>
        <v>7090916</v>
      </c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  <c r="AK436" s="2"/>
      <c r="AL436" s="2"/>
      <c r="AM436" s="2"/>
      <c r="AN436" s="2"/>
      <c r="AO436" s="2"/>
      <c r="AP436" s="2"/>
      <c r="AQ436" s="2"/>
      <c r="AR436" s="2"/>
      <c r="AS436" s="2"/>
      <c r="AT436" s="2"/>
      <c r="AU436" s="2"/>
      <c r="AV436" s="2"/>
      <c r="AW436" s="2"/>
      <c r="AX436" s="2"/>
      <c r="AY436" s="2"/>
      <c r="AZ436" s="2"/>
      <c r="BA436" s="2"/>
      <c r="BB436" s="2"/>
      <c r="BC436" s="2"/>
      <c r="BD436" s="2"/>
      <c r="BE436" s="2"/>
      <c r="BF436" s="2"/>
      <c r="BG436" s="2"/>
      <c r="BH436" s="2"/>
      <c r="BI436" s="2"/>
      <c r="BJ436" s="2"/>
      <c r="BK436" s="2"/>
      <c r="BL436" s="2"/>
      <c r="BM436" s="2"/>
      <c r="BN436" s="2"/>
      <c r="BO436" s="2"/>
      <c r="BP436" s="2"/>
      <c r="BQ436" s="2"/>
      <c r="BR436" s="2"/>
      <c r="BS436" s="2"/>
      <c r="BT436" s="2"/>
      <c r="BU436" s="2"/>
      <c r="BV436" s="2"/>
      <c r="BW436" s="2"/>
      <c r="BX436" s="2"/>
      <c r="BY436" s="2"/>
      <c r="BZ436" s="2"/>
      <c r="CA436" s="2"/>
      <c r="CB436" s="2"/>
      <c r="CC436" s="2"/>
      <c r="CD436" s="2"/>
      <c r="CE436" s="2"/>
      <c r="CF436" s="2"/>
    </row>
    <row r="437" spans="1:84" ht="12.65" customHeight="1" x14ac:dyDescent="0.35">
      <c r="A437" s="2" t="s">
        <v>449</v>
      </c>
      <c r="B437" s="2">
        <f t="shared" si="13"/>
        <v>9105986</v>
      </c>
      <c r="C437" s="2"/>
      <c r="D437" s="2">
        <f>D190</f>
        <v>9105986</v>
      </c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  <c r="AK437" s="2"/>
      <c r="AL437" s="2"/>
      <c r="AM437" s="2"/>
      <c r="AN437" s="2"/>
      <c r="AO437" s="2"/>
      <c r="AP437" s="2"/>
      <c r="AQ437" s="2"/>
      <c r="AR437" s="2"/>
      <c r="AS437" s="2"/>
      <c r="AT437" s="2"/>
      <c r="AU437" s="2"/>
      <c r="AV437" s="2"/>
      <c r="AW437" s="2"/>
      <c r="AX437" s="2"/>
      <c r="AY437" s="2"/>
      <c r="AZ437" s="2"/>
      <c r="BA437" s="2"/>
      <c r="BB437" s="2"/>
      <c r="BC437" s="2"/>
      <c r="BD437" s="2"/>
      <c r="BE437" s="2"/>
      <c r="BF437" s="2"/>
      <c r="BG437" s="2"/>
      <c r="BH437" s="2"/>
      <c r="BI437" s="2"/>
      <c r="BJ437" s="2"/>
      <c r="BK437" s="2"/>
      <c r="BL437" s="2"/>
      <c r="BM437" s="2"/>
      <c r="BN437" s="2"/>
      <c r="BO437" s="2"/>
      <c r="BP437" s="2"/>
      <c r="BQ437" s="2"/>
      <c r="BR437" s="2"/>
      <c r="BS437" s="2"/>
      <c r="BT437" s="2"/>
      <c r="BU437" s="2"/>
      <c r="BV437" s="2"/>
      <c r="BW437" s="2"/>
      <c r="BX437" s="2"/>
      <c r="BY437" s="2"/>
      <c r="BZ437" s="2"/>
      <c r="CA437" s="2"/>
      <c r="CB437" s="2"/>
      <c r="CC437" s="2"/>
      <c r="CD437" s="2"/>
      <c r="CE437" s="2"/>
      <c r="CF437" s="2"/>
    </row>
    <row r="438" spans="1:84" ht="12.65" customHeight="1" x14ac:dyDescent="0.35">
      <c r="A438" s="2" t="s">
        <v>476</v>
      </c>
      <c r="B438" s="2">
        <f>C386+C387+C388</f>
        <v>18974097</v>
      </c>
      <c r="C438" s="2">
        <f>CD69</f>
        <v>9163002.3599999994</v>
      </c>
      <c r="D438" s="2">
        <f>D181+D186+D190</f>
        <v>18974096</v>
      </c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2"/>
      <c r="AK438" s="2"/>
      <c r="AL438" s="2"/>
      <c r="AM438" s="2"/>
      <c r="AN438" s="2"/>
      <c r="AO438" s="2"/>
      <c r="AP438" s="2"/>
      <c r="AQ438" s="2"/>
      <c r="AR438" s="2"/>
      <c r="AS438" s="2"/>
      <c r="AT438" s="2"/>
      <c r="AU438" s="2"/>
      <c r="AV438" s="2"/>
      <c r="AW438" s="2"/>
      <c r="AX438" s="2"/>
      <c r="AY438" s="2"/>
      <c r="AZ438" s="2"/>
      <c r="BA438" s="2"/>
      <c r="BB438" s="2"/>
      <c r="BC438" s="2"/>
      <c r="BD438" s="2"/>
      <c r="BE438" s="2"/>
      <c r="BF438" s="2"/>
      <c r="BG438" s="2"/>
      <c r="BH438" s="2"/>
      <c r="BI438" s="2"/>
      <c r="BJ438" s="2"/>
      <c r="BK438" s="2"/>
      <c r="BL438" s="2"/>
      <c r="BM438" s="2"/>
      <c r="BN438" s="2"/>
      <c r="BO438" s="2"/>
      <c r="BP438" s="2"/>
      <c r="BQ438" s="2"/>
      <c r="BR438" s="2"/>
      <c r="BS438" s="2"/>
      <c r="BT438" s="2"/>
      <c r="BU438" s="2"/>
      <c r="BV438" s="2"/>
      <c r="BW438" s="2"/>
      <c r="BX438" s="2"/>
      <c r="BY438" s="2"/>
      <c r="BZ438" s="2"/>
      <c r="CA438" s="2"/>
      <c r="CB438" s="2"/>
      <c r="CC438" s="2"/>
      <c r="CD438" s="2"/>
      <c r="CE438" s="2"/>
      <c r="CF438" s="2"/>
    </row>
    <row r="439" spans="1:84" ht="12.65" customHeight="1" x14ac:dyDescent="0.35">
      <c r="A439" s="2" t="s">
        <v>451</v>
      </c>
      <c r="B439" s="2">
        <f>C389</f>
        <v>9528965</v>
      </c>
      <c r="C439" s="2">
        <f>SUM(C69:CC69)</f>
        <v>10234073.389999999</v>
      </c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  <c r="AK439" s="2"/>
      <c r="AL439" s="2"/>
      <c r="AM439" s="2"/>
      <c r="AN439" s="2"/>
      <c r="AO439" s="2"/>
      <c r="AP439" s="2"/>
      <c r="AQ439" s="2"/>
      <c r="AR439" s="2"/>
      <c r="AS439" s="2"/>
      <c r="AT439" s="2"/>
      <c r="AU439" s="2"/>
      <c r="AV439" s="2"/>
      <c r="AW439" s="2"/>
      <c r="AX439" s="2"/>
      <c r="AY439" s="2"/>
      <c r="AZ439" s="2"/>
      <c r="BA439" s="2"/>
      <c r="BB439" s="2"/>
      <c r="BC439" s="2"/>
      <c r="BD439" s="2"/>
      <c r="BE439" s="2"/>
      <c r="BF439" s="2"/>
      <c r="BG439" s="2"/>
      <c r="BH439" s="2"/>
      <c r="BI439" s="2"/>
      <c r="BJ439" s="2"/>
      <c r="BK439" s="2"/>
      <c r="BL439" s="2"/>
      <c r="BM439" s="2"/>
      <c r="BN439" s="2"/>
      <c r="BO439" s="2"/>
      <c r="BP439" s="2"/>
      <c r="BQ439" s="2"/>
      <c r="BR439" s="2"/>
      <c r="BS439" s="2"/>
      <c r="BT439" s="2"/>
      <c r="BU439" s="2"/>
      <c r="BV439" s="2"/>
      <c r="BW439" s="2"/>
      <c r="BX439" s="2"/>
      <c r="BY439" s="2"/>
      <c r="BZ439" s="2"/>
      <c r="CA439" s="2"/>
      <c r="CB439" s="2"/>
      <c r="CC439" s="2"/>
      <c r="CD439" s="2"/>
      <c r="CE439" s="2"/>
      <c r="CF439" s="2"/>
    </row>
    <row r="440" spans="1:84" ht="12.65" customHeight="1" x14ac:dyDescent="0.35">
      <c r="A440" s="2" t="s">
        <v>477</v>
      </c>
      <c r="B440" s="2">
        <f>B438+B439</f>
        <v>28503062</v>
      </c>
      <c r="C440" s="2">
        <f>CE69</f>
        <v>19397075.75</v>
      </c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  <c r="AK440" s="2"/>
      <c r="AL440" s="2"/>
      <c r="AM440" s="2"/>
      <c r="AN440" s="2"/>
      <c r="AO440" s="2"/>
      <c r="AP440" s="2"/>
      <c r="AQ440" s="2"/>
      <c r="AR440" s="2"/>
      <c r="AS440" s="2"/>
      <c r="AT440" s="2"/>
      <c r="AU440" s="2"/>
      <c r="AV440" s="2"/>
      <c r="AW440" s="2"/>
      <c r="AX440" s="2"/>
      <c r="AY440" s="2"/>
      <c r="AZ440" s="2"/>
      <c r="BA440" s="2"/>
      <c r="BB440" s="2"/>
      <c r="BC440" s="2"/>
      <c r="BD440" s="2"/>
      <c r="BE440" s="2"/>
      <c r="BF440" s="2"/>
      <c r="BG440" s="2"/>
      <c r="BH440" s="2"/>
      <c r="BI440" s="2"/>
      <c r="BJ440" s="2"/>
      <c r="BK440" s="2"/>
      <c r="BL440" s="2"/>
      <c r="BM440" s="2"/>
      <c r="BN440" s="2"/>
      <c r="BO440" s="2"/>
      <c r="BP440" s="2"/>
      <c r="BQ440" s="2"/>
      <c r="BR440" s="2"/>
      <c r="BS440" s="2"/>
      <c r="BT440" s="2"/>
      <c r="BU440" s="2"/>
      <c r="BV440" s="2"/>
      <c r="BW440" s="2"/>
      <c r="BX440" s="2"/>
      <c r="BY440" s="2"/>
      <c r="BZ440" s="2"/>
      <c r="CA440" s="2"/>
      <c r="CB440" s="2"/>
      <c r="CC440" s="2"/>
      <c r="CD440" s="2"/>
      <c r="CE440" s="2"/>
      <c r="CF440" s="2"/>
    </row>
    <row r="441" spans="1:84" ht="12.65" customHeight="1" x14ac:dyDescent="0.35">
      <c r="A441" s="2" t="s">
        <v>478</v>
      </c>
      <c r="B441" s="2">
        <f>D390</f>
        <v>762958492</v>
      </c>
      <c r="C441" s="2">
        <f>SUM(C427:C437)+C440</f>
        <v>753852508.56000018</v>
      </c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  <c r="AJ441" s="2"/>
      <c r="AK441" s="2"/>
      <c r="AL441" s="2"/>
      <c r="AM441" s="2"/>
      <c r="AN441" s="2"/>
      <c r="AO441" s="2"/>
      <c r="AP441" s="2"/>
      <c r="AQ441" s="2"/>
      <c r="AR441" s="2"/>
      <c r="AS441" s="2"/>
      <c r="AT441" s="2"/>
      <c r="AU441" s="2"/>
      <c r="AV441" s="2"/>
      <c r="AW441" s="2"/>
      <c r="AX441" s="2"/>
      <c r="AY441" s="2"/>
      <c r="AZ441" s="2"/>
      <c r="BA441" s="2"/>
      <c r="BB441" s="2"/>
      <c r="BC441" s="2"/>
      <c r="BD441" s="2"/>
      <c r="BE441" s="2"/>
      <c r="BF441" s="2"/>
      <c r="BG441" s="2"/>
      <c r="BH441" s="2"/>
      <c r="BI441" s="2"/>
      <c r="BJ441" s="2"/>
      <c r="BK441" s="2"/>
      <c r="BL441" s="2"/>
      <c r="BM441" s="2"/>
      <c r="BN441" s="2"/>
      <c r="BO441" s="2"/>
      <c r="BP441" s="2"/>
      <c r="BQ441" s="2"/>
      <c r="BR441" s="2"/>
      <c r="BS441" s="2"/>
      <c r="BT441" s="2"/>
      <c r="BU441" s="2"/>
      <c r="BV441" s="2"/>
      <c r="BW441" s="2"/>
      <c r="BX441" s="2"/>
      <c r="BY441" s="2"/>
      <c r="BZ441" s="2"/>
      <c r="CA441" s="2"/>
      <c r="CB441" s="2"/>
      <c r="CC441" s="2"/>
      <c r="CD441" s="2"/>
      <c r="CE441" s="2"/>
      <c r="CF441" s="2"/>
    </row>
    <row r="442" spans="1:84" ht="12.65" customHeight="1" x14ac:dyDescent="0.35">
      <c r="A442" s="331"/>
      <c r="B442" s="331"/>
      <c r="C442" s="331"/>
      <c r="D442" s="331"/>
      <c r="E442" s="2"/>
      <c r="F442" s="331"/>
      <c r="G442" s="331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  <c r="AI442" s="2"/>
      <c r="AJ442" s="2"/>
      <c r="AK442" s="2"/>
      <c r="AL442" s="2"/>
      <c r="AM442" s="2"/>
      <c r="AN442" s="2"/>
      <c r="AO442" s="2"/>
      <c r="AP442" s="2"/>
      <c r="AQ442" s="2"/>
      <c r="AR442" s="2"/>
      <c r="AS442" s="2"/>
      <c r="AT442" s="2"/>
      <c r="AU442" s="2"/>
      <c r="AV442" s="2"/>
      <c r="AW442" s="2"/>
      <c r="AX442" s="2"/>
      <c r="AY442" s="2"/>
      <c r="AZ442" s="2"/>
      <c r="BA442" s="2"/>
      <c r="BB442" s="2"/>
      <c r="BC442" s="2"/>
      <c r="BD442" s="2"/>
      <c r="BE442" s="2"/>
      <c r="BF442" s="2"/>
      <c r="BG442" s="2"/>
      <c r="BH442" s="2"/>
      <c r="BI442" s="2"/>
      <c r="BJ442" s="2"/>
      <c r="BK442" s="2"/>
      <c r="BL442" s="2"/>
      <c r="BM442" s="2"/>
      <c r="BN442" s="2"/>
      <c r="BO442" s="2"/>
      <c r="BP442" s="2"/>
      <c r="BQ442" s="2"/>
      <c r="BR442" s="2"/>
      <c r="BS442" s="2"/>
      <c r="BT442" s="2"/>
      <c r="BU442" s="2"/>
      <c r="BV442" s="2"/>
      <c r="BW442" s="2"/>
      <c r="BX442" s="2"/>
      <c r="BY442" s="2"/>
      <c r="BZ442" s="2"/>
      <c r="CA442" s="2"/>
      <c r="CB442" s="2"/>
      <c r="CC442" s="2"/>
      <c r="CD442" s="2"/>
      <c r="CE442" s="2"/>
      <c r="CF442" s="2"/>
    </row>
    <row r="443" spans="1:84" ht="12.65" customHeight="1" x14ac:dyDescent="0.35">
      <c r="A443" s="2" t="s">
        <v>479</v>
      </c>
      <c r="B443" s="329" t="s">
        <v>480</v>
      </c>
      <c r="C443" s="329" t="s">
        <v>471</v>
      </c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"/>
      <c r="AI443" s="2"/>
      <c r="AJ443" s="2"/>
      <c r="AK443" s="2"/>
      <c r="AL443" s="2"/>
      <c r="AM443" s="2"/>
      <c r="AN443" s="2"/>
      <c r="AO443" s="2"/>
      <c r="AP443" s="2"/>
      <c r="AQ443" s="2"/>
      <c r="AR443" s="2"/>
      <c r="AS443" s="2"/>
      <c r="AT443" s="2"/>
      <c r="AU443" s="2"/>
      <c r="AV443" s="2"/>
      <c r="AW443" s="2"/>
      <c r="AX443" s="2"/>
      <c r="AY443" s="2"/>
      <c r="AZ443" s="2"/>
      <c r="BA443" s="2"/>
      <c r="BB443" s="2"/>
      <c r="BC443" s="2"/>
      <c r="BD443" s="2"/>
      <c r="BE443" s="2"/>
      <c r="BF443" s="2"/>
      <c r="BG443" s="2"/>
      <c r="BH443" s="2"/>
      <c r="BI443" s="2"/>
      <c r="BJ443" s="2"/>
      <c r="BK443" s="2"/>
      <c r="BL443" s="2"/>
      <c r="BM443" s="2"/>
      <c r="BN443" s="2"/>
      <c r="BO443" s="2"/>
      <c r="BP443" s="2"/>
      <c r="BQ443" s="2"/>
      <c r="BR443" s="2"/>
      <c r="BS443" s="2"/>
      <c r="BT443" s="2"/>
      <c r="BU443" s="2"/>
      <c r="BV443" s="2"/>
      <c r="BW443" s="2"/>
      <c r="BX443" s="2"/>
      <c r="BY443" s="2"/>
      <c r="BZ443" s="2"/>
      <c r="CA443" s="2"/>
      <c r="CB443" s="2"/>
      <c r="CC443" s="2"/>
      <c r="CD443" s="2"/>
      <c r="CE443" s="2"/>
      <c r="CF443" s="2"/>
    </row>
    <row r="444" spans="1:84" ht="12.65" customHeight="1" x14ac:dyDescent="0.35">
      <c r="A444" s="2" t="s">
        <v>1256</v>
      </c>
      <c r="B444" s="2">
        <f>D221</f>
        <v>14990941</v>
      </c>
      <c r="C444" s="2">
        <f>C363</f>
        <v>14990941</v>
      </c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  <c r="AI444" s="2"/>
      <c r="AJ444" s="2"/>
      <c r="AK444" s="2"/>
      <c r="AL444" s="2"/>
      <c r="AM444" s="2"/>
      <c r="AN444" s="2"/>
      <c r="AO444" s="2"/>
      <c r="AP444" s="2"/>
      <c r="AQ444" s="2"/>
      <c r="AR444" s="2"/>
      <c r="AS444" s="2"/>
      <c r="AT444" s="2"/>
      <c r="AU444" s="2"/>
      <c r="AV444" s="2"/>
      <c r="AW444" s="2"/>
      <c r="AX444" s="2"/>
      <c r="AY444" s="2"/>
      <c r="AZ444" s="2"/>
      <c r="BA444" s="2"/>
      <c r="BB444" s="2"/>
      <c r="BC444" s="2"/>
      <c r="BD444" s="2"/>
      <c r="BE444" s="2"/>
      <c r="BF444" s="2"/>
      <c r="BG444" s="2"/>
      <c r="BH444" s="2"/>
      <c r="BI444" s="2"/>
      <c r="BJ444" s="2"/>
      <c r="BK444" s="2"/>
      <c r="BL444" s="2"/>
      <c r="BM444" s="2"/>
      <c r="BN444" s="2"/>
      <c r="BO444" s="2"/>
      <c r="BP444" s="2"/>
      <c r="BQ444" s="2"/>
      <c r="BR444" s="2"/>
      <c r="BS444" s="2"/>
      <c r="BT444" s="2"/>
      <c r="BU444" s="2"/>
      <c r="BV444" s="2"/>
      <c r="BW444" s="2"/>
      <c r="BX444" s="2"/>
      <c r="BY444" s="2"/>
      <c r="BZ444" s="2"/>
      <c r="CA444" s="2"/>
      <c r="CB444" s="2"/>
      <c r="CC444" s="2"/>
      <c r="CD444" s="2"/>
      <c r="CE444" s="2"/>
      <c r="CF444" s="2"/>
    </row>
    <row r="445" spans="1:84" ht="12.65" customHeight="1" x14ac:dyDescent="0.35">
      <c r="A445" s="2" t="s">
        <v>343</v>
      </c>
      <c r="B445" s="2">
        <f>D229</f>
        <v>1212049579</v>
      </c>
      <c r="C445" s="2">
        <f>C364</f>
        <v>1212049579</v>
      </c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  <c r="AK445" s="2"/>
      <c r="AL445" s="2"/>
      <c r="AM445" s="2"/>
      <c r="AN445" s="2"/>
      <c r="AO445" s="2"/>
      <c r="AP445" s="2"/>
      <c r="AQ445" s="2"/>
      <c r="AR445" s="2"/>
      <c r="AS445" s="2"/>
      <c r="AT445" s="2"/>
      <c r="AU445" s="2"/>
      <c r="AV445" s="2"/>
      <c r="AW445" s="2"/>
      <c r="AX445" s="2"/>
      <c r="AY445" s="2"/>
      <c r="AZ445" s="2"/>
      <c r="BA445" s="2"/>
      <c r="BB445" s="2"/>
      <c r="BC445" s="2"/>
      <c r="BD445" s="2"/>
      <c r="BE445" s="2"/>
      <c r="BF445" s="2"/>
      <c r="BG445" s="2"/>
      <c r="BH445" s="2"/>
      <c r="BI445" s="2"/>
      <c r="BJ445" s="2"/>
      <c r="BK445" s="2"/>
      <c r="BL445" s="2"/>
      <c r="BM445" s="2"/>
      <c r="BN445" s="2"/>
      <c r="BO445" s="2"/>
      <c r="BP445" s="2"/>
      <c r="BQ445" s="2"/>
      <c r="BR445" s="2"/>
      <c r="BS445" s="2"/>
      <c r="BT445" s="2"/>
      <c r="BU445" s="2"/>
      <c r="BV445" s="2"/>
      <c r="BW445" s="2"/>
      <c r="BX445" s="2"/>
      <c r="BY445" s="2"/>
      <c r="BZ445" s="2"/>
      <c r="CA445" s="2"/>
      <c r="CB445" s="2"/>
      <c r="CC445" s="2"/>
      <c r="CD445" s="2"/>
      <c r="CE445" s="2"/>
      <c r="CF445" s="2"/>
    </row>
    <row r="446" spans="1:84" ht="12.65" customHeight="1" x14ac:dyDescent="0.35">
      <c r="A446" s="2" t="s">
        <v>351</v>
      </c>
      <c r="B446" s="2">
        <f>D236</f>
        <v>8243072</v>
      </c>
      <c r="C446" s="2">
        <f>C365</f>
        <v>8243073</v>
      </c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  <c r="AK446" s="2"/>
      <c r="AL446" s="2"/>
      <c r="AM446" s="2"/>
      <c r="AN446" s="2"/>
      <c r="AO446" s="2"/>
      <c r="AP446" s="2"/>
      <c r="AQ446" s="2"/>
      <c r="AR446" s="2"/>
      <c r="AS446" s="2"/>
      <c r="AT446" s="2"/>
      <c r="AU446" s="2"/>
      <c r="AV446" s="2"/>
      <c r="AW446" s="2"/>
      <c r="AX446" s="2"/>
      <c r="AY446" s="2"/>
      <c r="AZ446" s="2"/>
      <c r="BA446" s="2"/>
      <c r="BB446" s="2"/>
      <c r="BC446" s="2"/>
      <c r="BD446" s="2"/>
      <c r="BE446" s="2"/>
      <c r="BF446" s="2"/>
      <c r="BG446" s="2"/>
      <c r="BH446" s="2"/>
      <c r="BI446" s="2"/>
      <c r="BJ446" s="2"/>
      <c r="BK446" s="2"/>
      <c r="BL446" s="2"/>
      <c r="BM446" s="2"/>
      <c r="BN446" s="2"/>
      <c r="BO446" s="2"/>
      <c r="BP446" s="2"/>
      <c r="BQ446" s="2"/>
      <c r="BR446" s="2"/>
      <c r="BS446" s="2"/>
      <c r="BT446" s="2"/>
      <c r="BU446" s="2"/>
      <c r="BV446" s="2"/>
      <c r="BW446" s="2"/>
      <c r="BX446" s="2"/>
      <c r="BY446" s="2"/>
      <c r="BZ446" s="2"/>
      <c r="CA446" s="2"/>
      <c r="CB446" s="2"/>
      <c r="CC446" s="2"/>
      <c r="CD446" s="2"/>
      <c r="CE446" s="2"/>
      <c r="CF446" s="2"/>
    </row>
    <row r="447" spans="1:84" ht="12.65" customHeight="1" x14ac:dyDescent="0.35">
      <c r="A447" s="2" t="s">
        <v>356</v>
      </c>
      <c r="B447" s="2">
        <f>D240</f>
        <v>5233395</v>
      </c>
      <c r="C447" s="2">
        <f>C366</f>
        <v>5233395</v>
      </c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  <c r="AK447" s="2"/>
      <c r="AL447" s="2"/>
      <c r="AM447" s="2"/>
      <c r="AN447" s="2"/>
      <c r="AO447" s="2"/>
      <c r="AP447" s="2"/>
      <c r="AQ447" s="2"/>
      <c r="AR447" s="2"/>
      <c r="AS447" s="2"/>
      <c r="AT447" s="2"/>
      <c r="AU447" s="2"/>
      <c r="AV447" s="2"/>
      <c r="AW447" s="2"/>
      <c r="AX447" s="2"/>
      <c r="AY447" s="2"/>
      <c r="AZ447" s="2"/>
      <c r="BA447" s="2"/>
      <c r="BB447" s="2"/>
      <c r="BC447" s="2"/>
      <c r="BD447" s="2"/>
      <c r="BE447" s="2"/>
      <c r="BF447" s="2"/>
      <c r="BG447" s="2"/>
      <c r="BH447" s="2"/>
      <c r="BI447" s="2"/>
      <c r="BJ447" s="2"/>
      <c r="BK447" s="2"/>
      <c r="BL447" s="2"/>
      <c r="BM447" s="2"/>
      <c r="BN447" s="2"/>
      <c r="BO447" s="2"/>
      <c r="BP447" s="2"/>
      <c r="BQ447" s="2"/>
      <c r="BR447" s="2"/>
      <c r="BS447" s="2"/>
      <c r="BT447" s="2"/>
      <c r="BU447" s="2"/>
      <c r="BV447" s="2"/>
      <c r="BW447" s="2"/>
      <c r="BX447" s="2"/>
      <c r="BY447" s="2"/>
      <c r="BZ447" s="2"/>
      <c r="CA447" s="2"/>
      <c r="CB447" s="2"/>
      <c r="CC447" s="2"/>
      <c r="CD447" s="2"/>
      <c r="CE447" s="2"/>
      <c r="CF447" s="2"/>
    </row>
    <row r="448" spans="1:84" ht="12.65" customHeight="1" x14ac:dyDescent="0.35">
      <c r="A448" s="2" t="s">
        <v>358</v>
      </c>
      <c r="B448" s="2">
        <f>D242</f>
        <v>1240516987</v>
      </c>
      <c r="C448" s="2">
        <f>D367</f>
        <v>1240516988</v>
      </c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  <c r="AH448" s="2"/>
      <c r="AI448" s="2"/>
      <c r="AJ448" s="2"/>
      <c r="AK448" s="2"/>
      <c r="AL448" s="2"/>
      <c r="AM448" s="2"/>
      <c r="AN448" s="2"/>
      <c r="AO448" s="2"/>
      <c r="AP448" s="2"/>
      <c r="AQ448" s="2"/>
      <c r="AR448" s="2"/>
      <c r="AS448" s="2"/>
      <c r="AT448" s="2"/>
      <c r="AU448" s="2"/>
      <c r="AV448" s="2"/>
      <c r="AW448" s="2"/>
      <c r="AX448" s="2"/>
      <c r="AY448" s="2"/>
      <c r="AZ448" s="2"/>
      <c r="BA448" s="2"/>
      <c r="BB448" s="2"/>
      <c r="BC448" s="2"/>
      <c r="BD448" s="2"/>
      <c r="BE448" s="2"/>
      <c r="BF448" s="2"/>
      <c r="BG448" s="2"/>
      <c r="BH448" s="2"/>
      <c r="BI448" s="2"/>
      <c r="BJ448" s="2"/>
      <c r="BK448" s="2"/>
      <c r="BL448" s="2"/>
      <c r="BM448" s="2"/>
      <c r="BN448" s="2"/>
      <c r="BO448" s="2"/>
      <c r="BP448" s="2"/>
      <c r="BQ448" s="2"/>
      <c r="BR448" s="2"/>
      <c r="BS448" s="2"/>
      <c r="BT448" s="2"/>
      <c r="BU448" s="2"/>
      <c r="BV448" s="2"/>
      <c r="BW448" s="2"/>
      <c r="BX448" s="2"/>
      <c r="BY448" s="2"/>
      <c r="BZ448" s="2"/>
      <c r="CA448" s="2"/>
      <c r="CB448" s="2"/>
      <c r="CC448" s="2"/>
      <c r="CD448" s="2"/>
      <c r="CE448" s="2"/>
      <c r="CF448" s="2"/>
    </row>
    <row r="449" spans="1:84" ht="12.65" customHeight="1" x14ac:dyDescent="0.35">
      <c r="A449" s="331"/>
      <c r="B449" s="331"/>
      <c r="C449" s="331"/>
      <c r="D449" s="331"/>
      <c r="E449" s="2"/>
      <c r="F449" s="331"/>
      <c r="G449" s="331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  <c r="AH449" s="2"/>
      <c r="AI449" s="2"/>
      <c r="AJ449" s="2"/>
      <c r="AK449" s="2"/>
      <c r="AL449" s="2"/>
      <c r="AM449" s="2"/>
      <c r="AN449" s="2"/>
      <c r="AO449" s="2"/>
      <c r="AP449" s="2"/>
      <c r="AQ449" s="2"/>
      <c r="AR449" s="2"/>
      <c r="AS449" s="2"/>
      <c r="AT449" s="2"/>
      <c r="AU449" s="2"/>
      <c r="AV449" s="2"/>
      <c r="AW449" s="2"/>
      <c r="AX449" s="2"/>
      <c r="AY449" s="2"/>
      <c r="AZ449" s="2"/>
      <c r="BA449" s="2"/>
      <c r="BB449" s="2"/>
      <c r="BC449" s="2"/>
      <c r="BD449" s="2"/>
      <c r="BE449" s="2"/>
      <c r="BF449" s="2"/>
      <c r="BG449" s="2"/>
      <c r="BH449" s="2"/>
      <c r="BI449" s="2"/>
      <c r="BJ449" s="2"/>
      <c r="BK449" s="2"/>
      <c r="BL449" s="2"/>
      <c r="BM449" s="2"/>
      <c r="BN449" s="2"/>
      <c r="BO449" s="2"/>
      <c r="BP449" s="2"/>
      <c r="BQ449" s="2"/>
      <c r="BR449" s="2"/>
      <c r="BS449" s="2"/>
      <c r="BT449" s="2"/>
      <c r="BU449" s="2"/>
      <c r="BV449" s="2"/>
      <c r="BW449" s="2"/>
      <c r="BX449" s="2"/>
      <c r="BY449" s="2"/>
      <c r="BZ449" s="2"/>
      <c r="CA449" s="2"/>
      <c r="CB449" s="2"/>
      <c r="CC449" s="2"/>
      <c r="CD449" s="2"/>
      <c r="CE449" s="2"/>
      <c r="CF449" s="2"/>
    </row>
    <row r="450" spans="1:84" ht="12.65" customHeight="1" x14ac:dyDescent="0.35">
      <c r="A450" s="2" t="s">
        <v>481</v>
      </c>
      <c r="B450" s="329" t="s">
        <v>482</v>
      </c>
      <c r="C450" s="331"/>
      <c r="D450" s="331"/>
      <c r="E450" s="2"/>
      <c r="F450" s="331"/>
      <c r="G450" s="331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2"/>
      <c r="AI450" s="2"/>
      <c r="AJ450" s="2"/>
      <c r="AK450" s="2"/>
      <c r="AL450" s="2"/>
      <c r="AM450" s="2"/>
      <c r="AN450" s="2"/>
      <c r="AO450" s="2"/>
      <c r="AP450" s="2"/>
      <c r="AQ450" s="2"/>
      <c r="AR450" s="2"/>
      <c r="AS450" s="2"/>
      <c r="AT450" s="2"/>
      <c r="AU450" s="2"/>
      <c r="AV450" s="2"/>
      <c r="AW450" s="2"/>
      <c r="AX450" s="2"/>
      <c r="AY450" s="2"/>
      <c r="AZ450" s="2"/>
      <c r="BA450" s="2"/>
      <c r="BB450" s="2"/>
      <c r="BC450" s="2"/>
      <c r="BD450" s="2"/>
      <c r="BE450" s="2"/>
      <c r="BF450" s="2"/>
      <c r="BG450" s="2"/>
      <c r="BH450" s="2"/>
      <c r="BI450" s="2"/>
      <c r="BJ450" s="2"/>
      <c r="BK450" s="2"/>
      <c r="BL450" s="2"/>
      <c r="BM450" s="2"/>
      <c r="BN450" s="2"/>
      <c r="BO450" s="2"/>
      <c r="BP450" s="2"/>
      <c r="BQ450" s="2"/>
      <c r="BR450" s="2"/>
      <c r="BS450" s="2"/>
      <c r="BT450" s="2"/>
      <c r="BU450" s="2"/>
      <c r="BV450" s="2"/>
      <c r="BW450" s="2"/>
      <c r="BX450" s="2"/>
      <c r="BY450" s="2"/>
      <c r="BZ450" s="2"/>
      <c r="CA450" s="2"/>
      <c r="CB450" s="2"/>
      <c r="CC450" s="2"/>
      <c r="CD450" s="2"/>
      <c r="CE450" s="2"/>
      <c r="CF450" s="2"/>
    </row>
    <row r="451" spans="1:84" ht="12.65" customHeight="1" x14ac:dyDescent="0.35">
      <c r="A451" s="2"/>
      <c r="B451" s="329" t="s">
        <v>483</v>
      </c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"/>
      <c r="AI451" s="2"/>
      <c r="AJ451" s="2"/>
      <c r="AK451" s="2"/>
      <c r="AL451" s="2"/>
      <c r="AM451" s="2"/>
      <c r="AN451" s="2"/>
      <c r="AO451" s="2"/>
      <c r="AP451" s="2"/>
      <c r="AQ451" s="2"/>
      <c r="AR451" s="2"/>
      <c r="AS451" s="2"/>
      <c r="AT451" s="2"/>
      <c r="AU451" s="2"/>
      <c r="AV451" s="2"/>
      <c r="AW451" s="2"/>
      <c r="AX451" s="2"/>
      <c r="AY451" s="2"/>
      <c r="AZ451" s="2"/>
      <c r="BA451" s="2"/>
      <c r="BB451" s="2"/>
      <c r="BC451" s="2"/>
      <c r="BD451" s="2"/>
      <c r="BE451" s="2"/>
      <c r="BF451" s="2"/>
      <c r="BG451" s="2"/>
      <c r="BH451" s="2"/>
      <c r="BI451" s="2"/>
      <c r="BJ451" s="2"/>
      <c r="BK451" s="2"/>
      <c r="BL451" s="2"/>
      <c r="BM451" s="2"/>
      <c r="BN451" s="2"/>
      <c r="BO451" s="2"/>
      <c r="BP451" s="2"/>
      <c r="BQ451" s="2"/>
      <c r="BR451" s="2"/>
      <c r="BS451" s="2"/>
      <c r="BT451" s="2"/>
      <c r="BU451" s="2"/>
      <c r="BV451" s="2"/>
      <c r="BW451" s="2"/>
      <c r="BX451" s="2"/>
      <c r="BY451" s="2"/>
      <c r="BZ451" s="2"/>
      <c r="CA451" s="2"/>
      <c r="CB451" s="2"/>
      <c r="CC451" s="2"/>
      <c r="CD451" s="2"/>
      <c r="CE451" s="2"/>
      <c r="CF451" s="2"/>
    </row>
    <row r="452" spans="1:84" ht="12.65" customHeight="1" x14ac:dyDescent="0.35">
      <c r="A452" s="2"/>
      <c r="B452" s="329" t="s">
        <v>472</v>
      </c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  <c r="AI452" s="2"/>
      <c r="AJ452" s="2"/>
      <c r="AK452" s="2"/>
      <c r="AL452" s="2"/>
      <c r="AM452" s="2"/>
      <c r="AN452" s="2"/>
      <c r="AO452" s="2"/>
      <c r="AP452" s="2"/>
      <c r="AQ452" s="2"/>
      <c r="AR452" s="2"/>
      <c r="AS452" s="2"/>
      <c r="AT452" s="2"/>
      <c r="AU452" s="2"/>
      <c r="AV452" s="2"/>
      <c r="AW452" s="2"/>
      <c r="AX452" s="2"/>
      <c r="AY452" s="2"/>
      <c r="AZ452" s="2"/>
      <c r="BA452" s="2"/>
      <c r="BB452" s="2"/>
      <c r="BC452" s="2"/>
      <c r="BD452" s="2"/>
      <c r="BE452" s="2"/>
      <c r="BF452" s="2"/>
      <c r="BG452" s="2"/>
      <c r="BH452" s="2"/>
      <c r="BI452" s="2"/>
      <c r="BJ452" s="2"/>
      <c r="BK452" s="2"/>
      <c r="BL452" s="2"/>
      <c r="BM452" s="2"/>
      <c r="BN452" s="2"/>
      <c r="BO452" s="2"/>
      <c r="BP452" s="2"/>
      <c r="BQ452" s="2"/>
      <c r="BR452" s="2"/>
      <c r="BS452" s="2"/>
      <c r="BT452" s="2"/>
      <c r="BU452" s="2"/>
      <c r="BV452" s="2"/>
      <c r="BW452" s="2"/>
      <c r="BX452" s="2"/>
      <c r="BY452" s="2"/>
      <c r="BZ452" s="2"/>
      <c r="CA452" s="2"/>
      <c r="CB452" s="2"/>
      <c r="CC452" s="2"/>
      <c r="CD452" s="2"/>
      <c r="CE452" s="2"/>
      <c r="CF452" s="2"/>
    </row>
    <row r="453" spans="1:84" ht="12.65" customHeight="1" x14ac:dyDescent="0.35">
      <c r="A453" s="323" t="s">
        <v>484</v>
      </c>
      <c r="B453" s="2">
        <f>C231</f>
        <v>3962</v>
      </c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  <c r="AJ453" s="2"/>
      <c r="AK453" s="2"/>
      <c r="AL453" s="2"/>
      <c r="AM453" s="2"/>
      <c r="AN453" s="2"/>
      <c r="AO453" s="2"/>
      <c r="AP453" s="2"/>
      <c r="AQ453" s="2"/>
      <c r="AR453" s="2"/>
      <c r="AS453" s="2"/>
      <c r="AT453" s="2"/>
      <c r="AU453" s="2"/>
      <c r="AV453" s="2"/>
      <c r="AW453" s="2"/>
      <c r="AX453" s="2"/>
      <c r="AY453" s="2"/>
      <c r="AZ453" s="2"/>
      <c r="BA453" s="2"/>
      <c r="BB453" s="2"/>
      <c r="BC453" s="2"/>
      <c r="BD453" s="2"/>
      <c r="BE453" s="2"/>
      <c r="BF453" s="2"/>
      <c r="BG453" s="2"/>
      <c r="BH453" s="2"/>
      <c r="BI453" s="2"/>
      <c r="BJ453" s="2"/>
      <c r="BK453" s="2"/>
      <c r="BL453" s="2"/>
      <c r="BM453" s="2"/>
      <c r="BN453" s="2"/>
      <c r="BO453" s="2"/>
      <c r="BP453" s="2"/>
      <c r="BQ453" s="2"/>
      <c r="BR453" s="2"/>
      <c r="BS453" s="2"/>
      <c r="BT453" s="2"/>
      <c r="BU453" s="2"/>
      <c r="BV453" s="2"/>
      <c r="BW453" s="2"/>
      <c r="BX453" s="2"/>
      <c r="BY453" s="2"/>
      <c r="BZ453" s="2"/>
      <c r="CA453" s="2"/>
      <c r="CB453" s="2"/>
      <c r="CC453" s="2"/>
      <c r="CD453" s="2"/>
      <c r="CE453" s="2"/>
      <c r="CF453" s="2"/>
    </row>
    <row r="454" spans="1:84" ht="12.65" customHeight="1" x14ac:dyDescent="0.35">
      <c r="A454" s="2" t="s">
        <v>168</v>
      </c>
      <c r="B454" s="2">
        <f>C233</f>
        <v>3489992</v>
      </c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  <c r="AJ454" s="2"/>
      <c r="AK454" s="2"/>
      <c r="AL454" s="2"/>
      <c r="AM454" s="2"/>
      <c r="AN454" s="2"/>
      <c r="AO454" s="2"/>
      <c r="AP454" s="2"/>
      <c r="AQ454" s="2"/>
      <c r="AR454" s="2"/>
      <c r="AS454" s="2"/>
      <c r="AT454" s="2"/>
      <c r="AU454" s="2"/>
      <c r="AV454" s="2"/>
      <c r="AW454" s="2"/>
      <c r="AX454" s="2"/>
      <c r="AY454" s="2"/>
      <c r="AZ454" s="2"/>
      <c r="BA454" s="2"/>
      <c r="BB454" s="2"/>
      <c r="BC454" s="2"/>
      <c r="BD454" s="2"/>
      <c r="BE454" s="2"/>
      <c r="BF454" s="2"/>
      <c r="BG454" s="2"/>
      <c r="BH454" s="2"/>
      <c r="BI454" s="2"/>
      <c r="BJ454" s="2"/>
      <c r="BK454" s="2"/>
      <c r="BL454" s="2"/>
      <c r="BM454" s="2"/>
      <c r="BN454" s="2"/>
      <c r="BO454" s="2"/>
      <c r="BP454" s="2"/>
      <c r="BQ454" s="2"/>
      <c r="BR454" s="2"/>
      <c r="BS454" s="2"/>
      <c r="BT454" s="2"/>
      <c r="BU454" s="2"/>
      <c r="BV454" s="2"/>
      <c r="BW454" s="2"/>
      <c r="BX454" s="2"/>
      <c r="BY454" s="2"/>
      <c r="BZ454" s="2"/>
      <c r="CA454" s="2"/>
      <c r="CB454" s="2"/>
      <c r="CC454" s="2"/>
      <c r="CD454" s="2"/>
      <c r="CE454" s="2"/>
      <c r="CF454" s="2"/>
    </row>
    <row r="455" spans="1:84" ht="12.65" customHeight="1" x14ac:dyDescent="0.35">
      <c r="A455" s="2" t="s">
        <v>131</v>
      </c>
      <c r="B455" s="2">
        <f>C234</f>
        <v>4753080</v>
      </c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  <c r="AI455" s="2"/>
      <c r="AJ455" s="2"/>
      <c r="AK455" s="2"/>
      <c r="AL455" s="2"/>
      <c r="AM455" s="2"/>
      <c r="AN455" s="2"/>
      <c r="AO455" s="2"/>
      <c r="AP455" s="2"/>
      <c r="AQ455" s="2"/>
      <c r="AR455" s="2"/>
      <c r="AS455" s="2"/>
      <c r="AT455" s="2"/>
      <c r="AU455" s="2"/>
      <c r="AV455" s="2"/>
      <c r="AW455" s="2"/>
      <c r="AX455" s="2"/>
      <c r="AY455" s="2"/>
      <c r="AZ455" s="2"/>
      <c r="BA455" s="2"/>
      <c r="BB455" s="2"/>
      <c r="BC455" s="2"/>
      <c r="BD455" s="2"/>
      <c r="BE455" s="2"/>
      <c r="BF455" s="2"/>
      <c r="BG455" s="2"/>
      <c r="BH455" s="2"/>
      <c r="BI455" s="2"/>
      <c r="BJ455" s="2"/>
      <c r="BK455" s="2"/>
      <c r="BL455" s="2"/>
      <c r="BM455" s="2"/>
      <c r="BN455" s="2"/>
      <c r="BO455" s="2"/>
      <c r="BP455" s="2"/>
      <c r="BQ455" s="2"/>
      <c r="BR455" s="2"/>
      <c r="BS455" s="2"/>
      <c r="BT455" s="2"/>
      <c r="BU455" s="2"/>
      <c r="BV455" s="2"/>
      <c r="BW455" s="2"/>
      <c r="BX455" s="2"/>
      <c r="BY455" s="2"/>
      <c r="BZ455" s="2"/>
      <c r="CA455" s="2"/>
      <c r="CB455" s="2"/>
      <c r="CC455" s="2"/>
      <c r="CD455" s="2"/>
      <c r="CE455" s="2"/>
      <c r="CF455" s="2"/>
    </row>
    <row r="456" spans="1:84" ht="12.65" customHeight="1" x14ac:dyDescent="0.35">
      <c r="A456" s="331"/>
      <c r="B456" s="331"/>
      <c r="C456" s="331"/>
      <c r="D456" s="331"/>
      <c r="E456" s="2"/>
      <c r="F456" s="331"/>
      <c r="G456" s="331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  <c r="AH456" s="2"/>
      <c r="AI456" s="2"/>
      <c r="AJ456" s="2"/>
      <c r="AK456" s="2"/>
      <c r="AL456" s="2"/>
      <c r="AM456" s="2"/>
      <c r="AN456" s="2"/>
      <c r="AO456" s="2"/>
      <c r="AP456" s="2"/>
      <c r="AQ456" s="2"/>
      <c r="AR456" s="2"/>
      <c r="AS456" s="2"/>
      <c r="AT456" s="2"/>
      <c r="AU456" s="2"/>
      <c r="AV456" s="2"/>
      <c r="AW456" s="2"/>
      <c r="AX456" s="2"/>
      <c r="AY456" s="2"/>
      <c r="AZ456" s="2"/>
      <c r="BA456" s="2"/>
      <c r="BB456" s="2"/>
      <c r="BC456" s="2"/>
      <c r="BD456" s="2"/>
      <c r="BE456" s="2"/>
      <c r="BF456" s="2"/>
      <c r="BG456" s="2"/>
      <c r="BH456" s="2"/>
      <c r="BI456" s="2"/>
      <c r="BJ456" s="2"/>
      <c r="BK456" s="2"/>
      <c r="BL456" s="2"/>
      <c r="BM456" s="2"/>
      <c r="BN456" s="2"/>
      <c r="BO456" s="2"/>
      <c r="BP456" s="2"/>
      <c r="BQ456" s="2"/>
      <c r="BR456" s="2"/>
      <c r="BS456" s="2"/>
      <c r="BT456" s="2"/>
      <c r="BU456" s="2"/>
      <c r="BV456" s="2"/>
      <c r="BW456" s="2"/>
      <c r="BX456" s="2"/>
      <c r="BY456" s="2"/>
      <c r="BZ456" s="2"/>
      <c r="CA456" s="2"/>
      <c r="CB456" s="2"/>
      <c r="CC456" s="2"/>
      <c r="CD456" s="2"/>
      <c r="CE456" s="2"/>
      <c r="CF456" s="2"/>
    </row>
    <row r="457" spans="1:84" ht="12.65" customHeight="1" x14ac:dyDescent="0.35">
      <c r="A457" s="2" t="s">
        <v>485</v>
      </c>
      <c r="B457" s="329" t="s">
        <v>471</v>
      </c>
      <c r="C457" s="329" t="s">
        <v>486</v>
      </c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2"/>
      <c r="AI457" s="2"/>
      <c r="AJ457" s="2"/>
      <c r="AK457" s="2"/>
      <c r="AL457" s="2"/>
      <c r="AM457" s="2"/>
      <c r="AN457" s="2"/>
      <c r="AO457" s="2"/>
      <c r="AP457" s="2"/>
      <c r="AQ457" s="2"/>
      <c r="AR457" s="2"/>
      <c r="AS457" s="2"/>
      <c r="AT457" s="2"/>
      <c r="AU457" s="2"/>
      <c r="AV457" s="2"/>
      <c r="AW457" s="2"/>
      <c r="AX457" s="2"/>
      <c r="AY457" s="2"/>
      <c r="AZ457" s="2"/>
      <c r="BA457" s="2"/>
      <c r="BB457" s="2"/>
      <c r="BC457" s="2"/>
      <c r="BD457" s="2"/>
      <c r="BE457" s="2"/>
      <c r="BF457" s="2"/>
      <c r="BG457" s="2"/>
      <c r="BH457" s="2"/>
      <c r="BI457" s="2"/>
      <c r="BJ457" s="2"/>
      <c r="BK457" s="2"/>
      <c r="BL457" s="2"/>
      <c r="BM457" s="2"/>
      <c r="BN457" s="2"/>
      <c r="BO457" s="2"/>
      <c r="BP457" s="2"/>
      <c r="BQ457" s="2"/>
      <c r="BR457" s="2"/>
      <c r="BS457" s="2"/>
      <c r="BT457" s="2"/>
      <c r="BU457" s="2"/>
      <c r="BV457" s="2"/>
      <c r="BW457" s="2"/>
      <c r="BX457" s="2"/>
      <c r="BY457" s="2"/>
      <c r="BZ457" s="2"/>
      <c r="CA457" s="2"/>
      <c r="CB457" s="2"/>
      <c r="CC457" s="2"/>
      <c r="CD457" s="2"/>
      <c r="CE457" s="2"/>
      <c r="CF457" s="2"/>
    </row>
    <row r="458" spans="1:84" ht="12.65" customHeight="1" x14ac:dyDescent="0.35">
      <c r="A458" s="2" t="s">
        <v>487</v>
      </c>
      <c r="B458" s="2">
        <f>C370</f>
        <v>47001114</v>
      </c>
      <c r="C458" s="2">
        <f>CE70</f>
        <v>47000825.919999994</v>
      </c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  <c r="AI458" s="2"/>
      <c r="AJ458" s="2"/>
      <c r="AK458" s="2"/>
      <c r="AL458" s="2"/>
      <c r="AM458" s="2"/>
      <c r="AN458" s="2"/>
      <c r="AO458" s="2"/>
      <c r="AP458" s="2"/>
      <c r="AQ458" s="2"/>
      <c r="AR458" s="2"/>
      <c r="AS458" s="2"/>
      <c r="AT458" s="2"/>
      <c r="AU458" s="2"/>
      <c r="AV458" s="2"/>
      <c r="AW458" s="2"/>
      <c r="AX458" s="2"/>
      <c r="AY458" s="2"/>
      <c r="AZ458" s="2"/>
      <c r="BA458" s="2"/>
      <c r="BB458" s="2"/>
      <c r="BC458" s="2"/>
      <c r="BD458" s="2"/>
      <c r="BE458" s="2"/>
      <c r="BF458" s="2"/>
      <c r="BG458" s="2"/>
      <c r="BH458" s="2"/>
      <c r="BI458" s="2"/>
      <c r="BJ458" s="2"/>
      <c r="BK458" s="2"/>
      <c r="BL458" s="2"/>
      <c r="BM458" s="2"/>
      <c r="BN458" s="2"/>
      <c r="BO458" s="2"/>
      <c r="BP458" s="2"/>
      <c r="BQ458" s="2"/>
      <c r="BR458" s="2"/>
      <c r="BS458" s="2"/>
      <c r="BT458" s="2"/>
      <c r="BU458" s="2"/>
      <c r="BV458" s="2"/>
      <c r="BW458" s="2"/>
      <c r="BX458" s="2"/>
      <c r="BY458" s="2"/>
      <c r="BZ458" s="2"/>
      <c r="CA458" s="2"/>
      <c r="CB458" s="2"/>
      <c r="CC458" s="2"/>
      <c r="CD458" s="2"/>
      <c r="CE458" s="2"/>
      <c r="CF458" s="2"/>
    </row>
    <row r="459" spans="1:84" ht="12.65" customHeight="1" x14ac:dyDescent="0.35">
      <c r="A459" s="2" t="s">
        <v>244</v>
      </c>
      <c r="B459" s="2">
        <f>C371</f>
        <v>27871776</v>
      </c>
      <c r="C459" s="2">
        <f>CE72</f>
        <v>0</v>
      </c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  <c r="AI459" s="2"/>
      <c r="AJ459" s="2"/>
      <c r="AK459" s="2"/>
      <c r="AL459" s="2"/>
      <c r="AM459" s="2"/>
      <c r="AN459" s="2"/>
      <c r="AO459" s="2"/>
      <c r="AP459" s="2"/>
      <c r="AQ459" s="2"/>
      <c r="AR459" s="2"/>
      <c r="AS459" s="2"/>
      <c r="AT459" s="2"/>
      <c r="AU459" s="2"/>
      <c r="AV459" s="2"/>
      <c r="AW459" s="2"/>
      <c r="AX459" s="2"/>
      <c r="AY459" s="2"/>
      <c r="AZ459" s="2"/>
      <c r="BA459" s="2"/>
      <c r="BB459" s="2"/>
      <c r="BC459" s="2"/>
      <c r="BD459" s="2"/>
      <c r="BE459" s="2"/>
      <c r="BF459" s="2"/>
      <c r="BG459" s="2"/>
      <c r="BH459" s="2"/>
      <c r="BI459" s="2"/>
      <c r="BJ459" s="2"/>
      <c r="BK459" s="2"/>
      <c r="BL459" s="2"/>
      <c r="BM459" s="2"/>
      <c r="BN459" s="2"/>
      <c r="BO459" s="2"/>
      <c r="BP459" s="2"/>
      <c r="BQ459" s="2"/>
      <c r="BR459" s="2"/>
      <c r="BS459" s="2"/>
      <c r="BT459" s="2"/>
      <c r="BU459" s="2"/>
      <c r="BV459" s="2"/>
      <c r="BW459" s="2"/>
      <c r="BX459" s="2"/>
      <c r="BY459" s="2"/>
      <c r="BZ459" s="2"/>
      <c r="CA459" s="2"/>
      <c r="CB459" s="2"/>
      <c r="CC459" s="2"/>
      <c r="CD459" s="2"/>
      <c r="CE459" s="2"/>
      <c r="CF459" s="2"/>
    </row>
    <row r="460" spans="1:84" ht="12.65" customHeight="1" x14ac:dyDescent="0.35">
      <c r="A460" s="331"/>
      <c r="B460" s="331"/>
      <c r="C460" s="331"/>
      <c r="D460" s="331"/>
      <c r="E460" s="2"/>
      <c r="F460" s="331"/>
      <c r="G460" s="331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  <c r="AI460" s="2"/>
      <c r="AJ460" s="2"/>
      <c r="AK460" s="2"/>
      <c r="AL460" s="2"/>
      <c r="AM460" s="2"/>
      <c r="AN460" s="2"/>
      <c r="AO460" s="2"/>
      <c r="AP460" s="2"/>
      <c r="AQ460" s="2"/>
      <c r="AR460" s="2"/>
      <c r="AS460" s="2"/>
      <c r="AT460" s="2"/>
      <c r="AU460" s="2"/>
      <c r="AV460" s="2"/>
      <c r="AW460" s="2"/>
      <c r="AX460" s="2"/>
      <c r="AY460" s="2"/>
      <c r="AZ460" s="2"/>
      <c r="BA460" s="2"/>
      <c r="BB460" s="2"/>
      <c r="BC460" s="2"/>
      <c r="BD460" s="2"/>
      <c r="BE460" s="2"/>
      <c r="BF460" s="2"/>
      <c r="BG460" s="2"/>
      <c r="BH460" s="2"/>
      <c r="BI460" s="2"/>
      <c r="BJ460" s="2"/>
      <c r="BK460" s="2"/>
      <c r="BL460" s="2"/>
      <c r="BM460" s="2"/>
      <c r="BN460" s="2"/>
      <c r="BO460" s="2"/>
      <c r="BP460" s="2"/>
      <c r="BQ460" s="2"/>
      <c r="BR460" s="2"/>
      <c r="BS460" s="2"/>
      <c r="BT460" s="2"/>
      <c r="BU460" s="2"/>
      <c r="BV460" s="2"/>
      <c r="BW460" s="2"/>
      <c r="BX460" s="2"/>
      <c r="BY460" s="2"/>
      <c r="BZ460" s="2"/>
      <c r="CA460" s="2"/>
      <c r="CB460" s="2"/>
      <c r="CC460" s="2"/>
      <c r="CD460" s="2"/>
      <c r="CE460" s="2"/>
      <c r="CF460" s="2"/>
    </row>
    <row r="461" spans="1:84" ht="12.65" customHeight="1" x14ac:dyDescent="0.35">
      <c r="A461" s="2" t="s">
        <v>488</v>
      </c>
      <c r="B461" s="329"/>
      <c r="C461" s="329"/>
      <c r="D461" s="329" t="s">
        <v>1244</v>
      </c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  <c r="AJ461" s="2"/>
      <c r="AK461" s="2"/>
      <c r="AL461" s="2"/>
      <c r="AM461" s="2"/>
      <c r="AN461" s="2"/>
      <c r="AO461" s="2"/>
      <c r="AP461" s="2"/>
      <c r="AQ461" s="2"/>
      <c r="AR461" s="2"/>
      <c r="AS461" s="2"/>
      <c r="AT461" s="2"/>
      <c r="AU461" s="2"/>
      <c r="AV461" s="2"/>
      <c r="AW461" s="2"/>
      <c r="AX461" s="2"/>
      <c r="AY461" s="2"/>
      <c r="AZ461" s="2"/>
      <c r="BA461" s="2"/>
      <c r="BB461" s="2"/>
      <c r="BC461" s="2"/>
      <c r="BD461" s="2"/>
      <c r="BE461" s="2"/>
      <c r="BF461" s="2"/>
      <c r="BG461" s="2"/>
      <c r="BH461" s="2"/>
      <c r="BI461" s="2"/>
      <c r="BJ461" s="2"/>
      <c r="BK461" s="2"/>
      <c r="BL461" s="2"/>
      <c r="BM461" s="2"/>
      <c r="BN461" s="2"/>
      <c r="BO461" s="2"/>
      <c r="BP461" s="2"/>
      <c r="BQ461" s="2"/>
      <c r="BR461" s="2"/>
      <c r="BS461" s="2"/>
      <c r="BT461" s="2"/>
      <c r="BU461" s="2"/>
      <c r="BV461" s="2"/>
      <c r="BW461" s="2"/>
      <c r="BX461" s="2"/>
      <c r="BY461" s="2"/>
      <c r="BZ461" s="2"/>
      <c r="CA461" s="2"/>
      <c r="CB461" s="2"/>
      <c r="CC461" s="2"/>
      <c r="CD461" s="2"/>
      <c r="CE461" s="2"/>
      <c r="CF461" s="2"/>
    </row>
    <row r="462" spans="1:84" ht="12.65" customHeight="1" x14ac:dyDescent="0.35">
      <c r="A462" s="2"/>
      <c r="B462" s="329" t="s">
        <v>471</v>
      </c>
      <c r="C462" s="329" t="s">
        <v>486</v>
      </c>
      <c r="D462" s="329" t="s">
        <v>490</v>
      </c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  <c r="AH462" s="2"/>
      <c r="AI462" s="2"/>
      <c r="AJ462" s="2"/>
      <c r="AK462" s="2"/>
      <c r="AL462" s="2"/>
      <c r="AM462" s="2"/>
      <c r="AN462" s="2"/>
      <c r="AO462" s="2"/>
      <c r="AP462" s="2"/>
      <c r="AQ462" s="2"/>
      <c r="AR462" s="2"/>
      <c r="AS462" s="2"/>
      <c r="AT462" s="2"/>
      <c r="AU462" s="2"/>
      <c r="AV462" s="2"/>
      <c r="AW462" s="2"/>
      <c r="AX462" s="2"/>
      <c r="AY462" s="2"/>
      <c r="AZ462" s="2"/>
      <c r="BA462" s="2"/>
      <c r="BB462" s="2"/>
      <c r="BC462" s="2"/>
      <c r="BD462" s="2"/>
      <c r="BE462" s="2"/>
      <c r="BF462" s="2"/>
      <c r="BG462" s="2"/>
      <c r="BH462" s="2"/>
      <c r="BI462" s="2"/>
      <c r="BJ462" s="2"/>
      <c r="BK462" s="2"/>
      <c r="BL462" s="2"/>
      <c r="BM462" s="2"/>
      <c r="BN462" s="2"/>
      <c r="BO462" s="2"/>
      <c r="BP462" s="2"/>
      <c r="BQ462" s="2"/>
      <c r="BR462" s="2"/>
      <c r="BS462" s="2"/>
      <c r="BT462" s="2"/>
      <c r="BU462" s="2"/>
      <c r="BV462" s="2"/>
      <c r="BW462" s="2"/>
      <c r="BX462" s="2"/>
      <c r="BY462" s="2"/>
      <c r="BZ462" s="2"/>
      <c r="CA462" s="2"/>
      <c r="CB462" s="2"/>
      <c r="CC462" s="2"/>
      <c r="CD462" s="2"/>
      <c r="CE462" s="2"/>
      <c r="CF462" s="2"/>
    </row>
    <row r="463" spans="1:84" ht="12.65" customHeight="1" x14ac:dyDescent="0.35">
      <c r="A463" s="2" t="s">
        <v>245</v>
      </c>
      <c r="B463" s="2">
        <f>C359</f>
        <v>806347253</v>
      </c>
      <c r="C463" s="2">
        <f>CE73</f>
        <v>806347253.38999987</v>
      </c>
      <c r="D463" s="2">
        <f>E141+E147+E153</f>
        <v>806347254</v>
      </c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  <c r="AH463" s="2"/>
      <c r="AI463" s="2"/>
      <c r="AJ463" s="2"/>
      <c r="AK463" s="2"/>
      <c r="AL463" s="2"/>
      <c r="AM463" s="2"/>
      <c r="AN463" s="2"/>
      <c r="AO463" s="2"/>
      <c r="AP463" s="2"/>
      <c r="AQ463" s="2"/>
      <c r="AR463" s="2"/>
      <c r="AS463" s="2"/>
      <c r="AT463" s="2"/>
      <c r="AU463" s="2"/>
      <c r="AV463" s="2"/>
      <c r="AW463" s="2"/>
      <c r="AX463" s="2"/>
      <c r="AY463" s="2"/>
      <c r="AZ463" s="2"/>
      <c r="BA463" s="2"/>
      <c r="BB463" s="2"/>
      <c r="BC463" s="2"/>
      <c r="BD463" s="2"/>
      <c r="BE463" s="2"/>
      <c r="BF463" s="2"/>
      <c r="BG463" s="2"/>
      <c r="BH463" s="2"/>
      <c r="BI463" s="2"/>
      <c r="BJ463" s="2"/>
      <c r="BK463" s="2"/>
      <c r="BL463" s="2"/>
      <c r="BM463" s="2"/>
      <c r="BN463" s="2"/>
      <c r="BO463" s="2"/>
      <c r="BP463" s="2"/>
      <c r="BQ463" s="2"/>
      <c r="BR463" s="2"/>
      <c r="BS463" s="2"/>
      <c r="BT463" s="2"/>
      <c r="BU463" s="2"/>
      <c r="BV463" s="2"/>
      <c r="BW463" s="2"/>
      <c r="BX463" s="2"/>
      <c r="BY463" s="2"/>
      <c r="BZ463" s="2"/>
      <c r="CA463" s="2"/>
      <c r="CB463" s="2"/>
      <c r="CC463" s="2"/>
      <c r="CD463" s="2"/>
      <c r="CE463" s="2"/>
      <c r="CF463" s="2"/>
    </row>
    <row r="464" spans="1:84" ht="12.65" customHeight="1" x14ac:dyDescent="0.35">
      <c r="A464" s="2" t="s">
        <v>246</v>
      </c>
      <c r="B464" s="2">
        <f>C360</f>
        <v>1098178162</v>
      </c>
      <c r="C464" s="2">
        <f>CE74</f>
        <v>1098178162.3000002</v>
      </c>
      <c r="D464" s="2">
        <f>E142+E148+E154</f>
        <v>1098178162</v>
      </c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  <c r="AI464" s="2"/>
      <c r="AJ464" s="2"/>
      <c r="AK464" s="2"/>
      <c r="AL464" s="2"/>
      <c r="AM464" s="2"/>
      <c r="AN464" s="2"/>
      <c r="AO464" s="2"/>
      <c r="AP464" s="2"/>
      <c r="AQ464" s="2"/>
      <c r="AR464" s="2"/>
      <c r="AS464" s="2"/>
      <c r="AT464" s="2"/>
      <c r="AU464" s="2"/>
      <c r="AV464" s="2"/>
      <c r="AW464" s="2"/>
      <c r="AX464" s="2"/>
      <c r="AY464" s="2"/>
      <c r="AZ464" s="2"/>
      <c r="BA464" s="2"/>
      <c r="BB464" s="2"/>
      <c r="BC464" s="2"/>
      <c r="BD464" s="2"/>
      <c r="BE464" s="2"/>
      <c r="BF464" s="2"/>
      <c r="BG464" s="2"/>
      <c r="BH464" s="2"/>
      <c r="BI464" s="2"/>
      <c r="BJ464" s="2"/>
      <c r="BK464" s="2"/>
      <c r="BL464" s="2"/>
      <c r="BM464" s="2"/>
      <c r="BN464" s="2"/>
      <c r="BO464" s="2"/>
      <c r="BP464" s="2"/>
      <c r="BQ464" s="2"/>
      <c r="BR464" s="2"/>
      <c r="BS464" s="2"/>
      <c r="BT464" s="2"/>
      <c r="BU464" s="2"/>
      <c r="BV464" s="2"/>
      <c r="BW464" s="2"/>
      <c r="BX464" s="2"/>
      <c r="BY464" s="2"/>
      <c r="BZ464" s="2"/>
      <c r="CA464" s="2"/>
      <c r="CB464" s="2"/>
      <c r="CC464" s="2"/>
      <c r="CD464" s="2"/>
      <c r="CE464" s="2"/>
      <c r="CF464" s="2"/>
    </row>
    <row r="465" spans="1:84" ht="12.65" customHeight="1" x14ac:dyDescent="0.35">
      <c r="A465" s="2" t="s">
        <v>247</v>
      </c>
      <c r="B465" s="2">
        <f>D361</f>
        <v>1904525415</v>
      </c>
      <c r="C465" s="2">
        <f>CE75</f>
        <v>1904525415.6900003</v>
      </c>
      <c r="D465" s="2">
        <f>D463+D464</f>
        <v>1904525416</v>
      </c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  <c r="AI465" s="2"/>
      <c r="AJ465" s="2"/>
      <c r="AK465" s="2"/>
      <c r="AL465" s="2"/>
      <c r="AM465" s="2"/>
      <c r="AN465" s="2"/>
      <c r="AO465" s="2"/>
      <c r="AP465" s="2"/>
      <c r="AQ465" s="2"/>
      <c r="AR465" s="2"/>
      <c r="AS465" s="2"/>
      <c r="AT465" s="2"/>
      <c r="AU465" s="2"/>
      <c r="AV465" s="2"/>
      <c r="AW465" s="2"/>
      <c r="AX465" s="2"/>
      <c r="AY465" s="2"/>
      <c r="AZ465" s="2"/>
      <c r="BA465" s="2"/>
      <c r="BB465" s="2"/>
      <c r="BC465" s="2"/>
      <c r="BD465" s="2"/>
      <c r="BE465" s="2"/>
      <c r="BF465" s="2"/>
      <c r="BG465" s="2"/>
      <c r="BH465" s="2"/>
      <c r="BI465" s="2"/>
      <c r="BJ465" s="2"/>
      <c r="BK465" s="2"/>
      <c r="BL465" s="2"/>
      <c r="BM465" s="2"/>
      <c r="BN465" s="2"/>
      <c r="BO465" s="2"/>
      <c r="BP465" s="2"/>
      <c r="BQ465" s="2"/>
      <c r="BR465" s="2"/>
      <c r="BS465" s="2"/>
      <c r="BT465" s="2"/>
      <c r="BU465" s="2"/>
      <c r="BV465" s="2"/>
      <c r="BW465" s="2"/>
      <c r="BX465" s="2"/>
      <c r="BY465" s="2"/>
      <c r="BZ465" s="2"/>
      <c r="CA465" s="2"/>
      <c r="CB465" s="2"/>
      <c r="CC465" s="2"/>
      <c r="CD465" s="2"/>
      <c r="CE465" s="2"/>
      <c r="CF465" s="2"/>
    </row>
    <row r="466" spans="1:84" ht="12.65" customHeight="1" x14ac:dyDescent="0.35">
      <c r="A466" s="331"/>
      <c r="B466" s="331"/>
      <c r="C466" s="331"/>
      <c r="D466" s="331"/>
      <c r="E466" s="2"/>
      <c r="F466" s="331"/>
      <c r="G466" s="331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  <c r="AI466" s="2"/>
      <c r="AJ466" s="2"/>
      <c r="AK466" s="2"/>
      <c r="AL466" s="2"/>
      <c r="AM466" s="2"/>
      <c r="AN466" s="2"/>
      <c r="AO466" s="2"/>
      <c r="AP466" s="2"/>
      <c r="AQ466" s="2"/>
      <c r="AR466" s="2"/>
      <c r="AS466" s="2"/>
      <c r="AT466" s="2"/>
      <c r="AU466" s="2"/>
      <c r="AV466" s="2"/>
      <c r="AW466" s="2"/>
      <c r="AX466" s="2"/>
      <c r="AY466" s="2"/>
      <c r="AZ466" s="2"/>
      <c r="BA466" s="2"/>
      <c r="BB466" s="2"/>
      <c r="BC466" s="2"/>
      <c r="BD466" s="2"/>
      <c r="BE466" s="2"/>
      <c r="BF466" s="2"/>
      <c r="BG466" s="2"/>
      <c r="BH466" s="2"/>
      <c r="BI466" s="2"/>
      <c r="BJ466" s="2"/>
      <c r="BK466" s="2"/>
      <c r="BL466" s="2"/>
      <c r="BM466" s="2"/>
      <c r="BN466" s="2"/>
      <c r="BO466" s="2"/>
      <c r="BP466" s="2"/>
      <c r="BQ466" s="2"/>
      <c r="BR466" s="2"/>
      <c r="BS466" s="2"/>
      <c r="BT466" s="2"/>
      <c r="BU466" s="2"/>
      <c r="BV466" s="2"/>
      <c r="BW466" s="2"/>
      <c r="BX466" s="2"/>
      <c r="BY466" s="2"/>
      <c r="BZ466" s="2"/>
      <c r="CA466" s="2"/>
      <c r="CB466" s="2"/>
      <c r="CC466" s="2"/>
      <c r="CD466" s="2"/>
      <c r="CE466" s="2"/>
      <c r="CF466" s="2"/>
    </row>
    <row r="467" spans="1:84" ht="12.65" customHeight="1" x14ac:dyDescent="0.35">
      <c r="A467" s="2" t="s">
        <v>491</v>
      </c>
      <c r="B467" s="329" t="s">
        <v>492</v>
      </c>
      <c r="C467" s="329" t="s">
        <v>493</v>
      </c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  <c r="AI467" s="2"/>
      <c r="AJ467" s="2"/>
      <c r="AK467" s="2"/>
      <c r="AL467" s="2"/>
      <c r="AM467" s="2"/>
      <c r="AN467" s="2"/>
      <c r="AO467" s="2"/>
      <c r="AP467" s="2"/>
      <c r="AQ467" s="2"/>
      <c r="AR467" s="2"/>
      <c r="AS467" s="2"/>
      <c r="AT467" s="2"/>
      <c r="AU467" s="2"/>
      <c r="AV467" s="2"/>
      <c r="AW467" s="2"/>
      <c r="AX467" s="2"/>
      <c r="AY467" s="2"/>
      <c r="AZ467" s="2"/>
      <c r="BA467" s="2"/>
      <c r="BB467" s="2"/>
      <c r="BC467" s="2"/>
      <c r="BD467" s="2"/>
      <c r="BE467" s="2"/>
      <c r="BF467" s="2"/>
      <c r="BG467" s="2"/>
      <c r="BH467" s="2"/>
      <c r="BI467" s="2"/>
      <c r="BJ467" s="2"/>
      <c r="BK467" s="2"/>
      <c r="BL467" s="2"/>
      <c r="BM467" s="2"/>
      <c r="BN467" s="2"/>
      <c r="BO467" s="2"/>
      <c r="BP467" s="2"/>
      <c r="BQ467" s="2"/>
      <c r="BR467" s="2"/>
      <c r="BS467" s="2"/>
      <c r="BT467" s="2"/>
      <c r="BU467" s="2"/>
      <c r="BV467" s="2"/>
      <c r="BW467" s="2"/>
      <c r="BX467" s="2"/>
      <c r="BY467" s="2"/>
      <c r="BZ467" s="2"/>
      <c r="CA467" s="2"/>
      <c r="CB467" s="2"/>
      <c r="CC467" s="2"/>
      <c r="CD467" s="2"/>
      <c r="CE467" s="2"/>
      <c r="CF467" s="2"/>
    </row>
    <row r="468" spans="1:84" ht="12.65" customHeight="1" x14ac:dyDescent="0.35">
      <c r="A468" s="2" t="s">
        <v>332</v>
      </c>
      <c r="B468" s="2">
        <f t="shared" ref="B468:B475" si="15">C267</f>
        <v>4913660</v>
      </c>
      <c r="C468" s="2">
        <f>E195</f>
        <v>4913659.68</v>
      </c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  <c r="AH468" s="2"/>
      <c r="AI468" s="2"/>
      <c r="AJ468" s="2"/>
      <c r="AK468" s="2"/>
      <c r="AL468" s="2"/>
      <c r="AM468" s="2"/>
      <c r="AN468" s="2"/>
      <c r="AO468" s="2"/>
      <c r="AP468" s="2"/>
      <c r="AQ468" s="2"/>
      <c r="AR468" s="2"/>
      <c r="AS468" s="2"/>
      <c r="AT468" s="2"/>
      <c r="AU468" s="2"/>
      <c r="AV468" s="2"/>
      <c r="AW468" s="2"/>
      <c r="AX468" s="2"/>
      <c r="AY468" s="2"/>
      <c r="AZ468" s="2"/>
      <c r="BA468" s="2"/>
      <c r="BB468" s="2"/>
      <c r="BC468" s="2"/>
      <c r="BD468" s="2"/>
      <c r="BE468" s="2"/>
      <c r="BF468" s="2"/>
      <c r="BG468" s="2"/>
      <c r="BH468" s="2"/>
      <c r="BI468" s="2"/>
      <c r="BJ468" s="2"/>
      <c r="BK468" s="2"/>
      <c r="BL468" s="2"/>
      <c r="BM468" s="2"/>
      <c r="BN468" s="2"/>
      <c r="BO468" s="2"/>
      <c r="BP468" s="2"/>
      <c r="BQ468" s="2"/>
      <c r="BR468" s="2"/>
      <c r="BS468" s="2"/>
      <c r="BT468" s="2"/>
      <c r="BU468" s="2"/>
      <c r="BV468" s="2"/>
      <c r="BW468" s="2"/>
      <c r="BX468" s="2"/>
      <c r="BY468" s="2"/>
      <c r="BZ468" s="2"/>
      <c r="CA468" s="2"/>
      <c r="CB468" s="2"/>
      <c r="CC468" s="2"/>
      <c r="CD468" s="2"/>
      <c r="CE468" s="2"/>
      <c r="CF468" s="2"/>
    </row>
    <row r="469" spans="1:84" ht="12.65" customHeight="1" x14ac:dyDescent="0.35">
      <c r="A469" s="2" t="s">
        <v>333</v>
      </c>
      <c r="B469" s="2">
        <f t="shared" si="15"/>
        <v>13123911</v>
      </c>
      <c r="C469" s="2">
        <f>E196</f>
        <v>13123911.309999999</v>
      </c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  <c r="AH469" s="2"/>
      <c r="AI469" s="2"/>
      <c r="AJ469" s="2"/>
      <c r="AK469" s="2"/>
      <c r="AL469" s="2"/>
      <c r="AM469" s="2"/>
      <c r="AN469" s="2"/>
      <c r="AO469" s="2"/>
      <c r="AP469" s="2"/>
      <c r="AQ469" s="2"/>
      <c r="AR469" s="2"/>
      <c r="AS469" s="2"/>
      <c r="AT469" s="2"/>
      <c r="AU469" s="2"/>
      <c r="AV469" s="2"/>
      <c r="AW469" s="2"/>
      <c r="AX469" s="2"/>
      <c r="AY469" s="2"/>
      <c r="AZ469" s="2"/>
      <c r="BA469" s="2"/>
      <c r="BB469" s="2"/>
      <c r="BC469" s="2"/>
      <c r="BD469" s="2"/>
      <c r="BE469" s="2"/>
      <c r="BF469" s="2"/>
      <c r="BG469" s="2"/>
      <c r="BH469" s="2"/>
      <c r="BI469" s="2"/>
      <c r="BJ469" s="2"/>
      <c r="BK469" s="2"/>
      <c r="BL469" s="2"/>
      <c r="BM469" s="2"/>
      <c r="BN469" s="2"/>
      <c r="BO469" s="2"/>
      <c r="BP469" s="2"/>
      <c r="BQ469" s="2"/>
      <c r="BR469" s="2"/>
      <c r="BS469" s="2"/>
      <c r="BT469" s="2"/>
      <c r="BU469" s="2"/>
      <c r="BV469" s="2"/>
      <c r="BW469" s="2"/>
      <c r="BX469" s="2"/>
      <c r="BY469" s="2"/>
      <c r="BZ469" s="2"/>
      <c r="CA469" s="2"/>
      <c r="CB469" s="2"/>
      <c r="CC469" s="2"/>
      <c r="CD469" s="2"/>
      <c r="CE469" s="2"/>
      <c r="CF469" s="2"/>
    </row>
    <row r="470" spans="1:84" ht="12.65" customHeight="1" x14ac:dyDescent="0.35">
      <c r="A470" s="2" t="s">
        <v>334</v>
      </c>
      <c r="B470" s="2">
        <f t="shared" si="15"/>
        <v>340376358</v>
      </c>
      <c r="C470" s="2">
        <f>E197</f>
        <v>340376357.65000004</v>
      </c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  <c r="AI470" s="2"/>
      <c r="AJ470" s="2"/>
      <c r="AK470" s="2"/>
      <c r="AL470" s="2"/>
      <c r="AM470" s="2"/>
      <c r="AN470" s="2"/>
      <c r="AO470" s="2"/>
      <c r="AP470" s="2"/>
      <c r="AQ470" s="2"/>
      <c r="AR470" s="2"/>
      <c r="AS470" s="2"/>
      <c r="AT470" s="2"/>
      <c r="AU470" s="2"/>
      <c r="AV470" s="2"/>
      <c r="AW470" s="2"/>
      <c r="AX470" s="2"/>
      <c r="AY470" s="2"/>
      <c r="AZ470" s="2"/>
      <c r="BA470" s="2"/>
      <c r="BB470" s="2"/>
      <c r="BC470" s="2"/>
      <c r="BD470" s="2"/>
      <c r="BE470" s="2"/>
      <c r="BF470" s="2"/>
      <c r="BG470" s="2"/>
      <c r="BH470" s="2"/>
      <c r="BI470" s="2"/>
      <c r="BJ470" s="2"/>
      <c r="BK470" s="2"/>
      <c r="BL470" s="2"/>
      <c r="BM470" s="2"/>
      <c r="BN470" s="2"/>
      <c r="BO470" s="2"/>
      <c r="BP470" s="2"/>
      <c r="BQ470" s="2"/>
      <c r="BR470" s="2"/>
      <c r="BS470" s="2"/>
      <c r="BT470" s="2"/>
      <c r="BU470" s="2"/>
      <c r="BV470" s="2"/>
      <c r="BW470" s="2"/>
      <c r="BX470" s="2"/>
      <c r="BY470" s="2"/>
      <c r="BZ470" s="2"/>
      <c r="CA470" s="2"/>
      <c r="CB470" s="2"/>
      <c r="CC470" s="2"/>
      <c r="CD470" s="2"/>
      <c r="CE470" s="2"/>
      <c r="CF470" s="2"/>
    </row>
    <row r="471" spans="1:84" ht="12.65" customHeight="1" x14ac:dyDescent="0.35">
      <c r="A471" s="2" t="s">
        <v>494</v>
      </c>
      <c r="B471" s="2">
        <f t="shared" si="15"/>
        <v>130279559</v>
      </c>
      <c r="C471" s="2">
        <f>E198</f>
        <v>130279559.69</v>
      </c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  <c r="AI471" s="2"/>
      <c r="AJ471" s="2"/>
      <c r="AK471" s="2"/>
      <c r="AL471" s="2"/>
      <c r="AM471" s="2"/>
      <c r="AN471" s="2"/>
      <c r="AO471" s="2"/>
      <c r="AP471" s="2"/>
      <c r="AQ471" s="2"/>
      <c r="AR471" s="2"/>
      <c r="AS471" s="2"/>
      <c r="AT471" s="2"/>
      <c r="AU471" s="2"/>
      <c r="AV471" s="2"/>
      <c r="AW471" s="2"/>
      <c r="AX471" s="2"/>
      <c r="AY471" s="2"/>
      <c r="AZ471" s="2"/>
      <c r="BA471" s="2"/>
      <c r="BB471" s="2"/>
      <c r="BC471" s="2"/>
      <c r="BD471" s="2"/>
      <c r="BE471" s="2"/>
      <c r="BF471" s="2"/>
      <c r="BG471" s="2"/>
      <c r="BH471" s="2"/>
      <c r="BI471" s="2"/>
      <c r="BJ471" s="2"/>
      <c r="BK471" s="2"/>
      <c r="BL471" s="2"/>
      <c r="BM471" s="2"/>
      <c r="BN471" s="2"/>
      <c r="BO471" s="2"/>
      <c r="BP471" s="2"/>
      <c r="BQ471" s="2"/>
      <c r="BR471" s="2"/>
      <c r="BS471" s="2"/>
      <c r="BT471" s="2"/>
      <c r="BU471" s="2"/>
      <c r="BV471" s="2"/>
      <c r="BW471" s="2"/>
      <c r="BX471" s="2"/>
      <c r="BY471" s="2"/>
      <c r="BZ471" s="2"/>
      <c r="CA471" s="2"/>
      <c r="CB471" s="2"/>
      <c r="CC471" s="2"/>
      <c r="CD471" s="2"/>
      <c r="CE471" s="2"/>
      <c r="CF471" s="2"/>
    </row>
    <row r="472" spans="1:84" ht="12.65" customHeight="1" x14ac:dyDescent="0.35">
      <c r="A472" s="2" t="s">
        <v>377</v>
      </c>
      <c r="B472" s="2">
        <f t="shared" si="15"/>
        <v>23123</v>
      </c>
      <c r="C472" s="2">
        <f>E199</f>
        <v>23123.039999999997</v>
      </c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"/>
      <c r="AI472" s="2"/>
      <c r="AJ472" s="2"/>
      <c r="AK472" s="2"/>
      <c r="AL472" s="2"/>
      <c r="AM472" s="2"/>
      <c r="AN472" s="2"/>
      <c r="AO472" s="2"/>
      <c r="AP472" s="2"/>
      <c r="AQ472" s="2"/>
      <c r="AR472" s="2"/>
      <c r="AS472" s="2"/>
      <c r="AT472" s="2"/>
      <c r="AU472" s="2"/>
      <c r="AV472" s="2"/>
      <c r="AW472" s="2"/>
      <c r="AX472" s="2"/>
      <c r="AY472" s="2"/>
      <c r="AZ472" s="2"/>
      <c r="BA472" s="2"/>
      <c r="BB472" s="2"/>
      <c r="BC472" s="2"/>
      <c r="BD472" s="2"/>
      <c r="BE472" s="2"/>
      <c r="BF472" s="2"/>
      <c r="BG472" s="2"/>
      <c r="BH472" s="2"/>
      <c r="BI472" s="2"/>
      <c r="BJ472" s="2"/>
      <c r="BK472" s="2"/>
      <c r="BL472" s="2"/>
      <c r="BM472" s="2"/>
      <c r="BN472" s="2"/>
      <c r="BO472" s="2"/>
      <c r="BP472" s="2"/>
      <c r="BQ472" s="2"/>
      <c r="BR472" s="2"/>
      <c r="BS472" s="2"/>
      <c r="BT472" s="2"/>
      <c r="BU472" s="2"/>
      <c r="BV472" s="2"/>
      <c r="BW472" s="2"/>
      <c r="BX472" s="2"/>
      <c r="BY472" s="2"/>
      <c r="BZ472" s="2"/>
      <c r="CA472" s="2"/>
      <c r="CB472" s="2"/>
      <c r="CC472" s="2"/>
      <c r="CD472" s="2"/>
      <c r="CE472" s="2"/>
      <c r="CF472" s="2"/>
    </row>
    <row r="473" spans="1:84" ht="12.65" customHeight="1" x14ac:dyDescent="0.35">
      <c r="A473" s="2" t="s">
        <v>495</v>
      </c>
      <c r="B473" s="2">
        <f t="shared" si="15"/>
        <v>301103323</v>
      </c>
      <c r="C473" s="2">
        <f>SUM(E200:E201)</f>
        <v>301103323.37</v>
      </c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  <c r="AI473" s="2"/>
      <c r="AJ473" s="2"/>
      <c r="AK473" s="2"/>
      <c r="AL473" s="2"/>
      <c r="AM473" s="2"/>
      <c r="AN473" s="2"/>
      <c r="AO473" s="2"/>
      <c r="AP473" s="2"/>
      <c r="AQ473" s="2"/>
      <c r="AR473" s="2"/>
      <c r="AS473" s="2"/>
      <c r="AT473" s="2"/>
      <c r="AU473" s="2"/>
      <c r="AV473" s="2"/>
      <c r="AW473" s="2"/>
      <c r="AX473" s="2"/>
      <c r="AY473" s="2"/>
      <c r="AZ473" s="2"/>
      <c r="BA473" s="2"/>
      <c r="BB473" s="2"/>
      <c r="BC473" s="2"/>
      <c r="BD473" s="2"/>
      <c r="BE473" s="2"/>
      <c r="BF473" s="2"/>
      <c r="BG473" s="2"/>
      <c r="BH473" s="2"/>
      <c r="BI473" s="2"/>
      <c r="BJ473" s="2"/>
      <c r="BK473" s="2"/>
      <c r="BL473" s="2"/>
      <c r="BM473" s="2"/>
      <c r="BN473" s="2"/>
      <c r="BO473" s="2"/>
      <c r="BP473" s="2"/>
      <c r="BQ473" s="2"/>
      <c r="BR473" s="2"/>
      <c r="BS473" s="2"/>
      <c r="BT473" s="2"/>
      <c r="BU473" s="2"/>
      <c r="BV473" s="2"/>
      <c r="BW473" s="2"/>
      <c r="BX473" s="2"/>
      <c r="BY473" s="2"/>
      <c r="BZ473" s="2"/>
      <c r="CA473" s="2"/>
      <c r="CB473" s="2"/>
      <c r="CC473" s="2"/>
      <c r="CD473" s="2"/>
      <c r="CE473" s="2"/>
      <c r="CF473" s="2"/>
    </row>
    <row r="474" spans="1:84" ht="12.65" customHeight="1" x14ac:dyDescent="0.35">
      <c r="A474" s="2" t="s">
        <v>339</v>
      </c>
      <c r="B474" s="2">
        <f t="shared" si="15"/>
        <v>39940622</v>
      </c>
      <c r="C474" s="2">
        <f>E202</f>
        <v>39940621.789999999</v>
      </c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  <c r="AI474" s="2"/>
      <c r="AJ474" s="2"/>
      <c r="AK474" s="2"/>
      <c r="AL474" s="2"/>
      <c r="AM474" s="2"/>
      <c r="AN474" s="2"/>
      <c r="AO474" s="2"/>
      <c r="AP474" s="2"/>
      <c r="AQ474" s="2"/>
      <c r="AR474" s="2"/>
      <c r="AS474" s="2"/>
      <c r="AT474" s="2"/>
      <c r="AU474" s="2"/>
      <c r="AV474" s="2"/>
      <c r="AW474" s="2"/>
      <c r="AX474" s="2"/>
      <c r="AY474" s="2"/>
      <c r="AZ474" s="2"/>
      <c r="BA474" s="2"/>
      <c r="BB474" s="2"/>
      <c r="BC474" s="2"/>
      <c r="BD474" s="2"/>
      <c r="BE474" s="2"/>
      <c r="BF474" s="2"/>
      <c r="BG474" s="2"/>
      <c r="BH474" s="2"/>
      <c r="BI474" s="2"/>
      <c r="BJ474" s="2"/>
      <c r="BK474" s="2"/>
      <c r="BL474" s="2"/>
      <c r="BM474" s="2"/>
      <c r="BN474" s="2"/>
      <c r="BO474" s="2"/>
      <c r="BP474" s="2"/>
      <c r="BQ474" s="2"/>
      <c r="BR474" s="2"/>
      <c r="BS474" s="2"/>
      <c r="BT474" s="2"/>
      <c r="BU474" s="2"/>
      <c r="BV474" s="2"/>
      <c r="BW474" s="2"/>
      <c r="BX474" s="2"/>
      <c r="BY474" s="2"/>
      <c r="BZ474" s="2"/>
      <c r="CA474" s="2"/>
      <c r="CB474" s="2"/>
      <c r="CC474" s="2"/>
      <c r="CD474" s="2"/>
      <c r="CE474" s="2"/>
      <c r="CF474" s="2"/>
    </row>
    <row r="475" spans="1:84" ht="12.65" customHeight="1" x14ac:dyDescent="0.35">
      <c r="A475" s="2" t="s">
        <v>340</v>
      </c>
      <c r="B475" s="2">
        <f t="shared" si="15"/>
        <v>24573853</v>
      </c>
      <c r="C475" s="2">
        <f>E203</f>
        <v>24573852.709999997</v>
      </c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  <c r="AI475" s="2"/>
      <c r="AJ475" s="2"/>
      <c r="AK475" s="2"/>
      <c r="AL475" s="2"/>
      <c r="AM475" s="2"/>
      <c r="AN475" s="2"/>
      <c r="AO475" s="2"/>
      <c r="AP475" s="2"/>
      <c r="AQ475" s="2"/>
      <c r="AR475" s="2"/>
      <c r="AS475" s="2"/>
      <c r="AT475" s="2"/>
      <c r="AU475" s="2"/>
      <c r="AV475" s="2"/>
      <c r="AW475" s="2"/>
      <c r="AX475" s="2"/>
      <c r="AY475" s="2"/>
      <c r="AZ475" s="2"/>
      <c r="BA475" s="2"/>
      <c r="BB475" s="2"/>
      <c r="BC475" s="2"/>
      <c r="BD475" s="2"/>
      <c r="BE475" s="2"/>
      <c r="BF475" s="2"/>
      <c r="BG475" s="2"/>
      <c r="BH475" s="2"/>
      <c r="BI475" s="2"/>
      <c r="BJ475" s="2"/>
      <c r="BK475" s="2"/>
      <c r="BL475" s="2"/>
      <c r="BM475" s="2"/>
      <c r="BN475" s="2"/>
      <c r="BO475" s="2"/>
      <c r="BP475" s="2"/>
      <c r="BQ475" s="2"/>
      <c r="BR475" s="2"/>
      <c r="BS475" s="2"/>
      <c r="BT475" s="2"/>
      <c r="BU475" s="2"/>
      <c r="BV475" s="2"/>
      <c r="BW475" s="2"/>
      <c r="BX475" s="2"/>
      <c r="BY475" s="2"/>
      <c r="BZ475" s="2"/>
      <c r="CA475" s="2"/>
      <c r="CB475" s="2"/>
      <c r="CC475" s="2"/>
      <c r="CD475" s="2"/>
      <c r="CE475" s="2"/>
      <c r="CF475" s="2"/>
    </row>
    <row r="476" spans="1:84" ht="12.65" customHeight="1" x14ac:dyDescent="0.35">
      <c r="A476" s="2" t="s">
        <v>203</v>
      </c>
      <c r="B476" s="2">
        <f>D275</f>
        <v>854334409</v>
      </c>
      <c r="C476" s="2">
        <f>E204</f>
        <v>854334409.24000001</v>
      </c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  <c r="AH476" s="2"/>
      <c r="AI476" s="2"/>
      <c r="AJ476" s="2"/>
      <c r="AK476" s="2"/>
      <c r="AL476" s="2"/>
      <c r="AM476" s="2"/>
      <c r="AN476" s="2"/>
      <c r="AO476" s="2"/>
      <c r="AP476" s="2"/>
      <c r="AQ476" s="2"/>
      <c r="AR476" s="2"/>
      <c r="AS476" s="2"/>
      <c r="AT476" s="2"/>
      <c r="AU476" s="2"/>
      <c r="AV476" s="2"/>
      <c r="AW476" s="2"/>
      <c r="AX476" s="2"/>
      <c r="AY476" s="2"/>
      <c r="AZ476" s="2"/>
      <c r="BA476" s="2"/>
      <c r="BB476" s="2"/>
      <c r="BC476" s="2"/>
      <c r="BD476" s="2"/>
      <c r="BE476" s="2"/>
      <c r="BF476" s="2"/>
      <c r="BG476" s="2"/>
      <c r="BH476" s="2"/>
      <c r="BI476" s="2"/>
      <c r="BJ476" s="2"/>
      <c r="BK476" s="2"/>
      <c r="BL476" s="2"/>
      <c r="BM476" s="2"/>
      <c r="BN476" s="2"/>
      <c r="BO476" s="2"/>
      <c r="BP476" s="2"/>
      <c r="BQ476" s="2"/>
      <c r="BR476" s="2"/>
      <c r="BS476" s="2"/>
      <c r="BT476" s="2"/>
      <c r="BU476" s="2"/>
      <c r="BV476" s="2"/>
      <c r="BW476" s="2"/>
      <c r="BX476" s="2"/>
      <c r="BY476" s="2"/>
      <c r="BZ476" s="2"/>
      <c r="CA476" s="2"/>
      <c r="CB476" s="2"/>
      <c r="CC476" s="2"/>
      <c r="CD476" s="2"/>
      <c r="CE476" s="2"/>
      <c r="CF476" s="2"/>
    </row>
    <row r="477" spans="1:84" ht="12.65" customHeight="1" x14ac:dyDescent="0.3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  <c r="AH477" s="2"/>
      <c r="AI477" s="2"/>
      <c r="AJ477" s="2"/>
      <c r="AK477" s="2"/>
      <c r="AL477" s="2"/>
      <c r="AM477" s="2"/>
      <c r="AN477" s="2"/>
      <c r="AO477" s="2"/>
      <c r="AP477" s="2"/>
      <c r="AQ477" s="2"/>
      <c r="AR477" s="2"/>
      <c r="AS477" s="2"/>
      <c r="AT477" s="2"/>
      <c r="AU477" s="2"/>
      <c r="AV477" s="2"/>
      <c r="AW477" s="2"/>
      <c r="AX477" s="2"/>
      <c r="AY477" s="2"/>
      <c r="AZ477" s="2"/>
      <c r="BA477" s="2"/>
      <c r="BB477" s="2"/>
      <c r="BC477" s="2"/>
      <c r="BD477" s="2"/>
      <c r="BE477" s="2"/>
      <c r="BF477" s="2"/>
      <c r="BG477" s="2"/>
      <c r="BH477" s="2"/>
      <c r="BI477" s="2"/>
      <c r="BJ477" s="2"/>
      <c r="BK477" s="2"/>
      <c r="BL477" s="2"/>
      <c r="BM477" s="2"/>
      <c r="BN477" s="2"/>
      <c r="BO477" s="2"/>
      <c r="BP477" s="2"/>
      <c r="BQ477" s="2"/>
      <c r="BR477" s="2"/>
      <c r="BS477" s="2"/>
      <c r="BT477" s="2"/>
      <c r="BU477" s="2"/>
      <c r="BV477" s="2"/>
      <c r="BW477" s="2"/>
      <c r="BX477" s="2"/>
      <c r="BY477" s="2"/>
      <c r="BZ477" s="2"/>
      <c r="CA477" s="2"/>
      <c r="CB477" s="2"/>
      <c r="CC477" s="2"/>
      <c r="CD477" s="2"/>
      <c r="CE477" s="2"/>
      <c r="CF477" s="2"/>
    </row>
    <row r="478" spans="1:84" ht="12.65" customHeight="1" x14ac:dyDescent="0.35">
      <c r="A478" s="2" t="s">
        <v>496</v>
      </c>
      <c r="B478" s="2">
        <f>C276</f>
        <v>544177205</v>
      </c>
      <c r="C478" s="2">
        <f>E217</f>
        <v>544177204.50999999</v>
      </c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  <c r="AI478" s="2"/>
      <c r="AJ478" s="2"/>
      <c r="AK478" s="2"/>
      <c r="AL478" s="2"/>
      <c r="AM478" s="2"/>
      <c r="AN478" s="2"/>
      <c r="AO478" s="2"/>
      <c r="AP478" s="2"/>
      <c r="AQ478" s="2"/>
      <c r="AR478" s="2"/>
      <c r="AS478" s="2"/>
      <c r="AT478" s="2"/>
      <c r="AU478" s="2"/>
      <c r="AV478" s="2"/>
      <c r="AW478" s="2"/>
      <c r="AX478" s="2"/>
      <c r="AY478" s="2"/>
      <c r="AZ478" s="2"/>
      <c r="BA478" s="2"/>
      <c r="BB478" s="2"/>
      <c r="BC478" s="2"/>
      <c r="BD478" s="2"/>
      <c r="BE478" s="2"/>
      <c r="BF478" s="2"/>
      <c r="BG478" s="2"/>
      <c r="BH478" s="2"/>
      <c r="BI478" s="2"/>
      <c r="BJ478" s="2"/>
      <c r="BK478" s="2"/>
      <c r="BL478" s="2"/>
      <c r="BM478" s="2"/>
      <c r="BN478" s="2"/>
      <c r="BO478" s="2"/>
      <c r="BP478" s="2"/>
      <c r="BQ478" s="2"/>
      <c r="BR478" s="2"/>
      <c r="BS478" s="2"/>
      <c r="BT478" s="2"/>
      <c r="BU478" s="2"/>
      <c r="BV478" s="2"/>
      <c r="BW478" s="2"/>
      <c r="BX478" s="2"/>
      <c r="BY478" s="2"/>
      <c r="BZ478" s="2"/>
      <c r="CA478" s="2"/>
      <c r="CB478" s="2"/>
      <c r="CC478" s="2"/>
      <c r="CD478" s="2"/>
      <c r="CE478" s="2"/>
      <c r="CF478" s="2"/>
    </row>
    <row r="479" spans="1:84" ht="12.65" customHeight="1" x14ac:dyDescent="0.3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  <c r="AI479" s="2"/>
      <c r="AJ479" s="2"/>
      <c r="AK479" s="2"/>
      <c r="AL479" s="2"/>
      <c r="AM479" s="2"/>
      <c r="AN479" s="2"/>
      <c r="AO479" s="2"/>
      <c r="AP479" s="2"/>
      <c r="AQ479" s="2"/>
      <c r="AR479" s="2"/>
      <c r="AS479" s="2"/>
      <c r="AT479" s="2"/>
      <c r="AU479" s="2"/>
      <c r="AV479" s="2"/>
      <c r="AW479" s="2"/>
      <c r="AX479" s="2"/>
      <c r="AY479" s="2"/>
      <c r="AZ479" s="2"/>
      <c r="BA479" s="2"/>
      <c r="BB479" s="2"/>
      <c r="BC479" s="2"/>
      <c r="BD479" s="2"/>
      <c r="BE479" s="2"/>
      <c r="BF479" s="2"/>
      <c r="BG479" s="2"/>
      <c r="BH479" s="2"/>
      <c r="BI479" s="2"/>
      <c r="BJ479" s="2"/>
      <c r="BK479" s="2"/>
      <c r="BL479" s="2"/>
      <c r="BM479" s="2"/>
      <c r="BN479" s="2"/>
      <c r="BO479" s="2"/>
      <c r="BP479" s="2"/>
      <c r="BQ479" s="2"/>
      <c r="BR479" s="2"/>
      <c r="BS479" s="2"/>
      <c r="BT479" s="2"/>
      <c r="BU479" s="2"/>
      <c r="BV479" s="2"/>
      <c r="BW479" s="2"/>
      <c r="BX479" s="2"/>
      <c r="BY479" s="2"/>
      <c r="BZ479" s="2"/>
      <c r="CA479" s="2"/>
      <c r="CB479" s="2"/>
      <c r="CC479" s="2"/>
      <c r="CD479" s="2"/>
      <c r="CE479" s="2"/>
      <c r="CF479" s="2"/>
    </row>
    <row r="480" spans="1:84" ht="12.65" customHeight="1" x14ac:dyDescent="0.35">
      <c r="A480" s="2" t="s">
        <v>497</v>
      </c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  <c r="AI480" s="2"/>
      <c r="AJ480" s="2"/>
      <c r="AK480" s="2"/>
      <c r="AL480" s="2"/>
      <c r="AM480" s="2"/>
      <c r="AN480" s="2"/>
      <c r="AO480" s="2"/>
      <c r="AP480" s="2"/>
      <c r="AQ480" s="2"/>
      <c r="AR480" s="2"/>
      <c r="AS480" s="2"/>
      <c r="AT480" s="2"/>
      <c r="AU480" s="2"/>
      <c r="AV480" s="2"/>
      <c r="AW480" s="2"/>
      <c r="AX480" s="2"/>
      <c r="AY480" s="2"/>
      <c r="AZ480" s="2"/>
      <c r="BA480" s="2"/>
      <c r="BB480" s="2"/>
      <c r="BC480" s="2"/>
      <c r="BD480" s="2"/>
      <c r="BE480" s="2"/>
      <c r="BF480" s="2"/>
      <c r="BG480" s="2"/>
      <c r="BH480" s="2"/>
      <c r="BI480" s="2"/>
      <c r="BJ480" s="2"/>
      <c r="BK480" s="2"/>
      <c r="BL480" s="2"/>
      <c r="BM480" s="2"/>
      <c r="BN480" s="2"/>
      <c r="BO480" s="2"/>
      <c r="BP480" s="2"/>
      <c r="BQ480" s="2"/>
      <c r="BR480" s="2"/>
      <c r="BS480" s="2"/>
      <c r="BT480" s="2"/>
      <c r="BU480" s="2"/>
      <c r="BV480" s="2"/>
      <c r="BW480" s="2"/>
      <c r="BX480" s="2"/>
      <c r="BY480" s="2"/>
      <c r="BZ480" s="2"/>
      <c r="CA480" s="2"/>
      <c r="CB480" s="2"/>
      <c r="CC480" s="2"/>
      <c r="CD480" s="2"/>
      <c r="CE480" s="2"/>
      <c r="CF480" s="2"/>
    </row>
    <row r="481" spans="1:84" ht="12.65" customHeight="1" x14ac:dyDescent="0.35">
      <c r="A481" s="2" t="s">
        <v>498</v>
      </c>
      <c r="B481" s="2"/>
      <c r="C481" s="2">
        <f>D341</f>
        <v>861970682</v>
      </c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"/>
      <c r="AI481" s="2"/>
      <c r="AJ481" s="2"/>
      <c r="AK481" s="2"/>
      <c r="AL481" s="2"/>
      <c r="AM481" s="2"/>
      <c r="AN481" s="2"/>
      <c r="AO481" s="2"/>
      <c r="AP481" s="2"/>
      <c r="AQ481" s="2"/>
      <c r="AR481" s="2"/>
      <c r="AS481" s="2"/>
      <c r="AT481" s="2"/>
      <c r="AU481" s="2"/>
      <c r="AV481" s="2"/>
      <c r="AW481" s="2"/>
      <c r="AX481" s="2"/>
      <c r="AY481" s="2"/>
      <c r="AZ481" s="2"/>
      <c r="BA481" s="2"/>
      <c r="BB481" s="2"/>
      <c r="BC481" s="2"/>
      <c r="BD481" s="2"/>
      <c r="BE481" s="2"/>
      <c r="BF481" s="2"/>
      <c r="BG481" s="2"/>
      <c r="BH481" s="2"/>
      <c r="BI481" s="2"/>
      <c r="BJ481" s="2"/>
      <c r="BK481" s="2"/>
      <c r="BL481" s="2"/>
      <c r="BM481" s="2"/>
      <c r="BN481" s="2"/>
      <c r="BO481" s="2"/>
      <c r="BP481" s="2"/>
      <c r="BQ481" s="2"/>
      <c r="BR481" s="2"/>
      <c r="BS481" s="2"/>
      <c r="BT481" s="2"/>
      <c r="BU481" s="2"/>
      <c r="BV481" s="2"/>
      <c r="BW481" s="2"/>
      <c r="BX481" s="2"/>
      <c r="BY481" s="2"/>
      <c r="BZ481" s="2"/>
      <c r="CA481" s="2"/>
      <c r="CB481" s="2"/>
      <c r="CC481" s="2"/>
      <c r="CD481" s="2"/>
      <c r="CE481" s="2"/>
      <c r="CF481" s="2"/>
    </row>
    <row r="482" spans="1:84" ht="12.65" customHeight="1" x14ac:dyDescent="0.35">
      <c r="A482" s="2" t="s">
        <v>499</v>
      </c>
      <c r="B482" s="2"/>
      <c r="C482" s="2">
        <f>D339</f>
        <v>861970682</v>
      </c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  <c r="AI482" s="2"/>
      <c r="AJ482" s="2"/>
      <c r="AK482" s="2"/>
      <c r="AL482" s="2"/>
      <c r="AM482" s="2"/>
      <c r="AN482" s="2"/>
      <c r="AO482" s="2"/>
      <c r="AP482" s="2"/>
      <c r="AQ482" s="2"/>
      <c r="AR482" s="2"/>
      <c r="AS482" s="2"/>
      <c r="AT482" s="2"/>
      <c r="AU482" s="2"/>
      <c r="AV482" s="2"/>
      <c r="AW482" s="2"/>
      <c r="AX482" s="2"/>
      <c r="AY482" s="2"/>
      <c r="AZ482" s="2"/>
      <c r="BA482" s="2"/>
      <c r="BB482" s="2"/>
      <c r="BC482" s="2"/>
      <c r="BD482" s="2"/>
      <c r="BE482" s="2"/>
      <c r="BF482" s="2"/>
      <c r="BG482" s="2"/>
      <c r="BH482" s="2"/>
      <c r="BI482" s="2"/>
      <c r="BJ482" s="2"/>
      <c r="BK482" s="2"/>
      <c r="BL482" s="2"/>
      <c r="BM482" s="2"/>
      <c r="BN482" s="2"/>
      <c r="BO482" s="2"/>
      <c r="BP482" s="2"/>
      <c r="BQ482" s="2"/>
      <c r="BR482" s="2"/>
      <c r="BS482" s="2"/>
      <c r="BT482" s="2"/>
      <c r="BU482" s="2"/>
      <c r="BV482" s="2"/>
      <c r="BW482" s="2"/>
      <c r="BX482" s="2"/>
      <c r="BY482" s="2"/>
      <c r="BZ482" s="2"/>
      <c r="CA482" s="2"/>
      <c r="CB482" s="2"/>
      <c r="CC482" s="2"/>
      <c r="CD482" s="2"/>
      <c r="CE482" s="2"/>
      <c r="CF482" s="2"/>
    </row>
    <row r="483" spans="1:84" ht="12.65" customHeight="1" x14ac:dyDescent="0.3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  <c r="AI483" s="2"/>
      <c r="AJ483" s="2"/>
      <c r="AK483" s="2"/>
      <c r="AL483" s="2"/>
      <c r="AM483" s="2"/>
      <c r="AN483" s="2"/>
      <c r="AO483" s="2"/>
      <c r="AP483" s="2"/>
      <c r="AQ483" s="2"/>
      <c r="AR483" s="2"/>
      <c r="AS483" s="2"/>
      <c r="AT483" s="2"/>
      <c r="AU483" s="2"/>
      <c r="AV483" s="2"/>
      <c r="AW483" s="2"/>
      <c r="AX483" s="2"/>
      <c r="AY483" s="2"/>
      <c r="AZ483" s="2"/>
      <c r="BA483" s="2"/>
      <c r="BB483" s="2"/>
      <c r="BC483" s="2"/>
      <c r="BD483" s="2"/>
      <c r="BE483" s="2"/>
      <c r="BF483" s="2"/>
      <c r="BG483" s="2"/>
      <c r="BH483" s="2"/>
      <c r="BI483" s="2"/>
      <c r="BJ483" s="2"/>
      <c r="BK483" s="2"/>
      <c r="BL483" s="2"/>
      <c r="BM483" s="2"/>
      <c r="BN483" s="2"/>
      <c r="BO483" s="2"/>
      <c r="BP483" s="2"/>
      <c r="BQ483" s="2"/>
      <c r="BR483" s="2"/>
      <c r="BS483" s="2"/>
      <c r="BT483" s="2"/>
      <c r="BU483" s="2"/>
      <c r="BV483" s="2"/>
      <c r="BW483" s="2"/>
      <c r="BX483" s="2"/>
      <c r="BY483" s="2"/>
      <c r="BZ483" s="2"/>
      <c r="CA483" s="2"/>
      <c r="CB483" s="2"/>
      <c r="CC483" s="2"/>
      <c r="CD483" s="2"/>
      <c r="CE483" s="2"/>
      <c r="CF483" s="2"/>
    </row>
    <row r="484" spans="1:84" ht="12.65" customHeight="1" x14ac:dyDescent="0.3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  <c r="AI484" s="2"/>
      <c r="AJ484" s="2"/>
      <c r="AK484" s="2"/>
      <c r="AL484" s="2"/>
      <c r="AM484" s="2"/>
      <c r="AN484" s="2"/>
      <c r="AO484" s="2"/>
      <c r="AP484" s="2"/>
      <c r="AQ484" s="2"/>
      <c r="AR484" s="2"/>
      <c r="AS484" s="2"/>
      <c r="AT484" s="2"/>
      <c r="AU484" s="2"/>
      <c r="AV484" s="2"/>
      <c r="AW484" s="2"/>
      <c r="AX484" s="2"/>
      <c r="AY484" s="2"/>
      <c r="AZ484" s="2"/>
      <c r="BA484" s="2"/>
      <c r="BB484" s="2"/>
      <c r="BC484" s="2"/>
      <c r="BD484" s="2"/>
      <c r="BE484" s="2"/>
      <c r="BF484" s="2"/>
      <c r="BG484" s="2"/>
      <c r="BH484" s="2"/>
      <c r="BI484" s="2"/>
      <c r="BJ484" s="2"/>
      <c r="BK484" s="2"/>
      <c r="BL484" s="2"/>
      <c r="BM484" s="2"/>
      <c r="BN484" s="2"/>
      <c r="BO484" s="2"/>
      <c r="BP484" s="2"/>
      <c r="BQ484" s="2"/>
      <c r="BR484" s="2"/>
      <c r="BS484" s="2"/>
      <c r="BT484" s="2"/>
      <c r="BU484" s="2"/>
      <c r="BV484" s="2"/>
      <c r="BW484" s="2"/>
      <c r="BX484" s="2"/>
      <c r="BY484" s="2"/>
      <c r="BZ484" s="2"/>
      <c r="CA484" s="2"/>
      <c r="CB484" s="2"/>
      <c r="CC484" s="2"/>
      <c r="CD484" s="2"/>
      <c r="CE484" s="2"/>
      <c r="CF484" s="2"/>
    </row>
    <row r="485" spans="1:84" ht="12.65" customHeight="1" x14ac:dyDescent="0.35">
      <c r="A485" s="323" t="s">
        <v>500</v>
      </c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2"/>
      <c r="AP485" s="2"/>
      <c r="AQ485" s="2"/>
      <c r="AR485" s="2"/>
      <c r="AS485" s="2"/>
      <c r="AT485" s="2"/>
      <c r="AU485" s="2"/>
      <c r="AV485" s="2"/>
      <c r="AW485" s="2"/>
      <c r="AX485" s="2"/>
      <c r="AY485" s="2"/>
      <c r="AZ485" s="2"/>
      <c r="BA485" s="2"/>
      <c r="BB485" s="2"/>
      <c r="BC485" s="2"/>
      <c r="BD485" s="2"/>
      <c r="BE485" s="2"/>
      <c r="BF485" s="2"/>
      <c r="BG485" s="2"/>
      <c r="BH485" s="2"/>
      <c r="BI485" s="2"/>
      <c r="BJ485" s="2"/>
      <c r="BK485" s="2"/>
      <c r="BL485" s="2"/>
      <c r="BM485" s="2"/>
      <c r="BN485" s="2"/>
      <c r="BO485" s="2"/>
      <c r="BP485" s="2"/>
      <c r="BQ485" s="2"/>
      <c r="BR485" s="2"/>
      <c r="BS485" s="2"/>
      <c r="BT485" s="2"/>
      <c r="BU485" s="2"/>
      <c r="BV485" s="2"/>
      <c r="BW485" s="2"/>
      <c r="BX485" s="2"/>
      <c r="BY485" s="2"/>
      <c r="BZ485" s="2"/>
      <c r="CA485" s="2"/>
      <c r="CB485" s="2"/>
      <c r="CC485" s="2"/>
      <c r="CD485" s="2"/>
      <c r="CE485" s="2"/>
      <c r="CF485" s="2"/>
    </row>
    <row r="486" spans="1:84" ht="12.65" customHeight="1" x14ac:dyDescent="0.35">
      <c r="A486" s="323" t="s">
        <v>501</v>
      </c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  <c r="AM486" s="2"/>
      <c r="AN486" s="2"/>
      <c r="AO486" s="2"/>
      <c r="AP486" s="2"/>
      <c r="AQ486" s="2"/>
      <c r="AR486" s="2"/>
      <c r="AS486" s="2"/>
      <c r="AT486" s="2"/>
      <c r="AU486" s="2"/>
      <c r="AV486" s="2"/>
      <c r="AW486" s="2"/>
      <c r="AX486" s="2"/>
      <c r="AY486" s="2"/>
      <c r="AZ486" s="2"/>
      <c r="BA486" s="2"/>
      <c r="BB486" s="2"/>
      <c r="BC486" s="2"/>
      <c r="BD486" s="2"/>
      <c r="BE486" s="2"/>
      <c r="BF486" s="2"/>
      <c r="BG486" s="2"/>
      <c r="BH486" s="2"/>
      <c r="BI486" s="2"/>
      <c r="BJ486" s="2"/>
      <c r="BK486" s="2"/>
      <c r="BL486" s="2"/>
      <c r="BM486" s="2"/>
      <c r="BN486" s="2"/>
      <c r="BO486" s="2"/>
      <c r="BP486" s="2"/>
      <c r="BQ486" s="2"/>
      <c r="BR486" s="2"/>
      <c r="BS486" s="2"/>
      <c r="BT486" s="2"/>
      <c r="BU486" s="2"/>
      <c r="BV486" s="2"/>
      <c r="BW486" s="2"/>
      <c r="BX486" s="2"/>
      <c r="BY486" s="2"/>
      <c r="BZ486" s="2"/>
      <c r="CA486" s="2"/>
      <c r="CB486" s="2"/>
      <c r="CC486" s="2"/>
      <c r="CD486" s="2"/>
      <c r="CE486" s="2"/>
      <c r="CF486" s="2"/>
    </row>
    <row r="487" spans="1:84" ht="12.65" customHeight="1" x14ac:dyDescent="0.35">
      <c r="A487" s="323" t="s">
        <v>502</v>
      </c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L487" s="2"/>
      <c r="AM487" s="2"/>
      <c r="AN487" s="2"/>
      <c r="AO487" s="2"/>
      <c r="AP487" s="2"/>
      <c r="AQ487" s="2"/>
      <c r="AR487" s="2"/>
      <c r="AS487" s="2"/>
      <c r="AT487" s="2"/>
      <c r="AU487" s="2"/>
      <c r="AV487" s="2"/>
      <c r="AW487" s="2"/>
      <c r="AX487" s="2"/>
      <c r="AY487" s="2"/>
      <c r="AZ487" s="2"/>
      <c r="BA487" s="2"/>
      <c r="BB487" s="2"/>
      <c r="BC487" s="2"/>
      <c r="BD487" s="2"/>
      <c r="BE487" s="2"/>
      <c r="BF487" s="2"/>
      <c r="BG487" s="2"/>
      <c r="BH487" s="2"/>
      <c r="BI487" s="2"/>
      <c r="BJ487" s="2"/>
      <c r="BK487" s="2"/>
      <c r="BL487" s="2"/>
      <c r="BM487" s="2"/>
      <c r="BN487" s="2"/>
      <c r="BO487" s="2"/>
      <c r="BP487" s="2"/>
      <c r="BQ487" s="2"/>
      <c r="BR487" s="2"/>
      <c r="BS487" s="2"/>
      <c r="BT487" s="2"/>
      <c r="BU487" s="2"/>
      <c r="BV487" s="2"/>
      <c r="BW487" s="2"/>
      <c r="BX487" s="2"/>
      <c r="BY487" s="2"/>
      <c r="BZ487" s="2"/>
      <c r="CA487" s="2"/>
      <c r="CB487" s="2"/>
      <c r="CC487" s="2"/>
      <c r="CD487" s="2"/>
      <c r="CE487" s="2"/>
      <c r="CF487" s="2"/>
    </row>
    <row r="488" spans="1:84" ht="12.65" customHeight="1" x14ac:dyDescent="0.35">
      <c r="A488" s="323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  <c r="AN488" s="2"/>
      <c r="AO488" s="2"/>
      <c r="AP488" s="2"/>
      <c r="AQ488" s="2"/>
      <c r="AR488" s="2"/>
      <c r="AS488" s="2"/>
      <c r="AT488" s="2"/>
      <c r="AU488" s="2"/>
      <c r="AV488" s="2"/>
      <c r="AW488" s="2"/>
      <c r="AX488" s="2"/>
      <c r="AY488" s="2"/>
      <c r="AZ488" s="2"/>
      <c r="BA488" s="2"/>
      <c r="BB488" s="2"/>
      <c r="BC488" s="2"/>
      <c r="BD488" s="2"/>
      <c r="BE488" s="2"/>
      <c r="BF488" s="2"/>
      <c r="BG488" s="2"/>
      <c r="BH488" s="2"/>
      <c r="BI488" s="2"/>
      <c r="BJ488" s="2"/>
      <c r="BK488" s="2"/>
      <c r="BL488" s="2"/>
      <c r="BM488" s="2"/>
      <c r="BN488" s="2"/>
      <c r="BO488" s="2"/>
      <c r="BP488" s="2"/>
      <c r="BQ488" s="2"/>
      <c r="BR488" s="2"/>
      <c r="BS488" s="2"/>
      <c r="BT488" s="2"/>
      <c r="BU488" s="2"/>
      <c r="BV488" s="2"/>
      <c r="BW488" s="2"/>
      <c r="BX488" s="2"/>
      <c r="BY488" s="2"/>
      <c r="BZ488" s="2"/>
      <c r="CA488" s="2"/>
      <c r="CB488" s="2"/>
      <c r="CC488" s="2"/>
      <c r="CD488" s="2"/>
      <c r="CE488" s="2"/>
      <c r="CF488" s="2"/>
    </row>
    <row r="489" spans="1:84" ht="12.65" customHeight="1" x14ac:dyDescent="0.35">
      <c r="A489" s="332" t="s">
        <v>503</v>
      </c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  <c r="AN489" s="2"/>
      <c r="AO489" s="2"/>
      <c r="AP489" s="2"/>
      <c r="AQ489" s="2"/>
      <c r="AR489" s="2"/>
      <c r="AS489" s="2"/>
      <c r="AT489" s="2"/>
      <c r="AU489" s="2"/>
      <c r="AV489" s="2"/>
      <c r="AW489" s="2"/>
      <c r="AX489" s="2"/>
      <c r="AY489" s="2"/>
      <c r="AZ489" s="2"/>
      <c r="BA489" s="2"/>
      <c r="BB489" s="2"/>
      <c r="BC489" s="2"/>
      <c r="BD489" s="2"/>
      <c r="BE489" s="2"/>
      <c r="BF489" s="2"/>
      <c r="BG489" s="2"/>
      <c r="BH489" s="2"/>
      <c r="BI489" s="2"/>
      <c r="BJ489" s="2"/>
      <c r="BK489" s="2"/>
      <c r="BL489" s="2"/>
      <c r="BM489" s="2"/>
      <c r="BN489" s="2"/>
      <c r="BO489" s="2"/>
      <c r="BP489" s="2"/>
      <c r="BQ489" s="2"/>
      <c r="BR489" s="2"/>
      <c r="BS489" s="2"/>
      <c r="BT489" s="2"/>
      <c r="BU489" s="2"/>
      <c r="BV489" s="2"/>
      <c r="BW489" s="2"/>
      <c r="BX489" s="2"/>
      <c r="BY489" s="2"/>
      <c r="BZ489" s="2"/>
      <c r="CA489" s="2"/>
      <c r="CB489" s="2"/>
      <c r="CC489" s="2"/>
      <c r="CD489" s="2"/>
      <c r="CE489" s="2"/>
      <c r="CF489" s="2"/>
    </row>
    <row r="490" spans="1:84" ht="12.65" customHeight="1" x14ac:dyDescent="0.35">
      <c r="A490" s="323" t="s">
        <v>504</v>
      </c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  <c r="AL490" s="2"/>
      <c r="AM490" s="2"/>
      <c r="AN490" s="2"/>
      <c r="AO490" s="2"/>
      <c r="AP490" s="2"/>
      <c r="AQ490" s="2"/>
      <c r="AR490" s="2"/>
      <c r="AS490" s="2"/>
      <c r="AT490" s="2"/>
      <c r="AU490" s="2"/>
      <c r="AV490" s="2"/>
      <c r="AW490" s="2"/>
      <c r="AX490" s="2"/>
      <c r="AY490" s="2"/>
      <c r="AZ490" s="2"/>
      <c r="BA490" s="2"/>
      <c r="BB490" s="2"/>
      <c r="BC490" s="2"/>
      <c r="BD490" s="2"/>
      <c r="BE490" s="2"/>
      <c r="BF490" s="2"/>
      <c r="BG490" s="2"/>
      <c r="BH490" s="2"/>
      <c r="BI490" s="2"/>
      <c r="BJ490" s="2"/>
      <c r="BK490" s="2"/>
      <c r="BL490" s="2"/>
      <c r="BM490" s="2"/>
      <c r="BN490" s="2"/>
      <c r="BO490" s="2"/>
      <c r="BP490" s="2"/>
      <c r="BQ490" s="2"/>
      <c r="BR490" s="2"/>
      <c r="BS490" s="2"/>
      <c r="BT490" s="2"/>
      <c r="BU490" s="2"/>
      <c r="BV490" s="2"/>
      <c r="BW490" s="2"/>
      <c r="BX490" s="2"/>
      <c r="BY490" s="2"/>
      <c r="BZ490" s="2"/>
      <c r="CA490" s="2"/>
      <c r="CB490" s="2"/>
      <c r="CC490" s="2"/>
      <c r="CD490" s="2"/>
      <c r="CE490" s="2"/>
      <c r="CF490" s="2"/>
    </row>
    <row r="491" spans="1:84" ht="12.65" customHeight="1" x14ac:dyDescent="0.35">
      <c r="A491" s="323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  <c r="AL491" s="2"/>
      <c r="AM491" s="2"/>
      <c r="AN491" s="2"/>
      <c r="AO491" s="2"/>
      <c r="AP491" s="2"/>
      <c r="AQ491" s="2"/>
      <c r="AR491" s="2"/>
      <c r="AS491" s="2"/>
      <c r="AT491" s="2"/>
      <c r="AU491" s="2"/>
      <c r="AV491" s="2"/>
      <c r="AW491" s="2"/>
      <c r="AX491" s="2"/>
      <c r="AY491" s="2"/>
      <c r="AZ491" s="2"/>
      <c r="BA491" s="2"/>
      <c r="BB491" s="2"/>
      <c r="BC491" s="2"/>
      <c r="BD491" s="2"/>
      <c r="BE491" s="2"/>
      <c r="BF491" s="2"/>
      <c r="BG491" s="2"/>
      <c r="BH491" s="2"/>
      <c r="BI491" s="2"/>
      <c r="BJ491" s="2"/>
      <c r="BK491" s="2"/>
      <c r="BL491" s="2"/>
      <c r="BM491" s="2"/>
      <c r="BN491" s="2"/>
      <c r="BO491" s="2"/>
      <c r="BP491" s="2"/>
      <c r="BQ491" s="2"/>
      <c r="BR491" s="2"/>
      <c r="BS491" s="2"/>
      <c r="BT491" s="2"/>
      <c r="BU491" s="2"/>
      <c r="BV491" s="2"/>
      <c r="BW491" s="2"/>
      <c r="BX491" s="2"/>
      <c r="BY491" s="2"/>
      <c r="BZ491" s="2"/>
      <c r="CA491" s="2"/>
      <c r="CB491" s="2"/>
      <c r="CC491" s="2"/>
      <c r="CD491" s="2"/>
      <c r="CE491" s="2"/>
      <c r="CF491" s="2"/>
    </row>
    <row r="492" spans="1:84" ht="12.65" customHeight="1" x14ac:dyDescent="0.3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  <c r="AI492" s="2"/>
      <c r="AJ492" s="2"/>
      <c r="AK492" s="2"/>
      <c r="AL492" s="2"/>
      <c r="AM492" s="2"/>
      <c r="AN492" s="2"/>
      <c r="AO492" s="2"/>
      <c r="AP492" s="2"/>
      <c r="AQ492" s="2"/>
      <c r="AR492" s="2"/>
      <c r="AS492" s="2"/>
      <c r="AT492" s="2"/>
      <c r="AU492" s="2"/>
      <c r="AV492" s="2"/>
      <c r="AW492" s="2"/>
      <c r="AX492" s="2"/>
      <c r="AY492" s="2"/>
      <c r="AZ492" s="2"/>
      <c r="BA492" s="2"/>
      <c r="BB492" s="2"/>
      <c r="BC492" s="2"/>
      <c r="BD492" s="2"/>
      <c r="BE492" s="2"/>
      <c r="BF492" s="2"/>
      <c r="BG492" s="2"/>
      <c r="BH492" s="2"/>
      <c r="BI492" s="2"/>
      <c r="BJ492" s="2"/>
      <c r="BK492" s="2"/>
      <c r="BL492" s="2"/>
      <c r="BM492" s="2"/>
      <c r="BN492" s="2"/>
      <c r="BO492" s="2"/>
      <c r="BP492" s="2"/>
      <c r="BQ492" s="2"/>
      <c r="BR492" s="2"/>
      <c r="BS492" s="2"/>
      <c r="BT492" s="2"/>
      <c r="BU492" s="2"/>
      <c r="BV492" s="2"/>
      <c r="BW492" s="2"/>
      <c r="BX492" s="2"/>
      <c r="BY492" s="2"/>
      <c r="BZ492" s="2"/>
      <c r="CA492" s="2"/>
      <c r="CB492" s="2"/>
      <c r="CC492" s="2"/>
      <c r="CD492" s="2"/>
      <c r="CE492" s="2"/>
      <c r="CF492" s="2"/>
    </row>
    <row r="493" spans="1:84" ht="12.65" customHeight="1" x14ac:dyDescent="0.35">
      <c r="A493" s="2" t="str">
        <f>C83</f>
        <v>164</v>
      </c>
      <c r="B493" s="333" t="e">
        <f>RIGHT(#REF!,4)</f>
        <v>#REF!</v>
      </c>
      <c r="C493" s="333" t="str">
        <f>RIGHT(C82,4)</f>
        <v>2020</v>
      </c>
      <c r="D493" s="333" t="e">
        <f>RIGHT(#REF!,4)</f>
        <v>#REF!</v>
      </c>
      <c r="E493" s="333" t="str">
        <f>RIGHT(C82,4)</f>
        <v>2020</v>
      </c>
      <c r="F493" s="333" t="e">
        <f>RIGHT(#REF!,4)</f>
        <v>#REF!</v>
      </c>
      <c r="G493" s="333" t="str">
        <f>RIGHT(C82,4)</f>
        <v>2020</v>
      </c>
      <c r="H493" s="333"/>
      <c r="I493" s="2"/>
      <c r="J493" s="2"/>
      <c r="K493" s="333"/>
      <c r="L493" s="333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  <c r="AH493" s="2"/>
      <c r="AI493" s="2"/>
      <c r="AJ493" s="2"/>
      <c r="AK493" s="2"/>
      <c r="AL493" s="2"/>
      <c r="AM493" s="2"/>
      <c r="AN493" s="2"/>
      <c r="AO493" s="2"/>
      <c r="AP493" s="2"/>
      <c r="AQ493" s="2"/>
      <c r="AR493" s="2"/>
      <c r="AS493" s="2"/>
      <c r="AT493" s="2"/>
      <c r="AU493" s="2"/>
      <c r="AV493" s="2"/>
      <c r="AW493" s="2"/>
      <c r="AX493" s="2"/>
      <c r="AY493" s="2"/>
      <c r="AZ493" s="2"/>
      <c r="BA493" s="2"/>
      <c r="BB493" s="2"/>
      <c r="BC493" s="2"/>
      <c r="BD493" s="2"/>
      <c r="BE493" s="2"/>
      <c r="BF493" s="2"/>
      <c r="BG493" s="2"/>
      <c r="BH493" s="2"/>
      <c r="BI493" s="2"/>
      <c r="BJ493" s="2"/>
      <c r="BK493" s="2"/>
      <c r="BL493" s="2"/>
      <c r="BM493" s="2"/>
      <c r="BN493" s="2"/>
      <c r="BO493" s="2"/>
      <c r="BP493" s="2"/>
      <c r="BQ493" s="2"/>
      <c r="BR493" s="2"/>
      <c r="BS493" s="2"/>
      <c r="BT493" s="2"/>
      <c r="BU493" s="2"/>
      <c r="BV493" s="2"/>
      <c r="BW493" s="2"/>
      <c r="BX493" s="2"/>
      <c r="BY493" s="2"/>
      <c r="BZ493" s="2"/>
      <c r="CA493" s="2"/>
      <c r="CB493" s="2"/>
      <c r="CC493" s="2"/>
      <c r="CD493" s="2"/>
      <c r="CE493" s="2"/>
      <c r="CF493" s="2"/>
    </row>
    <row r="494" spans="1:84" ht="12.65" customHeight="1" x14ac:dyDescent="0.35">
      <c r="A494" s="332"/>
      <c r="B494" s="329" t="s">
        <v>505</v>
      </c>
      <c r="C494" s="329" t="s">
        <v>505</v>
      </c>
      <c r="D494" s="334" t="s">
        <v>506</v>
      </c>
      <c r="E494" s="334" t="s">
        <v>506</v>
      </c>
      <c r="F494" s="333" t="s">
        <v>507</v>
      </c>
      <c r="G494" s="333" t="s">
        <v>507</v>
      </c>
      <c r="H494" s="333" t="s">
        <v>508</v>
      </c>
      <c r="I494" s="2"/>
      <c r="J494" s="2"/>
      <c r="K494" s="333"/>
      <c r="L494" s="333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  <c r="AH494" s="2"/>
      <c r="AI494" s="2"/>
      <c r="AJ494" s="2"/>
      <c r="AK494" s="2"/>
      <c r="AL494" s="2"/>
      <c r="AM494" s="2"/>
      <c r="AN494" s="2"/>
      <c r="AO494" s="2"/>
      <c r="AP494" s="2"/>
      <c r="AQ494" s="2"/>
      <c r="AR494" s="2"/>
      <c r="AS494" s="2"/>
      <c r="AT494" s="2"/>
      <c r="AU494" s="2"/>
      <c r="AV494" s="2"/>
      <c r="AW494" s="2"/>
      <c r="AX494" s="2"/>
      <c r="AY494" s="2"/>
      <c r="AZ494" s="2"/>
      <c r="BA494" s="2"/>
      <c r="BB494" s="2"/>
      <c r="BC494" s="2"/>
      <c r="BD494" s="2"/>
      <c r="BE494" s="2"/>
      <c r="BF494" s="2"/>
      <c r="BG494" s="2"/>
      <c r="BH494" s="2"/>
      <c r="BI494" s="2"/>
      <c r="BJ494" s="2"/>
      <c r="BK494" s="2"/>
      <c r="BL494" s="2"/>
      <c r="BM494" s="2"/>
      <c r="BN494" s="2"/>
      <c r="BO494" s="2"/>
      <c r="BP494" s="2"/>
      <c r="BQ494" s="2"/>
      <c r="BR494" s="2"/>
      <c r="BS494" s="2"/>
      <c r="BT494" s="2"/>
      <c r="BU494" s="2"/>
      <c r="BV494" s="2"/>
      <c r="BW494" s="2"/>
      <c r="BX494" s="2"/>
      <c r="BY494" s="2"/>
      <c r="BZ494" s="2"/>
      <c r="CA494" s="2"/>
      <c r="CB494" s="2"/>
      <c r="CC494" s="2"/>
      <c r="CD494" s="2"/>
      <c r="CE494" s="2"/>
      <c r="CF494" s="2"/>
    </row>
    <row r="495" spans="1:84" ht="12.65" customHeight="1" x14ac:dyDescent="0.35">
      <c r="A495" s="2"/>
      <c r="B495" s="329" t="s">
        <v>303</v>
      </c>
      <c r="C495" s="329" t="s">
        <v>303</v>
      </c>
      <c r="D495" s="329" t="s">
        <v>509</v>
      </c>
      <c r="E495" s="329" t="s">
        <v>509</v>
      </c>
      <c r="F495" s="333" t="s">
        <v>510</v>
      </c>
      <c r="G495" s="333" t="s">
        <v>510</v>
      </c>
      <c r="H495" s="333" t="s">
        <v>511</v>
      </c>
      <c r="I495" s="2"/>
      <c r="J495" s="2"/>
      <c r="K495" s="333"/>
      <c r="L495" s="333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"/>
      <c r="AI495" s="2"/>
      <c r="AJ495" s="2"/>
      <c r="AK495" s="2"/>
      <c r="AL495" s="2"/>
      <c r="AM495" s="2"/>
      <c r="AN495" s="2"/>
      <c r="AO495" s="2"/>
      <c r="AP495" s="2"/>
      <c r="AQ495" s="2"/>
      <c r="AR495" s="2"/>
      <c r="AS495" s="2"/>
      <c r="AT495" s="2"/>
      <c r="AU495" s="2"/>
      <c r="AV495" s="2"/>
      <c r="AW495" s="2"/>
      <c r="AX495" s="2"/>
      <c r="AY495" s="2"/>
      <c r="AZ495" s="2"/>
      <c r="BA495" s="2"/>
      <c r="BB495" s="2"/>
      <c r="BC495" s="2"/>
      <c r="BD495" s="2"/>
      <c r="BE495" s="2"/>
      <c r="BF495" s="2"/>
      <c r="BG495" s="2"/>
      <c r="BH495" s="2"/>
      <c r="BI495" s="2"/>
      <c r="BJ495" s="2"/>
      <c r="BK495" s="2"/>
      <c r="BL495" s="2"/>
      <c r="BM495" s="2"/>
      <c r="BN495" s="2"/>
      <c r="BO495" s="2"/>
      <c r="BP495" s="2"/>
      <c r="BQ495" s="2"/>
      <c r="BR495" s="2"/>
      <c r="BS495" s="2"/>
      <c r="BT495" s="2"/>
      <c r="BU495" s="2"/>
      <c r="BV495" s="2"/>
      <c r="BW495" s="2"/>
      <c r="BX495" s="2"/>
      <c r="BY495" s="2"/>
      <c r="BZ495" s="2"/>
      <c r="CA495" s="2"/>
      <c r="CB495" s="2"/>
      <c r="CC495" s="2"/>
      <c r="CD495" s="2"/>
      <c r="CE495" s="2"/>
      <c r="CF495" s="2"/>
    </row>
    <row r="496" spans="1:84" ht="12.65" customHeight="1" x14ac:dyDescent="0.35">
      <c r="A496" s="2" t="s">
        <v>512</v>
      </c>
      <c r="B496" s="335" t="e">
        <f>#REF!</f>
        <v>#REF!</v>
      </c>
      <c r="C496" s="335">
        <f>C71</f>
        <v>21552545.400000002</v>
      </c>
      <c r="D496" s="335" t="e">
        <f>#REF!</f>
        <v>#REF!</v>
      </c>
      <c r="E496" s="2">
        <f>C59</f>
        <v>4943.9799999999996</v>
      </c>
      <c r="F496" s="336" t="e">
        <f t="shared" ref="F496:G511" si="16">IF(B496=0,"",IF(D496=0,"",B496/D496))</f>
        <v>#REF!</v>
      </c>
      <c r="G496" s="336">
        <f t="shared" si="16"/>
        <v>4359.3512514209206</v>
      </c>
      <c r="H496" s="337" t="e">
        <f>IF(B496=0,"",IF(C496=0,"",IF(D496=0,"",IF(E496=0,"",IF(G496/F496-1&lt;-0.25,G496/F496-1,IF(G496/F496-1&gt;0.25,G496/F496-1,""))))))</f>
        <v>#REF!</v>
      </c>
      <c r="I496" s="267"/>
      <c r="J496" s="2"/>
      <c r="K496" s="333"/>
      <c r="L496" s="333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  <c r="AH496" s="2"/>
      <c r="AI496" s="2"/>
      <c r="AJ496" s="2"/>
      <c r="AK496" s="2"/>
      <c r="AL496" s="2"/>
      <c r="AM496" s="2"/>
      <c r="AN496" s="2"/>
      <c r="AO496" s="2"/>
      <c r="AP496" s="2"/>
      <c r="AQ496" s="2"/>
      <c r="AR496" s="2"/>
      <c r="AS496" s="2"/>
      <c r="AT496" s="2"/>
      <c r="AU496" s="2"/>
      <c r="AV496" s="2"/>
      <c r="AW496" s="2"/>
      <c r="AX496" s="2"/>
      <c r="AY496" s="2"/>
      <c r="AZ496" s="2"/>
      <c r="BA496" s="2"/>
      <c r="BB496" s="2"/>
      <c r="BC496" s="2"/>
      <c r="BD496" s="2"/>
      <c r="BE496" s="2"/>
      <c r="BF496" s="2"/>
      <c r="BG496" s="2"/>
      <c r="BH496" s="2"/>
      <c r="BI496" s="2"/>
      <c r="BJ496" s="2"/>
      <c r="BK496" s="2"/>
      <c r="BL496" s="2"/>
      <c r="BM496" s="2"/>
      <c r="BN496" s="2"/>
      <c r="BO496" s="2"/>
      <c r="BP496" s="2"/>
      <c r="BQ496" s="2"/>
      <c r="BR496" s="2"/>
      <c r="BS496" s="2"/>
      <c r="BT496" s="2"/>
      <c r="BU496" s="2"/>
      <c r="BV496" s="2"/>
      <c r="BW496" s="2"/>
      <c r="BX496" s="2"/>
      <c r="BY496" s="2"/>
      <c r="BZ496" s="2"/>
      <c r="CA496" s="2"/>
      <c r="CB496" s="2"/>
      <c r="CC496" s="2"/>
      <c r="CD496" s="2"/>
      <c r="CE496" s="2"/>
      <c r="CF496" s="2"/>
    </row>
    <row r="497" spans="1:84" ht="12.65" customHeight="1" x14ac:dyDescent="0.35">
      <c r="A497" s="2" t="s">
        <v>513</v>
      </c>
      <c r="B497" s="335" t="e">
        <f>#REF!</f>
        <v>#REF!</v>
      </c>
      <c r="C497" s="335">
        <f>D71</f>
        <v>10539740.489999998</v>
      </c>
      <c r="D497" s="335" t="e">
        <f>#REF!</f>
        <v>#REF!</v>
      </c>
      <c r="E497" s="2">
        <f>D59</f>
        <v>8914.4</v>
      </c>
      <c r="F497" s="336" t="e">
        <f t="shared" si="16"/>
        <v>#REF!</v>
      </c>
      <c r="G497" s="336">
        <f t="shared" si="16"/>
        <v>1182.3275251278828</v>
      </c>
      <c r="H497" s="337" t="e">
        <f t="shared" ref="H497:H550" si="17">IF(B497=0,"",IF(C497=0,"",IF(D497=0,"",IF(E497=0,"",IF(G497/F497-1&lt;-0.25,G497/F497-1,IF(G497/F497-1&gt;0.25,G497/F497-1,""))))))</f>
        <v>#REF!</v>
      </c>
      <c r="I497" s="267"/>
      <c r="J497" s="2"/>
      <c r="K497" s="333"/>
      <c r="L497" s="333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  <c r="AH497" s="2"/>
      <c r="AI497" s="2"/>
      <c r="AJ497" s="2"/>
      <c r="AK497" s="2"/>
      <c r="AL497" s="2"/>
      <c r="AM497" s="2"/>
      <c r="AN497" s="2"/>
      <c r="AO497" s="2"/>
      <c r="AP497" s="2"/>
      <c r="AQ497" s="2"/>
      <c r="AR497" s="2"/>
      <c r="AS497" s="2"/>
      <c r="AT497" s="2"/>
      <c r="AU497" s="2"/>
      <c r="AV497" s="2"/>
      <c r="AW497" s="2"/>
      <c r="AX497" s="2"/>
      <c r="AY497" s="2"/>
      <c r="AZ497" s="2"/>
      <c r="BA497" s="2"/>
      <c r="BB497" s="2"/>
      <c r="BC497" s="2"/>
      <c r="BD497" s="2"/>
      <c r="BE497" s="2"/>
      <c r="BF497" s="2"/>
      <c r="BG497" s="2"/>
      <c r="BH497" s="2"/>
      <c r="BI497" s="2"/>
      <c r="BJ497" s="2"/>
      <c r="BK497" s="2"/>
      <c r="BL497" s="2"/>
      <c r="BM497" s="2"/>
      <c r="BN497" s="2"/>
      <c r="BO497" s="2"/>
      <c r="BP497" s="2"/>
      <c r="BQ497" s="2"/>
      <c r="BR497" s="2"/>
      <c r="BS497" s="2"/>
      <c r="BT497" s="2"/>
      <c r="BU497" s="2"/>
      <c r="BV497" s="2"/>
      <c r="BW497" s="2"/>
      <c r="BX497" s="2"/>
      <c r="BY497" s="2"/>
      <c r="BZ497" s="2"/>
      <c r="CA497" s="2"/>
      <c r="CB497" s="2"/>
      <c r="CC497" s="2"/>
      <c r="CD497" s="2"/>
      <c r="CE497" s="2"/>
      <c r="CF497" s="2"/>
    </row>
    <row r="498" spans="1:84" ht="12.65" customHeight="1" x14ac:dyDescent="0.35">
      <c r="A498" s="2" t="s">
        <v>514</v>
      </c>
      <c r="B498" s="335" t="e">
        <f>#REF!</f>
        <v>#REF!</v>
      </c>
      <c r="C498" s="335">
        <f>E71</f>
        <v>33958631.68</v>
      </c>
      <c r="D498" s="335" t="e">
        <f>#REF!</f>
        <v>#REF!</v>
      </c>
      <c r="E498" s="2">
        <f>E59</f>
        <v>37724.47</v>
      </c>
      <c r="F498" s="336" t="e">
        <f t="shared" si="16"/>
        <v>#REF!</v>
      </c>
      <c r="G498" s="336">
        <f t="shared" si="16"/>
        <v>900.17518284551113</v>
      </c>
      <c r="H498" s="337" t="e">
        <f t="shared" si="17"/>
        <v>#REF!</v>
      </c>
      <c r="I498" s="267"/>
      <c r="J498" s="2"/>
      <c r="K498" s="333"/>
      <c r="L498" s="333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  <c r="AH498" s="2"/>
      <c r="AI498" s="2"/>
      <c r="AJ498" s="2"/>
      <c r="AK498" s="2"/>
      <c r="AL498" s="2"/>
      <c r="AM498" s="2"/>
      <c r="AN498" s="2"/>
      <c r="AO498" s="2"/>
      <c r="AP498" s="2"/>
      <c r="AQ498" s="2"/>
      <c r="AR498" s="2"/>
      <c r="AS498" s="2"/>
      <c r="AT498" s="2"/>
      <c r="AU498" s="2"/>
      <c r="AV498" s="2"/>
      <c r="AW498" s="2"/>
      <c r="AX498" s="2"/>
      <c r="AY498" s="2"/>
      <c r="AZ498" s="2"/>
      <c r="BA498" s="2"/>
      <c r="BB498" s="2"/>
      <c r="BC498" s="2"/>
      <c r="BD498" s="2"/>
      <c r="BE498" s="2"/>
      <c r="BF498" s="2"/>
      <c r="BG498" s="2"/>
      <c r="BH498" s="2"/>
      <c r="BI498" s="2"/>
      <c r="BJ498" s="2"/>
      <c r="BK498" s="2"/>
      <c r="BL498" s="2"/>
      <c r="BM498" s="2"/>
      <c r="BN498" s="2"/>
      <c r="BO498" s="2"/>
      <c r="BP498" s="2"/>
      <c r="BQ498" s="2"/>
      <c r="BR498" s="2"/>
      <c r="BS498" s="2"/>
      <c r="BT498" s="2"/>
      <c r="BU498" s="2"/>
      <c r="BV498" s="2"/>
      <c r="BW498" s="2"/>
      <c r="BX498" s="2"/>
      <c r="BY498" s="2"/>
      <c r="BZ498" s="2"/>
      <c r="CA498" s="2"/>
      <c r="CB498" s="2"/>
      <c r="CC498" s="2"/>
      <c r="CD498" s="2"/>
      <c r="CE498" s="2"/>
      <c r="CF498" s="2"/>
    </row>
    <row r="499" spans="1:84" ht="12.65" customHeight="1" x14ac:dyDescent="0.35">
      <c r="A499" s="2" t="s">
        <v>515</v>
      </c>
      <c r="B499" s="335" t="e">
        <f>#REF!</f>
        <v>#REF!</v>
      </c>
      <c r="C499" s="335">
        <f>F71</f>
        <v>879057.72000000009</v>
      </c>
      <c r="D499" s="335" t="e">
        <f>#REF!</f>
        <v>#REF!</v>
      </c>
      <c r="E499" s="2">
        <f>F59</f>
        <v>0</v>
      </c>
      <c r="F499" s="336" t="e">
        <f t="shared" si="16"/>
        <v>#REF!</v>
      </c>
      <c r="G499" s="336" t="str">
        <f t="shared" si="16"/>
        <v/>
      </c>
      <c r="H499" s="337" t="e">
        <f t="shared" si="17"/>
        <v>#REF!</v>
      </c>
      <c r="I499" s="267"/>
      <c r="J499" s="2"/>
      <c r="K499" s="333"/>
      <c r="L499" s="333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  <c r="AH499" s="2"/>
      <c r="AI499" s="2"/>
      <c r="AJ499" s="2"/>
      <c r="AK499" s="2"/>
      <c r="AL499" s="2"/>
      <c r="AM499" s="2"/>
      <c r="AN499" s="2"/>
      <c r="AO499" s="2"/>
      <c r="AP499" s="2"/>
      <c r="AQ499" s="2"/>
      <c r="AR499" s="2"/>
      <c r="AS499" s="2"/>
      <c r="AT499" s="2"/>
      <c r="AU499" s="2"/>
      <c r="AV499" s="2"/>
      <c r="AW499" s="2"/>
      <c r="AX499" s="2"/>
      <c r="AY499" s="2"/>
      <c r="AZ499" s="2"/>
      <c r="BA499" s="2"/>
      <c r="BB499" s="2"/>
      <c r="BC499" s="2"/>
      <c r="BD499" s="2"/>
      <c r="BE499" s="2"/>
      <c r="BF499" s="2"/>
      <c r="BG499" s="2"/>
      <c r="BH499" s="2"/>
      <c r="BI499" s="2"/>
      <c r="BJ499" s="2"/>
      <c r="BK499" s="2"/>
      <c r="BL499" s="2"/>
      <c r="BM499" s="2"/>
      <c r="BN499" s="2"/>
      <c r="BO499" s="2"/>
      <c r="BP499" s="2"/>
      <c r="BQ499" s="2"/>
      <c r="BR499" s="2"/>
      <c r="BS499" s="2"/>
      <c r="BT499" s="2"/>
      <c r="BU499" s="2"/>
      <c r="BV499" s="2"/>
      <c r="BW499" s="2"/>
      <c r="BX499" s="2"/>
      <c r="BY499" s="2"/>
      <c r="BZ499" s="2"/>
      <c r="CA499" s="2"/>
      <c r="CB499" s="2"/>
      <c r="CC499" s="2"/>
      <c r="CD499" s="2"/>
      <c r="CE499" s="2"/>
      <c r="CF499" s="2"/>
    </row>
    <row r="500" spans="1:84" ht="12.65" customHeight="1" x14ac:dyDescent="0.35">
      <c r="A500" s="2" t="s">
        <v>516</v>
      </c>
      <c r="B500" s="335" t="e">
        <f>#REF!</f>
        <v>#REF!</v>
      </c>
      <c r="C500" s="335">
        <f>G71</f>
        <v>2482060.7999999998</v>
      </c>
      <c r="D500" s="335" t="e">
        <f>#REF!</f>
        <v>#REF!</v>
      </c>
      <c r="E500" s="2">
        <f>G59</f>
        <v>3434</v>
      </c>
      <c r="F500" s="336" t="e">
        <f t="shared" si="16"/>
        <v>#REF!</v>
      </c>
      <c r="G500" s="336">
        <f t="shared" si="16"/>
        <v>722.78998252766451</v>
      </c>
      <c r="H500" s="337" t="e">
        <f t="shared" si="17"/>
        <v>#REF!</v>
      </c>
      <c r="I500" s="267"/>
      <c r="J500" s="2"/>
      <c r="K500" s="333"/>
      <c r="L500" s="333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  <c r="AH500" s="2"/>
      <c r="AI500" s="2"/>
      <c r="AJ500" s="2"/>
      <c r="AK500" s="2"/>
      <c r="AL500" s="2"/>
      <c r="AM500" s="2"/>
      <c r="AN500" s="2"/>
      <c r="AO500" s="2"/>
      <c r="AP500" s="2"/>
      <c r="AQ500" s="2"/>
      <c r="AR500" s="2"/>
      <c r="AS500" s="2"/>
      <c r="AT500" s="2"/>
      <c r="AU500" s="2"/>
      <c r="AV500" s="2"/>
      <c r="AW500" s="2"/>
      <c r="AX500" s="2"/>
      <c r="AY500" s="2"/>
      <c r="AZ500" s="2"/>
      <c r="BA500" s="2"/>
      <c r="BB500" s="2"/>
      <c r="BC500" s="2"/>
      <c r="BD500" s="2"/>
      <c r="BE500" s="2"/>
      <c r="BF500" s="2"/>
      <c r="BG500" s="2"/>
      <c r="BH500" s="2"/>
      <c r="BI500" s="2"/>
      <c r="BJ500" s="2"/>
      <c r="BK500" s="2"/>
      <c r="BL500" s="2"/>
      <c r="BM500" s="2"/>
      <c r="BN500" s="2"/>
      <c r="BO500" s="2"/>
      <c r="BP500" s="2"/>
      <c r="BQ500" s="2"/>
      <c r="BR500" s="2"/>
      <c r="BS500" s="2"/>
      <c r="BT500" s="2"/>
      <c r="BU500" s="2"/>
      <c r="BV500" s="2"/>
      <c r="BW500" s="2"/>
      <c r="BX500" s="2"/>
      <c r="BY500" s="2"/>
      <c r="BZ500" s="2"/>
      <c r="CA500" s="2"/>
      <c r="CB500" s="2"/>
      <c r="CC500" s="2"/>
      <c r="CD500" s="2"/>
      <c r="CE500" s="2"/>
      <c r="CF500" s="2"/>
    </row>
    <row r="501" spans="1:84" ht="12.65" customHeight="1" x14ac:dyDescent="0.35">
      <c r="A501" s="2" t="s">
        <v>517</v>
      </c>
      <c r="B501" s="335" t="e">
        <f>#REF!</f>
        <v>#REF!</v>
      </c>
      <c r="C501" s="335">
        <f>H71</f>
        <v>0</v>
      </c>
      <c r="D501" s="335" t="e">
        <f>#REF!</f>
        <v>#REF!</v>
      </c>
      <c r="E501" s="2">
        <f>H59</f>
        <v>0</v>
      </c>
      <c r="F501" s="336" t="e">
        <f t="shared" si="16"/>
        <v>#REF!</v>
      </c>
      <c r="G501" s="336" t="str">
        <f t="shared" si="16"/>
        <v/>
      </c>
      <c r="H501" s="337" t="e">
        <f t="shared" si="17"/>
        <v>#REF!</v>
      </c>
      <c r="I501" s="267"/>
      <c r="J501" s="2"/>
      <c r="K501" s="333"/>
      <c r="L501" s="333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  <c r="AI501" s="2"/>
      <c r="AJ501" s="2"/>
      <c r="AK501" s="2"/>
      <c r="AL501" s="2"/>
      <c r="AM501" s="2"/>
      <c r="AN501" s="2"/>
      <c r="AO501" s="2"/>
      <c r="AP501" s="2"/>
      <c r="AQ501" s="2"/>
      <c r="AR501" s="2"/>
      <c r="AS501" s="2"/>
      <c r="AT501" s="2"/>
      <c r="AU501" s="2"/>
      <c r="AV501" s="2"/>
      <c r="AW501" s="2"/>
      <c r="AX501" s="2"/>
      <c r="AY501" s="2"/>
      <c r="AZ501" s="2"/>
      <c r="BA501" s="2"/>
      <c r="BB501" s="2"/>
      <c r="BC501" s="2"/>
      <c r="BD501" s="2"/>
      <c r="BE501" s="2"/>
      <c r="BF501" s="2"/>
      <c r="BG501" s="2"/>
      <c r="BH501" s="2"/>
      <c r="BI501" s="2"/>
      <c r="BJ501" s="2"/>
      <c r="BK501" s="2"/>
      <c r="BL501" s="2"/>
      <c r="BM501" s="2"/>
      <c r="BN501" s="2"/>
      <c r="BO501" s="2"/>
      <c r="BP501" s="2"/>
      <c r="BQ501" s="2"/>
      <c r="BR501" s="2"/>
      <c r="BS501" s="2"/>
      <c r="BT501" s="2"/>
      <c r="BU501" s="2"/>
      <c r="BV501" s="2"/>
      <c r="BW501" s="2"/>
      <c r="BX501" s="2"/>
      <c r="BY501" s="2"/>
      <c r="BZ501" s="2"/>
      <c r="CA501" s="2"/>
      <c r="CB501" s="2"/>
      <c r="CC501" s="2"/>
      <c r="CD501" s="2"/>
      <c r="CE501" s="2"/>
      <c r="CF501" s="2"/>
    </row>
    <row r="502" spans="1:84" ht="12.65" customHeight="1" x14ac:dyDescent="0.35">
      <c r="A502" s="2" t="s">
        <v>518</v>
      </c>
      <c r="B502" s="335" t="e">
        <f>#REF!</f>
        <v>#REF!</v>
      </c>
      <c r="C502" s="335">
        <f>I71</f>
        <v>0</v>
      </c>
      <c r="D502" s="335" t="e">
        <f>#REF!</f>
        <v>#REF!</v>
      </c>
      <c r="E502" s="2">
        <f>I59</f>
        <v>0</v>
      </c>
      <c r="F502" s="336" t="e">
        <f t="shared" si="16"/>
        <v>#REF!</v>
      </c>
      <c r="G502" s="336" t="str">
        <f t="shared" si="16"/>
        <v/>
      </c>
      <c r="H502" s="337" t="e">
        <f t="shared" si="17"/>
        <v>#REF!</v>
      </c>
      <c r="I502" s="267"/>
      <c r="J502" s="2"/>
      <c r="K502" s="333"/>
      <c r="L502" s="333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  <c r="AI502" s="2"/>
      <c r="AJ502" s="2"/>
      <c r="AK502" s="2"/>
      <c r="AL502" s="2"/>
      <c r="AM502" s="2"/>
      <c r="AN502" s="2"/>
      <c r="AO502" s="2"/>
      <c r="AP502" s="2"/>
      <c r="AQ502" s="2"/>
      <c r="AR502" s="2"/>
      <c r="AS502" s="2"/>
      <c r="AT502" s="2"/>
      <c r="AU502" s="2"/>
      <c r="AV502" s="2"/>
      <c r="AW502" s="2"/>
      <c r="AX502" s="2"/>
      <c r="AY502" s="2"/>
      <c r="AZ502" s="2"/>
      <c r="BA502" s="2"/>
      <c r="BB502" s="2"/>
      <c r="BC502" s="2"/>
      <c r="BD502" s="2"/>
      <c r="BE502" s="2"/>
      <c r="BF502" s="2"/>
      <c r="BG502" s="2"/>
      <c r="BH502" s="2"/>
      <c r="BI502" s="2"/>
      <c r="BJ502" s="2"/>
      <c r="BK502" s="2"/>
      <c r="BL502" s="2"/>
      <c r="BM502" s="2"/>
      <c r="BN502" s="2"/>
      <c r="BO502" s="2"/>
      <c r="BP502" s="2"/>
      <c r="BQ502" s="2"/>
      <c r="BR502" s="2"/>
      <c r="BS502" s="2"/>
      <c r="BT502" s="2"/>
      <c r="BU502" s="2"/>
      <c r="BV502" s="2"/>
      <c r="BW502" s="2"/>
      <c r="BX502" s="2"/>
      <c r="BY502" s="2"/>
      <c r="BZ502" s="2"/>
      <c r="CA502" s="2"/>
      <c r="CB502" s="2"/>
      <c r="CC502" s="2"/>
      <c r="CD502" s="2"/>
      <c r="CE502" s="2"/>
      <c r="CF502" s="2"/>
    </row>
    <row r="503" spans="1:84" ht="12.65" customHeight="1" x14ac:dyDescent="0.35">
      <c r="A503" s="2" t="s">
        <v>519</v>
      </c>
      <c r="B503" s="335" t="e">
        <f>#REF!</f>
        <v>#REF!</v>
      </c>
      <c r="C503" s="335">
        <f>J71</f>
        <v>0</v>
      </c>
      <c r="D503" s="335" t="e">
        <f>#REF!</f>
        <v>#REF!</v>
      </c>
      <c r="E503" s="2">
        <f>J59</f>
        <v>0</v>
      </c>
      <c r="F503" s="336" t="e">
        <f t="shared" si="16"/>
        <v>#REF!</v>
      </c>
      <c r="G503" s="336" t="str">
        <f t="shared" si="16"/>
        <v/>
      </c>
      <c r="H503" s="337" t="e">
        <f t="shared" si="17"/>
        <v>#REF!</v>
      </c>
      <c r="I503" s="267"/>
      <c r="J503" s="2"/>
      <c r="K503" s="333"/>
      <c r="L503" s="333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  <c r="AI503" s="2"/>
      <c r="AJ503" s="2"/>
      <c r="AK503" s="2"/>
      <c r="AL503" s="2"/>
      <c r="AM503" s="2"/>
      <c r="AN503" s="2"/>
      <c r="AO503" s="2"/>
      <c r="AP503" s="2"/>
      <c r="AQ503" s="2"/>
      <c r="AR503" s="2"/>
      <c r="AS503" s="2"/>
      <c r="AT503" s="2"/>
      <c r="AU503" s="2"/>
      <c r="AV503" s="2"/>
      <c r="AW503" s="2"/>
      <c r="AX503" s="2"/>
      <c r="AY503" s="2"/>
      <c r="AZ503" s="2"/>
      <c r="BA503" s="2"/>
      <c r="BB503" s="2"/>
      <c r="BC503" s="2"/>
      <c r="BD503" s="2"/>
      <c r="BE503" s="2"/>
      <c r="BF503" s="2"/>
      <c r="BG503" s="2"/>
      <c r="BH503" s="2"/>
      <c r="BI503" s="2"/>
      <c r="BJ503" s="2"/>
      <c r="BK503" s="2"/>
      <c r="BL503" s="2"/>
      <c r="BM503" s="2"/>
      <c r="BN503" s="2"/>
      <c r="BO503" s="2"/>
      <c r="BP503" s="2"/>
      <c r="BQ503" s="2"/>
      <c r="BR503" s="2"/>
      <c r="BS503" s="2"/>
      <c r="BT503" s="2"/>
      <c r="BU503" s="2"/>
      <c r="BV503" s="2"/>
      <c r="BW503" s="2"/>
      <c r="BX503" s="2"/>
      <c r="BY503" s="2"/>
      <c r="BZ503" s="2"/>
      <c r="CA503" s="2"/>
      <c r="CB503" s="2"/>
      <c r="CC503" s="2"/>
      <c r="CD503" s="2"/>
      <c r="CE503" s="2"/>
      <c r="CF503" s="2"/>
    </row>
    <row r="504" spans="1:84" ht="12.65" customHeight="1" x14ac:dyDescent="0.35">
      <c r="A504" s="2" t="s">
        <v>520</v>
      </c>
      <c r="B504" s="335" t="e">
        <f>#REF!</f>
        <v>#REF!</v>
      </c>
      <c r="C504" s="335">
        <f>K71</f>
        <v>0</v>
      </c>
      <c r="D504" s="335" t="e">
        <f>#REF!</f>
        <v>#REF!</v>
      </c>
      <c r="E504" s="2">
        <f>K59</f>
        <v>0</v>
      </c>
      <c r="F504" s="336" t="e">
        <f t="shared" si="16"/>
        <v>#REF!</v>
      </c>
      <c r="G504" s="336" t="str">
        <f t="shared" si="16"/>
        <v/>
      </c>
      <c r="H504" s="337" t="e">
        <f t="shared" si="17"/>
        <v>#REF!</v>
      </c>
      <c r="I504" s="267"/>
      <c r="J504" s="2"/>
      <c r="K504" s="333"/>
      <c r="L504" s="333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  <c r="AH504" s="2"/>
      <c r="AI504" s="2"/>
      <c r="AJ504" s="2"/>
      <c r="AK504" s="2"/>
      <c r="AL504" s="2"/>
      <c r="AM504" s="2"/>
      <c r="AN504" s="2"/>
      <c r="AO504" s="2"/>
      <c r="AP504" s="2"/>
      <c r="AQ504" s="2"/>
      <c r="AR504" s="2"/>
      <c r="AS504" s="2"/>
      <c r="AT504" s="2"/>
      <c r="AU504" s="2"/>
      <c r="AV504" s="2"/>
      <c r="AW504" s="2"/>
      <c r="AX504" s="2"/>
      <c r="AY504" s="2"/>
      <c r="AZ504" s="2"/>
      <c r="BA504" s="2"/>
      <c r="BB504" s="2"/>
      <c r="BC504" s="2"/>
      <c r="BD504" s="2"/>
      <c r="BE504" s="2"/>
      <c r="BF504" s="2"/>
      <c r="BG504" s="2"/>
      <c r="BH504" s="2"/>
      <c r="BI504" s="2"/>
      <c r="BJ504" s="2"/>
      <c r="BK504" s="2"/>
      <c r="BL504" s="2"/>
      <c r="BM504" s="2"/>
      <c r="BN504" s="2"/>
      <c r="BO504" s="2"/>
      <c r="BP504" s="2"/>
      <c r="BQ504" s="2"/>
      <c r="BR504" s="2"/>
      <c r="BS504" s="2"/>
      <c r="BT504" s="2"/>
      <c r="BU504" s="2"/>
      <c r="BV504" s="2"/>
      <c r="BW504" s="2"/>
      <c r="BX504" s="2"/>
      <c r="BY504" s="2"/>
      <c r="BZ504" s="2"/>
      <c r="CA504" s="2"/>
      <c r="CB504" s="2"/>
      <c r="CC504" s="2"/>
      <c r="CD504" s="2"/>
      <c r="CE504" s="2"/>
      <c r="CF504" s="2"/>
    </row>
    <row r="505" spans="1:84" ht="12.65" customHeight="1" x14ac:dyDescent="0.35">
      <c r="A505" s="2" t="s">
        <v>521</v>
      </c>
      <c r="B505" s="335" t="e">
        <f>#REF!</f>
        <v>#REF!</v>
      </c>
      <c r="C505" s="335">
        <f>L71</f>
        <v>0</v>
      </c>
      <c r="D505" s="335" t="e">
        <f>#REF!</f>
        <v>#REF!</v>
      </c>
      <c r="E505" s="2">
        <f>L59</f>
        <v>0</v>
      </c>
      <c r="F505" s="336" t="e">
        <f t="shared" si="16"/>
        <v>#REF!</v>
      </c>
      <c r="G505" s="336" t="str">
        <f t="shared" si="16"/>
        <v/>
      </c>
      <c r="H505" s="337" t="e">
        <f t="shared" si="17"/>
        <v>#REF!</v>
      </c>
      <c r="I505" s="267"/>
      <c r="J505" s="2"/>
      <c r="K505" s="333"/>
      <c r="L505" s="333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  <c r="AH505" s="2"/>
      <c r="AI505" s="2"/>
      <c r="AJ505" s="2"/>
      <c r="AK505" s="2"/>
      <c r="AL505" s="2"/>
      <c r="AM505" s="2"/>
      <c r="AN505" s="2"/>
      <c r="AO505" s="2"/>
      <c r="AP505" s="2"/>
      <c r="AQ505" s="2"/>
      <c r="AR505" s="2"/>
      <c r="AS505" s="2"/>
      <c r="AT505" s="2"/>
      <c r="AU505" s="2"/>
      <c r="AV505" s="2"/>
      <c r="AW505" s="2"/>
      <c r="AX505" s="2"/>
      <c r="AY505" s="2"/>
      <c r="AZ505" s="2"/>
      <c r="BA505" s="2"/>
      <c r="BB505" s="2"/>
      <c r="BC505" s="2"/>
      <c r="BD505" s="2"/>
      <c r="BE505" s="2"/>
      <c r="BF505" s="2"/>
      <c r="BG505" s="2"/>
      <c r="BH505" s="2"/>
      <c r="BI505" s="2"/>
      <c r="BJ505" s="2"/>
      <c r="BK505" s="2"/>
      <c r="BL505" s="2"/>
      <c r="BM505" s="2"/>
      <c r="BN505" s="2"/>
      <c r="BO505" s="2"/>
      <c r="BP505" s="2"/>
      <c r="BQ505" s="2"/>
      <c r="BR505" s="2"/>
      <c r="BS505" s="2"/>
      <c r="BT505" s="2"/>
      <c r="BU505" s="2"/>
      <c r="BV505" s="2"/>
      <c r="BW505" s="2"/>
      <c r="BX505" s="2"/>
      <c r="BY505" s="2"/>
      <c r="BZ505" s="2"/>
      <c r="CA505" s="2"/>
      <c r="CB505" s="2"/>
      <c r="CC505" s="2"/>
      <c r="CD505" s="2"/>
      <c r="CE505" s="2"/>
      <c r="CF505" s="2"/>
    </row>
    <row r="506" spans="1:84" ht="12.65" customHeight="1" x14ac:dyDescent="0.35">
      <c r="A506" s="2" t="s">
        <v>522</v>
      </c>
      <c r="B506" s="335" t="e">
        <f>#REF!</f>
        <v>#REF!</v>
      </c>
      <c r="C506" s="335">
        <f>M71</f>
        <v>6488093.5299999993</v>
      </c>
      <c r="D506" s="335" t="e">
        <f>#REF!</f>
        <v>#REF!</v>
      </c>
      <c r="E506" s="2">
        <f>M59</f>
        <v>3836</v>
      </c>
      <c r="F506" s="336" t="e">
        <f t="shared" si="16"/>
        <v>#REF!</v>
      </c>
      <c r="G506" s="336">
        <f t="shared" si="16"/>
        <v>1691.3695333680917</v>
      </c>
      <c r="H506" s="337" t="e">
        <f t="shared" si="17"/>
        <v>#REF!</v>
      </c>
      <c r="I506" s="267"/>
      <c r="J506" s="2"/>
      <c r="K506" s="333"/>
      <c r="L506" s="333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  <c r="AI506" s="2"/>
      <c r="AJ506" s="2"/>
      <c r="AK506" s="2"/>
      <c r="AL506" s="2"/>
      <c r="AM506" s="2"/>
      <c r="AN506" s="2"/>
      <c r="AO506" s="2"/>
      <c r="AP506" s="2"/>
      <c r="AQ506" s="2"/>
      <c r="AR506" s="2"/>
      <c r="AS506" s="2"/>
      <c r="AT506" s="2"/>
      <c r="AU506" s="2"/>
      <c r="AV506" s="2"/>
      <c r="AW506" s="2"/>
      <c r="AX506" s="2"/>
      <c r="AY506" s="2"/>
      <c r="AZ506" s="2"/>
      <c r="BA506" s="2"/>
      <c r="BB506" s="2"/>
      <c r="BC506" s="2"/>
      <c r="BD506" s="2"/>
      <c r="BE506" s="2"/>
      <c r="BF506" s="2"/>
      <c r="BG506" s="2"/>
      <c r="BH506" s="2"/>
      <c r="BI506" s="2"/>
      <c r="BJ506" s="2"/>
      <c r="BK506" s="2"/>
      <c r="BL506" s="2"/>
      <c r="BM506" s="2"/>
      <c r="BN506" s="2"/>
      <c r="BO506" s="2"/>
      <c r="BP506" s="2"/>
      <c r="BQ506" s="2"/>
      <c r="BR506" s="2"/>
      <c r="BS506" s="2"/>
      <c r="BT506" s="2"/>
      <c r="BU506" s="2"/>
      <c r="BV506" s="2"/>
      <c r="BW506" s="2"/>
      <c r="BX506" s="2"/>
      <c r="BY506" s="2"/>
      <c r="BZ506" s="2"/>
      <c r="CA506" s="2"/>
      <c r="CB506" s="2"/>
      <c r="CC506" s="2"/>
      <c r="CD506" s="2"/>
      <c r="CE506" s="2"/>
      <c r="CF506" s="2"/>
    </row>
    <row r="507" spans="1:84" ht="12.65" customHeight="1" x14ac:dyDescent="0.35">
      <c r="A507" s="2" t="s">
        <v>523</v>
      </c>
      <c r="B507" s="335" t="e">
        <f>#REF!</f>
        <v>#REF!</v>
      </c>
      <c r="C507" s="335">
        <f>N71</f>
        <v>18217973.169999998</v>
      </c>
      <c r="D507" s="335" t="e">
        <f>#REF!</f>
        <v>#REF!</v>
      </c>
      <c r="E507" s="2">
        <f>N59</f>
        <v>0</v>
      </c>
      <c r="F507" s="336" t="e">
        <f t="shared" si="16"/>
        <v>#REF!</v>
      </c>
      <c r="G507" s="336" t="str">
        <f t="shared" si="16"/>
        <v/>
      </c>
      <c r="H507" s="337" t="e">
        <f t="shared" si="17"/>
        <v>#REF!</v>
      </c>
      <c r="I507" s="267"/>
      <c r="J507" s="2"/>
      <c r="K507" s="333"/>
      <c r="L507" s="333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  <c r="AJ507" s="2"/>
      <c r="AK507" s="2"/>
      <c r="AL507" s="2"/>
      <c r="AM507" s="2"/>
      <c r="AN507" s="2"/>
      <c r="AO507" s="2"/>
      <c r="AP507" s="2"/>
      <c r="AQ507" s="2"/>
      <c r="AR507" s="2"/>
      <c r="AS507" s="2"/>
      <c r="AT507" s="2"/>
      <c r="AU507" s="2"/>
      <c r="AV507" s="2"/>
      <c r="AW507" s="2"/>
      <c r="AX507" s="2"/>
      <c r="AY507" s="2"/>
      <c r="AZ507" s="2"/>
      <c r="BA507" s="2"/>
      <c r="BB507" s="2"/>
      <c r="BC507" s="2"/>
      <c r="BD507" s="2"/>
      <c r="BE507" s="2"/>
      <c r="BF507" s="2"/>
      <c r="BG507" s="2"/>
      <c r="BH507" s="2"/>
      <c r="BI507" s="2"/>
      <c r="BJ507" s="2"/>
      <c r="BK507" s="2"/>
      <c r="BL507" s="2"/>
      <c r="BM507" s="2"/>
      <c r="BN507" s="2"/>
      <c r="BO507" s="2"/>
      <c r="BP507" s="2"/>
      <c r="BQ507" s="2"/>
      <c r="BR507" s="2"/>
      <c r="BS507" s="2"/>
      <c r="BT507" s="2"/>
      <c r="BU507" s="2"/>
      <c r="BV507" s="2"/>
      <c r="BW507" s="2"/>
      <c r="BX507" s="2"/>
      <c r="BY507" s="2"/>
      <c r="BZ507" s="2"/>
      <c r="CA507" s="2"/>
      <c r="CB507" s="2"/>
      <c r="CC507" s="2"/>
      <c r="CD507" s="2"/>
      <c r="CE507" s="2"/>
      <c r="CF507" s="2"/>
    </row>
    <row r="508" spans="1:84" ht="12.65" customHeight="1" x14ac:dyDescent="0.35">
      <c r="A508" s="2" t="s">
        <v>524</v>
      </c>
      <c r="B508" s="335" t="e">
        <f>#REF!</f>
        <v>#REF!</v>
      </c>
      <c r="C508" s="335">
        <f>O71</f>
        <v>26227738.5</v>
      </c>
      <c r="D508" s="335" t="e">
        <f>#REF!</f>
        <v>#REF!</v>
      </c>
      <c r="E508" s="2">
        <f>O59</f>
        <v>4367</v>
      </c>
      <c r="F508" s="336" t="e">
        <f t="shared" si="16"/>
        <v>#REF!</v>
      </c>
      <c r="G508" s="336">
        <f t="shared" si="16"/>
        <v>6005.8938630638886</v>
      </c>
      <c r="H508" s="337" t="e">
        <f t="shared" si="17"/>
        <v>#REF!</v>
      </c>
      <c r="I508" s="267"/>
      <c r="J508" s="2"/>
      <c r="K508" s="333"/>
      <c r="L508" s="333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  <c r="AJ508" s="2"/>
      <c r="AK508" s="2"/>
      <c r="AL508" s="2"/>
      <c r="AM508" s="2"/>
      <c r="AN508" s="2"/>
      <c r="AO508" s="2"/>
      <c r="AP508" s="2"/>
      <c r="AQ508" s="2"/>
      <c r="AR508" s="2"/>
      <c r="AS508" s="2"/>
      <c r="AT508" s="2"/>
      <c r="AU508" s="2"/>
      <c r="AV508" s="2"/>
      <c r="AW508" s="2"/>
      <c r="AX508" s="2"/>
      <c r="AY508" s="2"/>
      <c r="AZ508" s="2"/>
      <c r="BA508" s="2"/>
      <c r="BB508" s="2"/>
      <c r="BC508" s="2"/>
      <c r="BD508" s="2"/>
      <c r="BE508" s="2"/>
      <c r="BF508" s="2"/>
      <c r="BG508" s="2"/>
      <c r="BH508" s="2"/>
      <c r="BI508" s="2"/>
      <c r="BJ508" s="2"/>
      <c r="BK508" s="2"/>
      <c r="BL508" s="2"/>
      <c r="BM508" s="2"/>
      <c r="BN508" s="2"/>
      <c r="BO508" s="2"/>
      <c r="BP508" s="2"/>
      <c r="BQ508" s="2"/>
      <c r="BR508" s="2"/>
      <c r="BS508" s="2"/>
      <c r="BT508" s="2"/>
      <c r="BU508" s="2"/>
      <c r="BV508" s="2"/>
      <c r="BW508" s="2"/>
      <c r="BX508" s="2"/>
      <c r="BY508" s="2"/>
      <c r="BZ508" s="2"/>
      <c r="CA508" s="2"/>
      <c r="CB508" s="2"/>
      <c r="CC508" s="2"/>
      <c r="CD508" s="2"/>
      <c r="CE508" s="2"/>
      <c r="CF508" s="2"/>
    </row>
    <row r="509" spans="1:84" ht="12.65" customHeight="1" x14ac:dyDescent="0.35">
      <c r="A509" s="2" t="s">
        <v>525</v>
      </c>
      <c r="B509" s="335" t="e">
        <f>#REF!</f>
        <v>#REF!</v>
      </c>
      <c r="C509" s="335">
        <f>P71</f>
        <v>53477336.250000015</v>
      </c>
      <c r="D509" s="335" t="e">
        <f>#REF!</f>
        <v>#REF!</v>
      </c>
      <c r="E509" s="2">
        <f>P59</f>
        <v>739476</v>
      </c>
      <c r="F509" s="336" t="e">
        <f t="shared" si="16"/>
        <v>#REF!</v>
      </c>
      <c r="G509" s="336">
        <f t="shared" si="16"/>
        <v>72.31787948493259</v>
      </c>
      <c r="H509" s="337" t="e">
        <f t="shared" si="17"/>
        <v>#REF!</v>
      </c>
      <c r="I509" s="267"/>
      <c r="J509" s="2"/>
      <c r="K509" s="333"/>
      <c r="L509" s="333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  <c r="AK509" s="2"/>
      <c r="AL509" s="2"/>
      <c r="AM509" s="2"/>
      <c r="AN509" s="2"/>
      <c r="AO509" s="2"/>
      <c r="AP509" s="2"/>
      <c r="AQ509" s="2"/>
      <c r="AR509" s="2"/>
      <c r="AS509" s="2"/>
      <c r="AT509" s="2"/>
      <c r="AU509" s="2"/>
      <c r="AV509" s="2"/>
      <c r="AW509" s="2"/>
      <c r="AX509" s="2"/>
      <c r="AY509" s="2"/>
      <c r="AZ509" s="2"/>
      <c r="BA509" s="2"/>
      <c r="BB509" s="2"/>
      <c r="BC509" s="2"/>
      <c r="BD509" s="2"/>
      <c r="BE509" s="2"/>
      <c r="BF509" s="2"/>
      <c r="BG509" s="2"/>
      <c r="BH509" s="2"/>
      <c r="BI509" s="2"/>
      <c r="BJ509" s="2"/>
      <c r="BK509" s="2"/>
      <c r="BL509" s="2"/>
      <c r="BM509" s="2"/>
      <c r="BN509" s="2"/>
      <c r="BO509" s="2"/>
      <c r="BP509" s="2"/>
      <c r="BQ509" s="2"/>
      <c r="BR509" s="2"/>
      <c r="BS509" s="2"/>
      <c r="BT509" s="2"/>
      <c r="BU509" s="2"/>
      <c r="BV509" s="2"/>
      <c r="BW509" s="2"/>
      <c r="BX509" s="2"/>
      <c r="BY509" s="2"/>
      <c r="BZ509" s="2"/>
      <c r="CA509" s="2"/>
      <c r="CB509" s="2"/>
      <c r="CC509" s="2"/>
      <c r="CD509" s="2"/>
      <c r="CE509" s="2"/>
      <c r="CF509" s="2"/>
    </row>
    <row r="510" spans="1:84" ht="12.65" customHeight="1" x14ac:dyDescent="0.35">
      <c r="A510" s="2" t="s">
        <v>526</v>
      </c>
      <c r="B510" s="335" t="e">
        <f>#REF!</f>
        <v>#REF!</v>
      </c>
      <c r="C510" s="335">
        <f>Q71</f>
        <v>7578328.2399999993</v>
      </c>
      <c r="D510" s="335" t="e">
        <f>#REF!</f>
        <v>#REF!</v>
      </c>
      <c r="E510" s="2">
        <f>Q59</f>
        <v>1821899</v>
      </c>
      <c r="F510" s="336" t="e">
        <f t="shared" si="16"/>
        <v>#REF!</v>
      </c>
      <c r="G510" s="336">
        <f t="shared" si="16"/>
        <v>4.1595764858534965</v>
      </c>
      <c r="H510" s="337" t="e">
        <f t="shared" si="17"/>
        <v>#REF!</v>
      </c>
      <c r="I510" s="267"/>
      <c r="J510" s="2"/>
      <c r="K510" s="333"/>
      <c r="L510" s="333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  <c r="AH510" s="2"/>
      <c r="AI510" s="2"/>
      <c r="AJ510" s="2"/>
      <c r="AK510" s="2"/>
      <c r="AL510" s="2"/>
      <c r="AM510" s="2"/>
      <c r="AN510" s="2"/>
      <c r="AO510" s="2"/>
      <c r="AP510" s="2"/>
      <c r="AQ510" s="2"/>
      <c r="AR510" s="2"/>
      <c r="AS510" s="2"/>
      <c r="AT510" s="2"/>
      <c r="AU510" s="2"/>
      <c r="AV510" s="2"/>
      <c r="AW510" s="2"/>
      <c r="AX510" s="2"/>
      <c r="AY510" s="2"/>
      <c r="AZ510" s="2"/>
      <c r="BA510" s="2"/>
      <c r="BB510" s="2"/>
      <c r="BC510" s="2"/>
      <c r="BD510" s="2"/>
      <c r="BE510" s="2"/>
      <c r="BF510" s="2"/>
      <c r="BG510" s="2"/>
      <c r="BH510" s="2"/>
      <c r="BI510" s="2"/>
      <c r="BJ510" s="2"/>
      <c r="BK510" s="2"/>
      <c r="BL510" s="2"/>
      <c r="BM510" s="2"/>
      <c r="BN510" s="2"/>
      <c r="BO510" s="2"/>
      <c r="BP510" s="2"/>
      <c r="BQ510" s="2"/>
      <c r="BR510" s="2"/>
      <c r="BS510" s="2"/>
      <c r="BT510" s="2"/>
      <c r="BU510" s="2"/>
      <c r="BV510" s="2"/>
      <c r="BW510" s="2"/>
      <c r="BX510" s="2"/>
      <c r="BY510" s="2"/>
      <c r="BZ510" s="2"/>
      <c r="CA510" s="2"/>
      <c r="CB510" s="2"/>
      <c r="CC510" s="2"/>
      <c r="CD510" s="2"/>
      <c r="CE510" s="2"/>
      <c r="CF510" s="2"/>
    </row>
    <row r="511" spans="1:84" ht="12.65" customHeight="1" x14ac:dyDescent="0.35">
      <c r="A511" s="2" t="s">
        <v>527</v>
      </c>
      <c r="B511" s="335" t="e">
        <f>#REF!</f>
        <v>#REF!</v>
      </c>
      <c r="C511" s="335">
        <f>R71</f>
        <v>1294192.3599999999</v>
      </c>
      <c r="D511" s="335" t="e">
        <f>#REF!</f>
        <v>#REF!</v>
      </c>
      <c r="E511" s="2">
        <f>R59</f>
        <v>1277090</v>
      </c>
      <c r="F511" s="336" t="e">
        <f t="shared" si="16"/>
        <v>#REF!</v>
      </c>
      <c r="G511" s="336">
        <f t="shared" si="16"/>
        <v>1.0133916638608085</v>
      </c>
      <c r="H511" s="337" t="e">
        <f t="shared" si="17"/>
        <v>#REF!</v>
      </c>
      <c r="I511" s="267"/>
      <c r="J511" s="2"/>
      <c r="K511" s="333"/>
      <c r="L511" s="333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  <c r="AH511" s="2"/>
      <c r="AI511" s="2"/>
      <c r="AJ511" s="2"/>
      <c r="AK511" s="2"/>
      <c r="AL511" s="2"/>
      <c r="AM511" s="2"/>
      <c r="AN511" s="2"/>
      <c r="AO511" s="2"/>
      <c r="AP511" s="2"/>
      <c r="AQ511" s="2"/>
      <c r="AR511" s="2"/>
      <c r="AS511" s="2"/>
      <c r="AT511" s="2"/>
      <c r="AU511" s="2"/>
      <c r="AV511" s="2"/>
      <c r="AW511" s="2"/>
      <c r="AX511" s="2"/>
      <c r="AY511" s="2"/>
      <c r="AZ511" s="2"/>
      <c r="BA511" s="2"/>
      <c r="BB511" s="2"/>
      <c r="BC511" s="2"/>
      <c r="BD511" s="2"/>
      <c r="BE511" s="2"/>
      <c r="BF511" s="2"/>
      <c r="BG511" s="2"/>
      <c r="BH511" s="2"/>
      <c r="BI511" s="2"/>
      <c r="BJ511" s="2"/>
      <c r="BK511" s="2"/>
      <c r="BL511" s="2"/>
      <c r="BM511" s="2"/>
      <c r="BN511" s="2"/>
      <c r="BO511" s="2"/>
      <c r="BP511" s="2"/>
      <c r="BQ511" s="2"/>
      <c r="BR511" s="2"/>
      <c r="BS511" s="2"/>
      <c r="BT511" s="2"/>
      <c r="BU511" s="2"/>
      <c r="BV511" s="2"/>
      <c r="BW511" s="2"/>
      <c r="BX511" s="2"/>
      <c r="BY511" s="2"/>
      <c r="BZ511" s="2"/>
      <c r="CA511" s="2"/>
      <c r="CB511" s="2"/>
      <c r="CC511" s="2"/>
      <c r="CD511" s="2"/>
      <c r="CE511" s="2"/>
      <c r="CF511" s="2"/>
    </row>
    <row r="512" spans="1:84" ht="12.65" customHeight="1" x14ac:dyDescent="0.35">
      <c r="A512" s="2" t="s">
        <v>528</v>
      </c>
      <c r="B512" s="335" t="e">
        <f>#REF!</f>
        <v>#REF!</v>
      </c>
      <c r="C512" s="335">
        <f>S71</f>
        <v>2899012.1500000004</v>
      </c>
      <c r="D512" s="329" t="s">
        <v>529</v>
      </c>
      <c r="E512" s="329" t="s">
        <v>529</v>
      </c>
      <c r="F512" s="336" t="e">
        <f t="shared" ref="F512:G527" si="18">IF(B512=0,"",IF(D512=0,"",B512/D512))</f>
        <v>#REF!</v>
      </c>
      <c r="G512" s="336" t="str">
        <f t="shared" si="18"/>
        <v/>
      </c>
      <c r="H512" s="337" t="e">
        <f t="shared" si="17"/>
        <v>#REF!</v>
      </c>
      <c r="I512" s="267"/>
      <c r="J512" s="2"/>
      <c r="K512" s="333"/>
      <c r="L512" s="333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  <c r="AH512" s="2"/>
      <c r="AI512" s="2"/>
      <c r="AJ512" s="2"/>
      <c r="AK512" s="2"/>
      <c r="AL512" s="2"/>
      <c r="AM512" s="2"/>
      <c r="AN512" s="2"/>
      <c r="AO512" s="2"/>
      <c r="AP512" s="2"/>
      <c r="AQ512" s="2"/>
      <c r="AR512" s="2"/>
      <c r="AS512" s="2"/>
      <c r="AT512" s="2"/>
      <c r="AU512" s="2"/>
      <c r="AV512" s="2"/>
      <c r="AW512" s="2"/>
      <c r="AX512" s="2"/>
      <c r="AY512" s="2"/>
      <c r="AZ512" s="2"/>
      <c r="BA512" s="2"/>
      <c r="BB512" s="2"/>
      <c r="BC512" s="2"/>
      <c r="BD512" s="2"/>
      <c r="BE512" s="2"/>
      <c r="BF512" s="2"/>
      <c r="BG512" s="2"/>
      <c r="BH512" s="2"/>
      <c r="BI512" s="2"/>
      <c r="BJ512" s="2"/>
      <c r="BK512" s="2"/>
      <c r="BL512" s="2"/>
      <c r="BM512" s="2"/>
      <c r="BN512" s="2"/>
      <c r="BO512" s="2"/>
      <c r="BP512" s="2"/>
      <c r="BQ512" s="2"/>
      <c r="BR512" s="2"/>
      <c r="BS512" s="2"/>
      <c r="BT512" s="2"/>
      <c r="BU512" s="2"/>
      <c r="BV512" s="2"/>
      <c r="BW512" s="2"/>
      <c r="BX512" s="2"/>
      <c r="BY512" s="2"/>
      <c r="BZ512" s="2"/>
      <c r="CA512" s="2"/>
      <c r="CB512" s="2"/>
      <c r="CC512" s="2"/>
      <c r="CD512" s="2"/>
      <c r="CE512" s="2"/>
      <c r="CF512" s="2"/>
    </row>
    <row r="513" spans="1:84" ht="12.65" customHeight="1" x14ac:dyDescent="0.35">
      <c r="A513" s="2" t="s">
        <v>1245</v>
      </c>
      <c r="B513" s="335" t="e">
        <f>#REF!</f>
        <v>#REF!</v>
      </c>
      <c r="C513" s="335">
        <f>T71</f>
        <v>0</v>
      </c>
      <c r="D513" s="329" t="s">
        <v>529</v>
      </c>
      <c r="E513" s="329" t="s">
        <v>529</v>
      </c>
      <c r="F513" s="336" t="e">
        <f t="shared" si="18"/>
        <v>#REF!</v>
      </c>
      <c r="G513" s="336" t="str">
        <f t="shared" si="18"/>
        <v/>
      </c>
      <c r="H513" s="337" t="e">
        <f t="shared" si="17"/>
        <v>#REF!</v>
      </c>
      <c r="I513" s="267"/>
      <c r="J513" s="2"/>
      <c r="K513" s="333"/>
      <c r="L513" s="333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  <c r="AH513" s="2"/>
      <c r="AI513" s="2"/>
      <c r="AJ513" s="2"/>
      <c r="AK513" s="2"/>
      <c r="AL513" s="2"/>
      <c r="AM513" s="2"/>
      <c r="AN513" s="2"/>
      <c r="AO513" s="2"/>
      <c r="AP513" s="2"/>
      <c r="AQ513" s="2"/>
      <c r="AR513" s="2"/>
      <c r="AS513" s="2"/>
      <c r="AT513" s="2"/>
      <c r="AU513" s="2"/>
      <c r="AV513" s="2"/>
      <c r="AW513" s="2"/>
      <c r="AX513" s="2"/>
      <c r="AY513" s="2"/>
      <c r="AZ513" s="2"/>
      <c r="BA513" s="2"/>
      <c r="BB513" s="2"/>
      <c r="BC513" s="2"/>
      <c r="BD513" s="2"/>
      <c r="BE513" s="2"/>
      <c r="BF513" s="2"/>
      <c r="BG513" s="2"/>
      <c r="BH513" s="2"/>
      <c r="BI513" s="2"/>
      <c r="BJ513" s="2"/>
      <c r="BK513" s="2"/>
      <c r="BL513" s="2"/>
      <c r="BM513" s="2"/>
      <c r="BN513" s="2"/>
      <c r="BO513" s="2"/>
      <c r="BP513" s="2"/>
      <c r="BQ513" s="2"/>
      <c r="BR513" s="2"/>
      <c r="BS513" s="2"/>
      <c r="BT513" s="2"/>
      <c r="BU513" s="2"/>
      <c r="BV513" s="2"/>
      <c r="BW513" s="2"/>
      <c r="BX513" s="2"/>
      <c r="BY513" s="2"/>
      <c r="BZ513" s="2"/>
      <c r="CA513" s="2"/>
      <c r="CB513" s="2"/>
      <c r="CC513" s="2"/>
      <c r="CD513" s="2"/>
      <c r="CE513" s="2"/>
      <c r="CF513" s="2"/>
    </row>
    <row r="514" spans="1:84" ht="12.65" customHeight="1" x14ac:dyDescent="0.35">
      <c r="A514" s="2" t="s">
        <v>530</v>
      </c>
      <c r="B514" s="335" t="e">
        <f>#REF!</f>
        <v>#REF!</v>
      </c>
      <c r="C514" s="335">
        <f>U71</f>
        <v>17543932.050000001</v>
      </c>
      <c r="D514" s="335" t="e">
        <f>#REF!</f>
        <v>#REF!</v>
      </c>
      <c r="E514" s="2">
        <f>U59</f>
        <v>881954</v>
      </c>
      <c r="F514" s="336" t="e">
        <f t="shared" si="18"/>
        <v>#REF!</v>
      </c>
      <c r="G514" s="336">
        <f t="shared" si="18"/>
        <v>19.892116879111608</v>
      </c>
      <c r="H514" s="337" t="e">
        <f t="shared" si="17"/>
        <v>#REF!</v>
      </c>
      <c r="I514" s="267"/>
      <c r="J514" s="2"/>
      <c r="K514" s="333"/>
      <c r="L514" s="333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  <c r="AH514" s="2"/>
      <c r="AI514" s="2"/>
      <c r="AJ514" s="2"/>
      <c r="AK514" s="2"/>
      <c r="AL514" s="2"/>
      <c r="AM514" s="2"/>
      <c r="AN514" s="2"/>
      <c r="AO514" s="2"/>
      <c r="AP514" s="2"/>
      <c r="AQ514" s="2"/>
      <c r="AR514" s="2"/>
      <c r="AS514" s="2"/>
      <c r="AT514" s="2"/>
      <c r="AU514" s="2"/>
      <c r="AV514" s="2"/>
      <c r="AW514" s="2"/>
      <c r="AX514" s="2"/>
      <c r="AY514" s="2"/>
      <c r="AZ514" s="2"/>
      <c r="BA514" s="2"/>
      <c r="BB514" s="2"/>
      <c r="BC514" s="2"/>
      <c r="BD514" s="2"/>
      <c r="BE514" s="2"/>
      <c r="BF514" s="2"/>
      <c r="BG514" s="2"/>
      <c r="BH514" s="2"/>
      <c r="BI514" s="2"/>
      <c r="BJ514" s="2"/>
      <c r="BK514" s="2"/>
      <c r="BL514" s="2"/>
      <c r="BM514" s="2"/>
      <c r="BN514" s="2"/>
      <c r="BO514" s="2"/>
      <c r="BP514" s="2"/>
      <c r="BQ514" s="2"/>
      <c r="BR514" s="2"/>
      <c r="BS514" s="2"/>
      <c r="BT514" s="2"/>
      <c r="BU514" s="2"/>
      <c r="BV514" s="2"/>
      <c r="BW514" s="2"/>
      <c r="BX514" s="2"/>
      <c r="BY514" s="2"/>
      <c r="BZ514" s="2"/>
      <c r="CA514" s="2"/>
      <c r="CB514" s="2"/>
      <c r="CC514" s="2"/>
      <c r="CD514" s="2"/>
      <c r="CE514" s="2"/>
      <c r="CF514" s="2"/>
    </row>
    <row r="515" spans="1:84" ht="12.65" customHeight="1" x14ac:dyDescent="0.35">
      <c r="A515" s="2" t="s">
        <v>531</v>
      </c>
      <c r="B515" s="335" t="e">
        <f>#REF!</f>
        <v>#REF!</v>
      </c>
      <c r="C515" s="335">
        <f>V71</f>
        <v>218160.22000000003</v>
      </c>
      <c r="D515" s="335" t="e">
        <f>#REF!</f>
        <v>#REF!</v>
      </c>
      <c r="E515" s="2">
        <f>V59</f>
        <v>0</v>
      </c>
      <c r="F515" s="336" t="e">
        <f t="shared" si="18"/>
        <v>#REF!</v>
      </c>
      <c r="G515" s="336" t="str">
        <f t="shared" si="18"/>
        <v/>
      </c>
      <c r="H515" s="337" t="e">
        <f t="shared" si="17"/>
        <v>#REF!</v>
      </c>
      <c r="I515" s="267"/>
      <c r="J515" s="2"/>
      <c r="K515" s="333"/>
      <c r="L515" s="333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  <c r="AI515" s="2"/>
      <c r="AJ515" s="2"/>
      <c r="AK515" s="2"/>
      <c r="AL515" s="2"/>
      <c r="AM515" s="2"/>
      <c r="AN515" s="2"/>
      <c r="AO515" s="2"/>
      <c r="AP515" s="2"/>
      <c r="AQ515" s="2"/>
      <c r="AR515" s="2"/>
      <c r="AS515" s="2"/>
      <c r="AT515" s="2"/>
      <c r="AU515" s="2"/>
      <c r="AV515" s="2"/>
      <c r="AW515" s="2"/>
      <c r="AX515" s="2"/>
      <c r="AY515" s="2"/>
      <c r="AZ515" s="2"/>
      <c r="BA515" s="2"/>
      <c r="BB515" s="2"/>
      <c r="BC515" s="2"/>
      <c r="BD515" s="2"/>
      <c r="BE515" s="2"/>
      <c r="BF515" s="2"/>
      <c r="BG515" s="2"/>
      <c r="BH515" s="2"/>
      <c r="BI515" s="2"/>
      <c r="BJ515" s="2"/>
      <c r="BK515" s="2"/>
      <c r="BL515" s="2"/>
      <c r="BM515" s="2"/>
      <c r="BN515" s="2"/>
      <c r="BO515" s="2"/>
      <c r="BP515" s="2"/>
      <c r="BQ515" s="2"/>
      <c r="BR515" s="2"/>
      <c r="BS515" s="2"/>
      <c r="BT515" s="2"/>
      <c r="BU515" s="2"/>
      <c r="BV515" s="2"/>
      <c r="BW515" s="2"/>
      <c r="BX515" s="2"/>
      <c r="BY515" s="2"/>
      <c r="BZ515" s="2"/>
      <c r="CA515" s="2"/>
      <c r="CB515" s="2"/>
      <c r="CC515" s="2"/>
      <c r="CD515" s="2"/>
      <c r="CE515" s="2"/>
      <c r="CF515" s="2"/>
    </row>
    <row r="516" spans="1:84" ht="12.65" customHeight="1" x14ac:dyDescent="0.35">
      <c r="A516" s="2" t="s">
        <v>532</v>
      </c>
      <c r="B516" s="335" t="e">
        <f>#REF!</f>
        <v>#REF!</v>
      </c>
      <c r="C516" s="335">
        <f>W71</f>
        <v>1361517.1</v>
      </c>
      <c r="D516" s="335" t="e">
        <f>#REF!</f>
        <v>#REF!</v>
      </c>
      <c r="E516" s="2">
        <f>W59</f>
        <v>30016.71</v>
      </c>
      <c r="F516" s="336" t="e">
        <f t="shared" si="18"/>
        <v>#REF!</v>
      </c>
      <c r="G516" s="336">
        <f t="shared" si="18"/>
        <v>45.358638571648932</v>
      </c>
      <c r="H516" s="337" t="e">
        <f t="shared" si="17"/>
        <v>#REF!</v>
      </c>
      <c r="I516" s="267"/>
      <c r="J516" s="2"/>
      <c r="K516" s="333"/>
      <c r="L516" s="333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"/>
      <c r="AI516" s="2"/>
      <c r="AJ516" s="2"/>
      <c r="AK516" s="2"/>
      <c r="AL516" s="2"/>
      <c r="AM516" s="2"/>
      <c r="AN516" s="2"/>
      <c r="AO516" s="2"/>
      <c r="AP516" s="2"/>
      <c r="AQ516" s="2"/>
      <c r="AR516" s="2"/>
      <c r="AS516" s="2"/>
      <c r="AT516" s="2"/>
      <c r="AU516" s="2"/>
      <c r="AV516" s="2"/>
      <c r="AW516" s="2"/>
      <c r="AX516" s="2"/>
      <c r="AY516" s="2"/>
      <c r="AZ516" s="2"/>
      <c r="BA516" s="2"/>
      <c r="BB516" s="2"/>
      <c r="BC516" s="2"/>
      <c r="BD516" s="2"/>
      <c r="BE516" s="2"/>
      <c r="BF516" s="2"/>
      <c r="BG516" s="2"/>
      <c r="BH516" s="2"/>
      <c r="BI516" s="2"/>
      <c r="BJ516" s="2"/>
      <c r="BK516" s="2"/>
      <c r="BL516" s="2"/>
      <c r="BM516" s="2"/>
      <c r="BN516" s="2"/>
      <c r="BO516" s="2"/>
      <c r="BP516" s="2"/>
      <c r="BQ516" s="2"/>
      <c r="BR516" s="2"/>
      <c r="BS516" s="2"/>
      <c r="BT516" s="2"/>
      <c r="BU516" s="2"/>
      <c r="BV516" s="2"/>
      <c r="BW516" s="2"/>
      <c r="BX516" s="2"/>
      <c r="BY516" s="2"/>
      <c r="BZ516" s="2"/>
      <c r="CA516" s="2"/>
      <c r="CB516" s="2"/>
      <c r="CC516" s="2"/>
      <c r="CD516" s="2"/>
      <c r="CE516" s="2"/>
      <c r="CF516" s="2"/>
    </row>
    <row r="517" spans="1:84" ht="12.65" customHeight="1" x14ac:dyDescent="0.35">
      <c r="A517" s="2" t="s">
        <v>533</v>
      </c>
      <c r="B517" s="335" t="e">
        <f>#REF!</f>
        <v>#REF!</v>
      </c>
      <c r="C517" s="335">
        <f>X71</f>
        <v>2606730.7199999997</v>
      </c>
      <c r="D517" s="335" t="e">
        <f>#REF!</f>
        <v>#REF!</v>
      </c>
      <c r="E517" s="2">
        <f>X59</f>
        <v>138648.74</v>
      </c>
      <c r="F517" s="336" t="e">
        <f t="shared" si="18"/>
        <v>#REF!</v>
      </c>
      <c r="G517" s="336">
        <f t="shared" si="18"/>
        <v>18.800969413786234</v>
      </c>
      <c r="H517" s="337" t="e">
        <f t="shared" si="17"/>
        <v>#REF!</v>
      </c>
      <c r="I517" s="267"/>
      <c r="J517" s="2"/>
      <c r="K517" s="333"/>
      <c r="L517" s="333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"/>
      <c r="AI517" s="2"/>
      <c r="AJ517" s="2"/>
      <c r="AK517" s="2"/>
      <c r="AL517" s="2"/>
      <c r="AM517" s="2"/>
      <c r="AN517" s="2"/>
      <c r="AO517" s="2"/>
      <c r="AP517" s="2"/>
      <c r="AQ517" s="2"/>
      <c r="AR517" s="2"/>
      <c r="AS517" s="2"/>
      <c r="AT517" s="2"/>
      <c r="AU517" s="2"/>
      <c r="AV517" s="2"/>
      <c r="AW517" s="2"/>
      <c r="AX517" s="2"/>
      <c r="AY517" s="2"/>
      <c r="AZ517" s="2"/>
      <c r="BA517" s="2"/>
      <c r="BB517" s="2"/>
      <c r="BC517" s="2"/>
      <c r="BD517" s="2"/>
      <c r="BE517" s="2"/>
      <c r="BF517" s="2"/>
      <c r="BG517" s="2"/>
      <c r="BH517" s="2"/>
      <c r="BI517" s="2"/>
      <c r="BJ517" s="2"/>
      <c r="BK517" s="2"/>
      <c r="BL517" s="2"/>
      <c r="BM517" s="2"/>
      <c r="BN517" s="2"/>
      <c r="BO517" s="2"/>
      <c r="BP517" s="2"/>
      <c r="BQ517" s="2"/>
      <c r="BR517" s="2"/>
      <c r="BS517" s="2"/>
      <c r="BT517" s="2"/>
      <c r="BU517" s="2"/>
      <c r="BV517" s="2"/>
      <c r="BW517" s="2"/>
      <c r="BX517" s="2"/>
      <c r="BY517" s="2"/>
      <c r="BZ517" s="2"/>
      <c r="CA517" s="2"/>
      <c r="CB517" s="2"/>
      <c r="CC517" s="2"/>
      <c r="CD517" s="2"/>
      <c r="CE517" s="2"/>
      <c r="CF517" s="2"/>
    </row>
    <row r="518" spans="1:84" ht="12.65" customHeight="1" x14ac:dyDescent="0.35">
      <c r="A518" s="2" t="s">
        <v>534</v>
      </c>
      <c r="B518" s="335" t="e">
        <f>#REF!</f>
        <v>#REF!</v>
      </c>
      <c r="C518" s="335">
        <f>Y71</f>
        <v>30539349.609999999</v>
      </c>
      <c r="D518" s="335" t="e">
        <f>#REF!</f>
        <v>#REF!</v>
      </c>
      <c r="E518" s="2">
        <f>Y59</f>
        <v>336276.15</v>
      </c>
      <c r="F518" s="336" t="e">
        <f t="shared" si="18"/>
        <v>#REF!</v>
      </c>
      <c r="G518" s="336">
        <f t="shared" si="18"/>
        <v>90.816281826706998</v>
      </c>
      <c r="H518" s="337" t="e">
        <f t="shared" si="17"/>
        <v>#REF!</v>
      </c>
      <c r="I518" s="267"/>
      <c r="J518" s="2"/>
      <c r="K518" s="333"/>
      <c r="L518" s="333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  <c r="AH518" s="2"/>
      <c r="AI518" s="2"/>
      <c r="AJ518" s="2"/>
      <c r="AK518" s="2"/>
      <c r="AL518" s="2"/>
      <c r="AM518" s="2"/>
      <c r="AN518" s="2"/>
      <c r="AO518" s="2"/>
      <c r="AP518" s="2"/>
      <c r="AQ518" s="2"/>
      <c r="AR518" s="2"/>
      <c r="AS518" s="2"/>
      <c r="AT518" s="2"/>
      <c r="AU518" s="2"/>
      <c r="AV518" s="2"/>
      <c r="AW518" s="2"/>
      <c r="AX518" s="2"/>
      <c r="AY518" s="2"/>
      <c r="AZ518" s="2"/>
      <c r="BA518" s="2"/>
      <c r="BB518" s="2"/>
      <c r="BC518" s="2"/>
      <c r="BD518" s="2"/>
      <c r="BE518" s="2"/>
      <c r="BF518" s="2"/>
      <c r="BG518" s="2"/>
      <c r="BH518" s="2"/>
      <c r="BI518" s="2"/>
      <c r="BJ518" s="2"/>
      <c r="BK518" s="2"/>
      <c r="BL518" s="2"/>
      <c r="BM518" s="2"/>
      <c r="BN518" s="2"/>
      <c r="BO518" s="2"/>
      <c r="BP518" s="2"/>
      <c r="BQ518" s="2"/>
      <c r="BR518" s="2"/>
      <c r="BS518" s="2"/>
      <c r="BT518" s="2"/>
      <c r="BU518" s="2"/>
      <c r="BV518" s="2"/>
      <c r="BW518" s="2"/>
      <c r="BX518" s="2"/>
      <c r="BY518" s="2"/>
      <c r="BZ518" s="2"/>
      <c r="CA518" s="2"/>
      <c r="CB518" s="2"/>
      <c r="CC518" s="2"/>
      <c r="CD518" s="2"/>
      <c r="CE518" s="2"/>
      <c r="CF518" s="2"/>
    </row>
    <row r="519" spans="1:84" ht="12.65" customHeight="1" x14ac:dyDescent="0.35">
      <c r="A519" s="2" t="s">
        <v>535</v>
      </c>
      <c r="B519" s="335" t="e">
        <f>#REF!</f>
        <v>#REF!</v>
      </c>
      <c r="C519" s="335">
        <f>Z71</f>
        <v>8133401.04</v>
      </c>
      <c r="D519" s="335" t="e">
        <f>#REF!</f>
        <v>#REF!</v>
      </c>
      <c r="E519" s="2">
        <f>Z59</f>
        <v>60040.18</v>
      </c>
      <c r="F519" s="336" t="e">
        <f t="shared" si="18"/>
        <v>#REF!</v>
      </c>
      <c r="G519" s="336">
        <f t="shared" si="18"/>
        <v>135.46596695746081</v>
      </c>
      <c r="H519" s="337" t="e">
        <f t="shared" si="17"/>
        <v>#REF!</v>
      </c>
      <c r="I519" s="267"/>
      <c r="J519" s="2"/>
      <c r="K519" s="333"/>
      <c r="L519" s="333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  <c r="AH519" s="2"/>
      <c r="AI519" s="2"/>
      <c r="AJ519" s="2"/>
      <c r="AK519" s="2"/>
      <c r="AL519" s="2"/>
      <c r="AM519" s="2"/>
      <c r="AN519" s="2"/>
      <c r="AO519" s="2"/>
      <c r="AP519" s="2"/>
      <c r="AQ519" s="2"/>
      <c r="AR519" s="2"/>
      <c r="AS519" s="2"/>
      <c r="AT519" s="2"/>
      <c r="AU519" s="2"/>
      <c r="AV519" s="2"/>
      <c r="AW519" s="2"/>
      <c r="AX519" s="2"/>
      <c r="AY519" s="2"/>
      <c r="AZ519" s="2"/>
      <c r="BA519" s="2"/>
      <c r="BB519" s="2"/>
      <c r="BC519" s="2"/>
      <c r="BD519" s="2"/>
      <c r="BE519" s="2"/>
      <c r="BF519" s="2"/>
      <c r="BG519" s="2"/>
      <c r="BH519" s="2"/>
      <c r="BI519" s="2"/>
      <c r="BJ519" s="2"/>
      <c r="BK519" s="2"/>
      <c r="BL519" s="2"/>
      <c r="BM519" s="2"/>
      <c r="BN519" s="2"/>
      <c r="BO519" s="2"/>
      <c r="BP519" s="2"/>
      <c r="BQ519" s="2"/>
      <c r="BR519" s="2"/>
      <c r="BS519" s="2"/>
      <c r="BT519" s="2"/>
      <c r="BU519" s="2"/>
      <c r="BV519" s="2"/>
      <c r="BW519" s="2"/>
      <c r="BX519" s="2"/>
      <c r="BY519" s="2"/>
      <c r="BZ519" s="2"/>
      <c r="CA519" s="2"/>
      <c r="CB519" s="2"/>
      <c r="CC519" s="2"/>
      <c r="CD519" s="2"/>
      <c r="CE519" s="2"/>
      <c r="CF519" s="2"/>
    </row>
    <row r="520" spans="1:84" ht="12.65" customHeight="1" x14ac:dyDescent="0.35">
      <c r="A520" s="2" t="s">
        <v>536</v>
      </c>
      <c r="B520" s="335" t="e">
        <f>#REF!</f>
        <v>#REF!</v>
      </c>
      <c r="C520" s="335">
        <f>AA71</f>
        <v>1227813.33</v>
      </c>
      <c r="D520" s="335" t="e">
        <f>#REF!</f>
        <v>#REF!</v>
      </c>
      <c r="E520" s="2">
        <f>AA59</f>
        <v>13413.4</v>
      </c>
      <c r="F520" s="336" t="e">
        <f t="shared" si="18"/>
        <v>#REF!</v>
      </c>
      <c r="G520" s="336">
        <f t="shared" si="18"/>
        <v>91.53632412363757</v>
      </c>
      <c r="H520" s="337" t="e">
        <f t="shared" si="17"/>
        <v>#REF!</v>
      </c>
      <c r="I520" s="267"/>
      <c r="J520" s="2"/>
      <c r="K520" s="333"/>
      <c r="L520" s="333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  <c r="AI520" s="2"/>
      <c r="AJ520" s="2"/>
      <c r="AK520" s="2"/>
      <c r="AL520" s="2"/>
      <c r="AM520" s="2"/>
      <c r="AN520" s="2"/>
      <c r="AO520" s="2"/>
      <c r="AP520" s="2"/>
      <c r="AQ520" s="2"/>
      <c r="AR520" s="2"/>
      <c r="AS520" s="2"/>
      <c r="AT520" s="2"/>
      <c r="AU520" s="2"/>
      <c r="AV520" s="2"/>
      <c r="AW520" s="2"/>
      <c r="AX520" s="2"/>
      <c r="AY520" s="2"/>
      <c r="AZ520" s="2"/>
      <c r="BA520" s="2"/>
      <c r="BB520" s="2"/>
      <c r="BC520" s="2"/>
      <c r="BD520" s="2"/>
      <c r="BE520" s="2"/>
      <c r="BF520" s="2"/>
      <c r="BG520" s="2"/>
      <c r="BH520" s="2"/>
      <c r="BI520" s="2"/>
      <c r="BJ520" s="2"/>
      <c r="BK520" s="2"/>
      <c r="BL520" s="2"/>
      <c r="BM520" s="2"/>
      <c r="BN520" s="2"/>
      <c r="BO520" s="2"/>
      <c r="BP520" s="2"/>
      <c r="BQ520" s="2"/>
      <c r="BR520" s="2"/>
      <c r="BS520" s="2"/>
      <c r="BT520" s="2"/>
      <c r="BU520" s="2"/>
      <c r="BV520" s="2"/>
      <c r="BW520" s="2"/>
      <c r="BX520" s="2"/>
      <c r="BY520" s="2"/>
      <c r="BZ520" s="2"/>
      <c r="CA520" s="2"/>
      <c r="CB520" s="2"/>
      <c r="CC520" s="2"/>
      <c r="CD520" s="2"/>
      <c r="CE520" s="2"/>
      <c r="CF520" s="2"/>
    </row>
    <row r="521" spans="1:84" ht="12.65" customHeight="1" x14ac:dyDescent="0.35">
      <c r="A521" s="2" t="s">
        <v>537</v>
      </c>
      <c r="B521" s="335" t="e">
        <f>#REF!</f>
        <v>#REF!</v>
      </c>
      <c r="C521" s="335">
        <f>AB71</f>
        <v>25126454.330000006</v>
      </c>
      <c r="D521" s="329" t="s">
        <v>529</v>
      </c>
      <c r="E521" s="329" t="s">
        <v>529</v>
      </c>
      <c r="F521" s="336" t="e">
        <f t="shared" si="18"/>
        <v>#REF!</v>
      </c>
      <c r="G521" s="336" t="str">
        <f t="shared" si="18"/>
        <v/>
      </c>
      <c r="H521" s="337" t="e">
        <f t="shared" si="17"/>
        <v>#REF!</v>
      </c>
      <c r="I521" s="267"/>
      <c r="J521" s="2"/>
      <c r="K521" s="333"/>
      <c r="L521" s="333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  <c r="AI521" s="2"/>
      <c r="AJ521" s="2"/>
      <c r="AK521" s="2"/>
      <c r="AL521" s="2"/>
      <c r="AM521" s="2"/>
      <c r="AN521" s="2"/>
      <c r="AO521" s="2"/>
      <c r="AP521" s="2"/>
      <c r="AQ521" s="2"/>
      <c r="AR521" s="2"/>
      <c r="AS521" s="2"/>
      <c r="AT521" s="2"/>
      <c r="AU521" s="2"/>
      <c r="AV521" s="2"/>
      <c r="AW521" s="2"/>
      <c r="AX521" s="2"/>
      <c r="AY521" s="2"/>
      <c r="AZ521" s="2"/>
      <c r="BA521" s="2"/>
      <c r="BB521" s="2"/>
      <c r="BC521" s="2"/>
      <c r="BD521" s="2"/>
      <c r="BE521" s="2"/>
      <c r="BF521" s="2"/>
      <c r="BG521" s="2"/>
      <c r="BH521" s="2"/>
      <c r="BI521" s="2"/>
      <c r="BJ521" s="2"/>
      <c r="BK521" s="2"/>
      <c r="BL521" s="2"/>
      <c r="BM521" s="2"/>
      <c r="BN521" s="2"/>
      <c r="BO521" s="2"/>
      <c r="BP521" s="2"/>
      <c r="BQ521" s="2"/>
      <c r="BR521" s="2"/>
      <c r="BS521" s="2"/>
      <c r="BT521" s="2"/>
      <c r="BU521" s="2"/>
      <c r="BV521" s="2"/>
      <c r="BW521" s="2"/>
      <c r="BX521" s="2"/>
      <c r="BY521" s="2"/>
      <c r="BZ521" s="2"/>
      <c r="CA521" s="2"/>
      <c r="CB521" s="2"/>
      <c r="CC521" s="2"/>
      <c r="CD521" s="2"/>
      <c r="CE521" s="2"/>
      <c r="CF521" s="2"/>
    </row>
    <row r="522" spans="1:84" ht="12.65" customHeight="1" x14ac:dyDescent="0.35">
      <c r="A522" s="2" t="s">
        <v>538</v>
      </c>
      <c r="B522" s="335" t="e">
        <f>#REF!</f>
        <v>#REF!</v>
      </c>
      <c r="C522" s="335">
        <f>AC71</f>
        <v>3776362.15</v>
      </c>
      <c r="D522" s="335" t="e">
        <f>#REF!</f>
        <v>#REF!</v>
      </c>
      <c r="E522" s="2">
        <f>AC59</f>
        <v>24456.870000000003</v>
      </c>
      <c r="F522" s="336" t="e">
        <f t="shared" si="18"/>
        <v>#REF!</v>
      </c>
      <c r="G522" s="336">
        <f t="shared" si="18"/>
        <v>154.40905357063269</v>
      </c>
      <c r="H522" s="337" t="e">
        <f t="shared" si="17"/>
        <v>#REF!</v>
      </c>
      <c r="I522" s="267"/>
      <c r="J522" s="2"/>
      <c r="K522" s="333"/>
      <c r="L522" s="333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  <c r="AH522" s="2"/>
      <c r="AI522" s="2"/>
      <c r="AJ522" s="2"/>
      <c r="AK522" s="2"/>
      <c r="AL522" s="2"/>
      <c r="AM522" s="2"/>
      <c r="AN522" s="2"/>
      <c r="AO522" s="2"/>
      <c r="AP522" s="2"/>
      <c r="AQ522" s="2"/>
      <c r="AR522" s="2"/>
      <c r="AS522" s="2"/>
      <c r="AT522" s="2"/>
      <c r="AU522" s="2"/>
      <c r="AV522" s="2"/>
      <c r="AW522" s="2"/>
      <c r="AX522" s="2"/>
      <c r="AY522" s="2"/>
      <c r="AZ522" s="2"/>
      <c r="BA522" s="2"/>
      <c r="BB522" s="2"/>
      <c r="BC522" s="2"/>
      <c r="BD522" s="2"/>
      <c r="BE522" s="2"/>
      <c r="BF522" s="2"/>
      <c r="BG522" s="2"/>
      <c r="BH522" s="2"/>
      <c r="BI522" s="2"/>
      <c r="BJ522" s="2"/>
      <c r="BK522" s="2"/>
      <c r="BL522" s="2"/>
      <c r="BM522" s="2"/>
      <c r="BN522" s="2"/>
      <c r="BO522" s="2"/>
      <c r="BP522" s="2"/>
      <c r="BQ522" s="2"/>
      <c r="BR522" s="2"/>
      <c r="BS522" s="2"/>
      <c r="BT522" s="2"/>
      <c r="BU522" s="2"/>
      <c r="BV522" s="2"/>
      <c r="BW522" s="2"/>
      <c r="BX522" s="2"/>
      <c r="BY522" s="2"/>
      <c r="BZ522" s="2"/>
      <c r="CA522" s="2"/>
      <c r="CB522" s="2"/>
      <c r="CC522" s="2"/>
      <c r="CD522" s="2"/>
      <c r="CE522" s="2"/>
      <c r="CF522" s="2"/>
    </row>
    <row r="523" spans="1:84" ht="12.65" customHeight="1" x14ac:dyDescent="0.35">
      <c r="A523" s="2" t="s">
        <v>539</v>
      </c>
      <c r="B523" s="335" t="e">
        <f>#REF!</f>
        <v>#REF!</v>
      </c>
      <c r="C523" s="335">
        <f>AD71</f>
        <v>0</v>
      </c>
      <c r="D523" s="335" t="e">
        <f>#REF!</f>
        <v>#REF!</v>
      </c>
      <c r="E523" s="2">
        <f>AD59</f>
        <v>0</v>
      </c>
      <c r="F523" s="336" t="e">
        <f t="shared" si="18"/>
        <v>#REF!</v>
      </c>
      <c r="G523" s="336" t="str">
        <f t="shared" si="18"/>
        <v/>
      </c>
      <c r="H523" s="337" t="e">
        <f t="shared" si="17"/>
        <v>#REF!</v>
      </c>
      <c r="I523" s="267"/>
      <c r="J523" s="2"/>
      <c r="K523" s="333"/>
      <c r="L523" s="333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  <c r="AH523" s="2"/>
      <c r="AI523" s="2"/>
      <c r="AJ523" s="2"/>
      <c r="AK523" s="2"/>
      <c r="AL523" s="2"/>
      <c r="AM523" s="2"/>
      <c r="AN523" s="2"/>
      <c r="AO523" s="2"/>
      <c r="AP523" s="2"/>
      <c r="AQ523" s="2"/>
      <c r="AR523" s="2"/>
      <c r="AS523" s="2"/>
      <c r="AT523" s="2"/>
      <c r="AU523" s="2"/>
      <c r="AV523" s="2"/>
      <c r="AW523" s="2"/>
      <c r="AX523" s="2"/>
      <c r="AY523" s="2"/>
      <c r="AZ523" s="2"/>
      <c r="BA523" s="2"/>
      <c r="BB523" s="2"/>
      <c r="BC523" s="2"/>
      <c r="BD523" s="2"/>
      <c r="BE523" s="2"/>
      <c r="BF523" s="2"/>
      <c r="BG523" s="2"/>
      <c r="BH523" s="2"/>
      <c r="BI523" s="2"/>
      <c r="BJ523" s="2"/>
      <c r="BK523" s="2"/>
      <c r="BL523" s="2"/>
      <c r="BM523" s="2"/>
      <c r="BN523" s="2"/>
      <c r="BO523" s="2"/>
      <c r="BP523" s="2"/>
      <c r="BQ523" s="2"/>
      <c r="BR523" s="2"/>
      <c r="BS523" s="2"/>
      <c r="BT523" s="2"/>
      <c r="BU523" s="2"/>
      <c r="BV523" s="2"/>
      <c r="BW523" s="2"/>
      <c r="BX523" s="2"/>
      <c r="BY523" s="2"/>
      <c r="BZ523" s="2"/>
      <c r="CA523" s="2"/>
      <c r="CB523" s="2"/>
      <c r="CC523" s="2"/>
      <c r="CD523" s="2"/>
      <c r="CE523" s="2"/>
      <c r="CF523" s="2"/>
    </row>
    <row r="524" spans="1:84" ht="12.65" customHeight="1" x14ac:dyDescent="0.35">
      <c r="A524" s="2" t="s">
        <v>540</v>
      </c>
      <c r="B524" s="335" t="e">
        <f>#REF!</f>
        <v>#REF!</v>
      </c>
      <c r="C524" s="335">
        <f>AE71</f>
        <v>6331645.6100000013</v>
      </c>
      <c r="D524" s="335" t="e">
        <f>#REF!</f>
        <v>#REF!</v>
      </c>
      <c r="E524" s="2">
        <f>AE59</f>
        <v>72038</v>
      </c>
      <c r="F524" s="336" t="e">
        <f t="shared" si="18"/>
        <v>#REF!</v>
      </c>
      <c r="G524" s="336">
        <f t="shared" si="18"/>
        <v>87.893134317998857</v>
      </c>
      <c r="H524" s="337" t="e">
        <f t="shared" si="17"/>
        <v>#REF!</v>
      </c>
      <c r="I524" s="267"/>
      <c r="J524" s="2"/>
      <c r="K524" s="333"/>
      <c r="L524" s="333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  <c r="AH524" s="2"/>
      <c r="AI524" s="2"/>
      <c r="AJ524" s="2"/>
      <c r="AK524" s="2"/>
      <c r="AL524" s="2"/>
      <c r="AM524" s="2"/>
      <c r="AN524" s="2"/>
      <c r="AO524" s="2"/>
      <c r="AP524" s="2"/>
      <c r="AQ524" s="2"/>
      <c r="AR524" s="2"/>
      <c r="AS524" s="2"/>
      <c r="AT524" s="2"/>
      <c r="AU524" s="2"/>
      <c r="AV524" s="2"/>
      <c r="AW524" s="2"/>
      <c r="AX524" s="2"/>
      <c r="AY524" s="2"/>
      <c r="AZ524" s="2"/>
      <c r="BA524" s="2"/>
      <c r="BB524" s="2"/>
      <c r="BC524" s="2"/>
      <c r="BD524" s="2"/>
      <c r="BE524" s="2"/>
      <c r="BF524" s="2"/>
      <c r="BG524" s="2"/>
      <c r="BH524" s="2"/>
      <c r="BI524" s="2"/>
      <c r="BJ524" s="2"/>
      <c r="BK524" s="2"/>
      <c r="BL524" s="2"/>
      <c r="BM524" s="2"/>
      <c r="BN524" s="2"/>
      <c r="BO524" s="2"/>
      <c r="BP524" s="2"/>
      <c r="BQ524" s="2"/>
      <c r="BR524" s="2"/>
      <c r="BS524" s="2"/>
      <c r="BT524" s="2"/>
      <c r="BU524" s="2"/>
      <c r="BV524" s="2"/>
      <c r="BW524" s="2"/>
      <c r="BX524" s="2"/>
      <c r="BY524" s="2"/>
      <c r="BZ524" s="2"/>
      <c r="CA524" s="2"/>
      <c r="CB524" s="2"/>
      <c r="CC524" s="2"/>
      <c r="CD524" s="2"/>
      <c r="CE524" s="2"/>
      <c r="CF524" s="2"/>
    </row>
    <row r="525" spans="1:84" ht="12.65" customHeight="1" x14ac:dyDescent="0.35">
      <c r="A525" s="2" t="s">
        <v>541</v>
      </c>
      <c r="B525" s="335" t="e">
        <f>#REF!</f>
        <v>#REF!</v>
      </c>
      <c r="C525" s="335">
        <f>AF71</f>
        <v>0</v>
      </c>
      <c r="D525" s="335" t="e">
        <f>#REF!</f>
        <v>#REF!</v>
      </c>
      <c r="E525" s="2">
        <f>AF59</f>
        <v>0</v>
      </c>
      <c r="F525" s="336" t="e">
        <f t="shared" si="18"/>
        <v>#REF!</v>
      </c>
      <c r="G525" s="336" t="str">
        <f t="shared" si="18"/>
        <v/>
      </c>
      <c r="H525" s="337" t="e">
        <f t="shared" si="17"/>
        <v>#REF!</v>
      </c>
      <c r="I525" s="267"/>
      <c r="J525" s="2"/>
      <c r="K525" s="333"/>
      <c r="L525" s="333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  <c r="AI525" s="2"/>
      <c r="AJ525" s="2"/>
      <c r="AK525" s="2"/>
      <c r="AL525" s="2"/>
      <c r="AM525" s="2"/>
      <c r="AN525" s="2"/>
      <c r="AO525" s="2"/>
      <c r="AP525" s="2"/>
      <c r="AQ525" s="2"/>
      <c r="AR525" s="2"/>
      <c r="AS525" s="2"/>
      <c r="AT525" s="2"/>
      <c r="AU525" s="2"/>
      <c r="AV525" s="2"/>
      <c r="AW525" s="2"/>
      <c r="AX525" s="2"/>
      <c r="AY525" s="2"/>
      <c r="AZ525" s="2"/>
      <c r="BA525" s="2"/>
      <c r="BB525" s="2"/>
      <c r="BC525" s="2"/>
      <c r="BD525" s="2"/>
      <c r="BE525" s="2"/>
      <c r="BF525" s="2"/>
      <c r="BG525" s="2"/>
      <c r="BH525" s="2"/>
      <c r="BI525" s="2"/>
      <c r="BJ525" s="2"/>
      <c r="BK525" s="2"/>
      <c r="BL525" s="2"/>
      <c r="BM525" s="2"/>
      <c r="BN525" s="2"/>
      <c r="BO525" s="2"/>
      <c r="BP525" s="2"/>
      <c r="BQ525" s="2"/>
      <c r="BR525" s="2"/>
      <c r="BS525" s="2"/>
      <c r="BT525" s="2"/>
      <c r="BU525" s="2"/>
      <c r="BV525" s="2"/>
      <c r="BW525" s="2"/>
      <c r="BX525" s="2"/>
      <c r="BY525" s="2"/>
      <c r="BZ525" s="2"/>
      <c r="CA525" s="2"/>
      <c r="CB525" s="2"/>
      <c r="CC525" s="2"/>
      <c r="CD525" s="2"/>
      <c r="CE525" s="2"/>
      <c r="CF525" s="2"/>
    </row>
    <row r="526" spans="1:84" ht="12.65" customHeight="1" x14ac:dyDescent="0.35">
      <c r="A526" s="2" t="s">
        <v>542</v>
      </c>
      <c r="B526" s="335" t="e">
        <f>#REF!</f>
        <v>#REF!</v>
      </c>
      <c r="C526" s="335">
        <f>AG71</f>
        <v>16616042.75</v>
      </c>
      <c r="D526" s="335" t="e">
        <f>#REF!</f>
        <v>#REF!</v>
      </c>
      <c r="E526" s="2">
        <f>AG59</f>
        <v>95286</v>
      </c>
      <c r="F526" s="336" t="e">
        <f t="shared" si="18"/>
        <v>#REF!</v>
      </c>
      <c r="G526" s="336">
        <f t="shared" si="18"/>
        <v>174.38073536511135</v>
      </c>
      <c r="H526" s="337" t="e">
        <f t="shared" si="17"/>
        <v>#REF!</v>
      </c>
      <c r="I526" s="267"/>
      <c r="J526" s="2"/>
      <c r="K526" s="333"/>
      <c r="L526" s="333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  <c r="AI526" s="2"/>
      <c r="AJ526" s="2"/>
      <c r="AK526" s="2"/>
      <c r="AL526" s="2"/>
      <c r="AM526" s="2"/>
      <c r="AN526" s="2"/>
      <c r="AO526" s="2"/>
      <c r="AP526" s="2"/>
      <c r="AQ526" s="2"/>
      <c r="AR526" s="2"/>
      <c r="AS526" s="2"/>
      <c r="AT526" s="2"/>
      <c r="AU526" s="2"/>
      <c r="AV526" s="2"/>
      <c r="AW526" s="2"/>
      <c r="AX526" s="2"/>
      <c r="AY526" s="2"/>
      <c r="AZ526" s="2"/>
      <c r="BA526" s="2"/>
      <c r="BB526" s="2"/>
      <c r="BC526" s="2"/>
      <c r="BD526" s="2"/>
      <c r="BE526" s="2"/>
      <c r="BF526" s="2"/>
      <c r="BG526" s="2"/>
      <c r="BH526" s="2"/>
      <c r="BI526" s="2"/>
      <c r="BJ526" s="2"/>
      <c r="BK526" s="2"/>
      <c r="BL526" s="2"/>
      <c r="BM526" s="2"/>
      <c r="BN526" s="2"/>
      <c r="BO526" s="2"/>
      <c r="BP526" s="2"/>
      <c r="BQ526" s="2"/>
      <c r="BR526" s="2"/>
      <c r="BS526" s="2"/>
      <c r="BT526" s="2"/>
      <c r="BU526" s="2"/>
      <c r="BV526" s="2"/>
      <c r="BW526" s="2"/>
      <c r="BX526" s="2"/>
      <c r="BY526" s="2"/>
      <c r="BZ526" s="2"/>
      <c r="CA526" s="2"/>
      <c r="CB526" s="2"/>
      <c r="CC526" s="2"/>
      <c r="CD526" s="2"/>
      <c r="CE526" s="2"/>
      <c r="CF526" s="2"/>
    </row>
    <row r="527" spans="1:84" ht="12.65" customHeight="1" x14ac:dyDescent="0.35">
      <c r="A527" s="2" t="s">
        <v>543</v>
      </c>
      <c r="B527" s="335" t="e">
        <f>#REF!</f>
        <v>#REF!</v>
      </c>
      <c r="C527" s="335">
        <f>AH71</f>
        <v>0</v>
      </c>
      <c r="D527" s="335" t="e">
        <f>#REF!</f>
        <v>#REF!</v>
      </c>
      <c r="E527" s="2">
        <f>AH59</f>
        <v>0</v>
      </c>
      <c r="F527" s="336" t="e">
        <f t="shared" si="18"/>
        <v>#REF!</v>
      </c>
      <c r="G527" s="336" t="str">
        <f t="shared" si="18"/>
        <v/>
      </c>
      <c r="H527" s="337" t="e">
        <f t="shared" si="17"/>
        <v>#REF!</v>
      </c>
      <c r="I527" s="267"/>
      <c r="J527" s="2"/>
      <c r="K527" s="333"/>
      <c r="L527" s="333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  <c r="AH527" s="2"/>
      <c r="AI527" s="2"/>
      <c r="AJ527" s="2"/>
      <c r="AK527" s="2"/>
      <c r="AL527" s="2"/>
      <c r="AM527" s="2"/>
      <c r="AN527" s="2"/>
      <c r="AO527" s="2"/>
      <c r="AP527" s="2"/>
      <c r="AQ527" s="2"/>
      <c r="AR527" s="2"/>
      <c r="AS527" s="2"/>
      <c r="AT527" s="2"/>
      <c r="AU527" s="2"/>
      <c r="AV527" s="2"/>
      <c r="AW527" s="2"/>
      <c r="AX527" s="2"/>
      <c r="AY527" s="2"/>
      <c r="AZ527" s="2"/>
      <c r="BA527" s="2"/>
      <c r="BB527" s="2"/>
      <c r="BC527" s="2"/>
      <c r="BD527" s="2"/>
      <c r="BE527" s="2"/>
      <c r="BF527" s="2"/>
      <c r="BG527" s="2"/>
      <c r="BH527" s="2"/>
      <c r="BI527" s="2"/>
      <c r="BJ527" s="2"/>
      <c r="BK527" s="2"/>
      <c r="BL527" s="2"/>
      <c r="BM527" s="2"/>
      <c r="BN527" s="2"/>
      <c r="BO527" s="2"/>
      <c r="BP527" s="2"/>
      <c r="BQ527" s="2"/>
      <c r="BR527" s="2"/>
      <c r="BS527" s="2"/>
      <c r="BT527" s="2"/>
      <c r="BU527" s="2"/>
      <c r="BV527" s="2"/>
      <c r="BW527" s="2"/>
      <c r="BX527" s="2"/>
      <c r="BY527" s="2"/>
      <c r="BZ527" s="2"/>
      <c r="CA527" s="2"/>
      <c r="CB527" s="2"/>
      <c r="CC527" s="2"/>
      <c r="CD527" s="2"/>
      <c r="CE527" s="2"/>
      <c r="CF527" s="2"/>
    </row>
    <row r="528" spans="1:84" ht="12.65" customHeight="1" x14ac:dyDescent="0.35">
      <c r="A528" s="2" t="s">
        <v>544</v>
      </c>
      <c r="B528" s="335" t="e">
        <f>#REF!</f>
        <v>#REF!</v>
      </c>
      <c r="C528" s="335">
        <f>AI71</f>
        <v>0</v>
      </c>
      <c r="D528" s="335" t="e">
        <f>#REF!</f>
        <v>#REF!</v>
      </c>
      <c r="E528" s="2">
        <f>AI59</f>
        <v>0</v>
      </c>
      <c r="F528" s="336" t="e">
        <f t="shared" ref="F528:G540" si="19">IF(B528=0,"",IF(D528=0,"",B528/D528))</f>
        <v>#REF!</v>
      </c>
      <c r="G528" s="336" t="str">
        <f t="shared" si="19"/>
        <v/>
      </c>
      <c r="H528" s="337" t="e">
        <f t="shared" si="17"/>
        <v>#REF!</v>
      </c>
      <c r="I528" s="267"/>
      <c r="J528" s="2"/>
      <c r="K528" s="333"/>
      <c r="L528" s="333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  <c r="AH528" s="2"/>
      <c r="AI528" s="2"/>
      <c r="AJ528" s="2"/>
      <c r="AK528" s="2"/>
      <c r="AL528" s="2"/>
      <c r="AM528" s="2"/>
      <c r="AN528" s="2"/>
      <c r="AO528" s="2"/>
      <c r="AP528" s="2"/>
      <c r="AQ528" s="2"/>
      <c r="AR528" s="2"/>
      <c r="AS528" s="2"/>
      <c r="AT528" s="2"/>
      <c r="AU528" s="2"/>
      <c r="AV528" s="2"/>
      <c r="AW528" s="2"/>
      <c r="AX528" s="2"/>
      <c r="AY528" s="2"/>
      <c r="AZ528" s="2"/>
      <c r="BA528" s="2"/>
      <c r="BB528" s="2"/>
      <c r="BC528" s="2"/>
      <c r="BD528" s="2"/>
      <c r="BE528" s="2"/>
      <c r="BF528" s="2"/>
      <c r="BG528" s="2"/>
      <c r="BH528" s="2"/>
      <c r="BI528" s="2"/>
      <c r="BJ528" s="2"/>
      <c r="BK528" s="2"/>
      <c r="BL528" s="2"/>
      <c r="BM528" s="2"/>
      <c r="BN528" s="2"/>
      <c r="BO528" s="2"/>
      <c r="BP528" s="2"/>
      <c r="BQ528" s="2"/>
      <c r="BR528" s="2"/>
      <c r="BS528" s="2"/>
      <c r="BT528" s="2"/>
      <c r="BU528" s="2"/>
      <c r="BV528" s="2"/>
      <c r="BW528" s="2"/>
      <c r="BX528" s="2"/>
      <c r="BY528" s="2"/>
      <c r="BZ528" s="2"/>
      <c r="CA528" s="2"/>
      <c r="CB528" s="2"/>
      <c r="CC528" s="2"/>
      <c r="CD528" s="2"/>
      <c r="CE528" s="2"/>
      <c r="CF528" s="2"/>
    </row>
    <row r="529" spans="1:84" ht="12.65" customHeight="1" x14ac:dyDescent="0.35">
      <c r="A529" s="2" t="s">
        <v>545</v>
      </c>
      <c r="B529" s="335" t="e">
        <f>#REF!</f>
        <v>#REF!</v>
      </c>
      <c r="C529" s="335">
        <f>AJ71</f>
        <v>89150309.269999981</v>
      </c>
      <c r="D529" s="335" t="e">
        <f>#REF!</f>
        <v>#REF!</v>
      </c>
      <c r="E529" s="2">
        <f>AJ59</f>
        <v>249762</v>
      </c>
      <c r="F529" s="336" t="e">
        <f t="shared" si="19"/>
        <v>#REF!</v>
      </c>
      <c r="G529" s="336">
        <f t="shared" si="19"/>
        <v>356.94104495479689</v>
      </c>
      <c r="H529" s="337" t="e">
        <f t="shared" si="17"/>
        <v>#REF!</v>
      </c>
      <c r="I529" s="267"/>
      <c r="J529" s="2"/>
      <c r="K529" s="333"/>
      <c r="L529" s="333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2"/>
      <c r="AI529" s="2"/>
      <c r="AJ529" s="2"/>
      <c r="AK529" s="2"/>
      <c r="AL529" s="2"/>
      <c r="AM529" s="2"/>
      <c r="AN529" s="2"/>
      <c r="AO529" s="2"/>
      <c r="AP529" s="2"/>
      <c r="AQ529" s="2"/>
      <c r="AR529" s="2"/>
      <c r="AS529" s="2"/>
      <c r="AT529" s="2"/>
      <c r="AU529" s="2"/>
      <c r="AV529" s="2"/>
      <c r="AW529" s="2"/>
      <c r="AX529" s="2"/>
      <c r="AY529" s="2"/>
      <c r="AZ529" s="2"/>
      <c r="BA529" s="2"/>
      <c r="BB529" s="2"/>
      <c r="BC529" s="2"/>
      <c r="BD529" s="2"/>
      <c r="BE529" s="2"/>
      <c r="BF529" s="2"/>
      <c r="BG529" s="2"/>
      <c r="BH529" s="2"/>
      <c r="BI529" s="2"/>
      <c r="BJ529" s="2"/>
      <c r="BK529" s="2"/>
      <c r="BL529" s="2"/>
      <c r="BM529" s="2"/>
      <c r="BN529" s="2"/>
      <c r="BO529" s="2"/>
      <c r="BP529" s="2"/>
      <c r="BQ529" s="2"/>
      <c r="BR529" s="2"/>
      <c r="BS529" s="2"/>
      <c r="BT529" s="2"/>
      <c r="BU529" s="2"/>
      <c r="BV529" s="2"/>
      <c r="BW529" s="2"/>
      <c r="BX529" s="2"/>
      <c r="BY529" s="2"/>
      <c r="BZ529" s="2"/>
      <c r="CA529" s="2"/>
      <c r="CB529" s="2"/>
      <c r="CC529" s="2"/>
      <c r="CD529" s="2"/>
      <c r="CE529" s="2"/>
      <c r="CF529" s="2"/>
    </row>
    <row r="530" spans="1:84" ht="12.65" customHeight="1" x14ac:dyDescent="0.35">
      <c r="A530" s="2" t="s">
        <v>546</v>
      </c>
      <c r="B530" s="335" t="e">
        <f>#REF!</f>
        <v>#REF!</v>
      </c>
      <c r="C530" s="335">
        <f>AK71</f>
        <v>0</v>
      </c>
      <c r="D530" s="335" t="e">
        <f>#REF!</f>
        <v>#REF!</v>
      </c>
      <c r="E530" s="2">
        <f>AK59</f>
        <v>0</v>
      </c>
      <c r="F530" s="336" t="e">
        <f t="shared" si="19"/>
        <v>#REF!</v>
      </c>
      <c r="G530" s="336" t="str">
        <f t="shared" si="19"/>
        <v/>
      </c>
      <c r="H530" s="337" t="e">
        <f t="shared" si="17"/>
        <v>#REF!</v>
      </c>
      <c r="I530" s="267"/>
      <c r="J530" s="2"/>
      <c r="K530" s="333"/>
      <c r="L530" s="333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  <c r="AI530" s="2"/>
      <c r="AJ530" s="2"/>
      <c r="AK530" s="2"/>
      <c r="AL530" s="2"/>
      <c r="AM530" s="2"/>
      <c r="AN530" s="2"/>
      <c r="AO530" s="2"/>
      <c r="AP530" s="2"/>
      <c r="AQ530" s="2"/>
      <c r="AR530" s="2"/>
      <c r="AS530" s="2"/>
      <c r="AT530" s="2"/>
      <c r="AU530" s="2"/>
      <c r="AV530" s="2"/>
      <c r="AW530" s="2"/>
      <c r="AX530" s="2"/>
      <c r="AY530" s="2"/>
      <c r="AZ530" s="2"/>
      <c r="BA530" s="2"/>
      <c r="BB530" s="2"/>
      <c r="BC530" s="2"/>
      <c r="BD530" s="2"/>
      <c r="BE530" s="2"/>
      <c r="BF530" s="2"/>
      <c r="BG530" s="2"/>
      <c r="BH530" s="2"/>
      <c r="BI530" s="2"/>
      <c r="BJ530" s="2"/>
      <c r="BK530" s="2"/>
      <c r="BL530" s="2"/>
      <c r="BM530" s="2"/>
      <c r="BN530" s="2"/>
      <c r="BO530" s="2"/>
      <c r="BP530" s="2"/>
      <c r="BQ530" s="2"/>
      <c r="BR530" s="2"/>
      <c r="BS530" s="2"/>
      <c r="BT530" s="2"/>
      <c r="BU530" s="2"/>
      <c r="BV530" s="2"/>
      <c r="BW530" s="2"/>
      <c r="BX530" s="2"/>
      <c r="BY530" s="2"/>
      <c r="BZ530" s="2"/>
      <c r="CA530" s="2"/>
      <c r="CB530" s="2"/>
      <c r="CC530" s="2"/>
      <c r="CD530" s="2"/>
      <c r="CE530" s="2"/>
      <c r="CF530" s="2"/>
    </row>
    <row r="531" spans="1:84" ht="12.65" customHeight="1" x14ac:dyDescent="0.35">
      <c r="A531" s="2" t="s">
        <v>547</v>
      </c>
      <c r="B531" s="335" t="e">
        <f>#REF!</f>
        <v>#REF!</v>
      </c>
      <c r="C531" s="335">
        <f>AL71</f>
        <v>0</v>
      </c>
      <c r="D531" s="335" t="e">
        <f>#REF!</f>
        <v>#REF!</v>
      </c>
      <c r="E531" s="2">
        <f>AL59</f>
        <v>0</v>
      </c>
      <c r="F531" s="336" t="e">
        <f t="shared" si="19"/>
        <v>#REF!</v>
      </c>
      <c r="G531" s="336" t="str">
        <f t="shared" si="19"/>
        <v/>
      </c>
      <c r="H531" s="337" t="e">
        <f t="shared" si="17"/>
        <v>#REF!</v>
      </c>
      <c r="I531" s="267"/>
      <c r="J531" s="2"/>
      <c r="K531" s="333"/>
      <c r="L531" s="333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  <c r="AI531" s="2"/>
      <c r="AJ531" s="2"/>
      <c r="AK531" s="2"/>
      <c r="AL531" s="2"/>
      <c r="AM531" s="2"/>
      <c r="AN531" s="2"/>
      <c r="AO531" s="2"/>
      <c r="AP531" s="2"/>
      <c r="AQ531" s="2"/>
      <c r="AR531" s="2"/>
      <c r="AS531" s="2"/>
      <c r="AT531" s="2"/>
      <c r="AU531" s="2"/>
      <c r="AV531" s="2"/>
      <c r="AW531" s="2"/>
      <c r="AX531" s="2"/>
      <c r="AY531" s="2"/>
      <c r="AZ531" s="2"/>
      <c r="BA531" s="2"/>
      <c r="BB531" s="2"/>
      <c r="BC531" s="2"/>
      <c r="BD531" s="2"/>
      <c r="BE531" s="2"/>
      <c r="BF531" s="2"/>
      <c r="BG531" s="2"/>
      <c r="BH531" s="2"/>
      <c r="BI531" s="2"/>
      <c r="BJ531" s="2"/>
      <c r="BK531" s="2"/>
      <c r="BL531" s="2"/>
      <c r="BM531" s="2"/>
      <c r="BN531" s="2"/>
      <c r="BO531" s="2"/>
      <c r="BP531" s="2"/>
      <c r="BQ531" s="2"/>
      <c r="BR531" s="2"/>
      <c r="BS531" s="2"/>
      <c r="BT531" s="2"/>
      <c r="BU531" s="2"/>
      <c r="BV531" s="2"/>
      <c r="BW531" s="2"/>
      <c r="BX531" s="2"/>
      <c r="BY531" s="2"/>
      <c r="BZ531" s="2"/>
      <c r="CA531" s="2"/>
      <c r="CB531" s="2"/>
      <c r="CC531" s="2"/>
      <c r="CD531" s="2"/>
      <c r="CE531" s="2"/>
      <c r="CF531" s="2"/>
    </row>
    <row r="532" spans="1:84" ht="12.65" customHeight="1" x14ac:dyDescent="0.35">
      <c r="A532" s="2" t="s">
        <v>548</v>
      </c>
      <c r="B532" s="335" t="e">
        <f>#REF!</f>
        <v>#REF!</v>
      </c>
      <c r="C532" s="335">
        <f>AM71</f>
        <v>0</v>
      </c>
      <c r="D532" s="335" t="e">
        <f>#REF!</f>
        <v>#REF!</v>
      </c>
      <c r="E532" s="2">
        <f>AM59</f>
        <v>0</v>
      </c>
      <c r="F532" s="336" t="e">
        <f t="shared" si="19"/>
        <v>#REF!</v>
      </c>
      <c r="G532" s="336" t="str">
        <f t="shared" si="19"/>
        <v/>
      </c>
      <c r="H532" s="337" t="e">
        <f t="shared" si="17"/>
        <v>#REF!</v>
      </c>
      <c r="I532" s="267"/>
      <c r="J532" s="2"/>
      <c r="K532" s="333"/>
      <c r="L532" s="333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  <c r="AH532" s="2"/>
      <c r="AI532" s="2"/>
      <c r="AJ532" s="2"/>
      <c r="AK532" s="2"/>
      <c r="AL532" s="2"/>
      <c r="AM532" s="2"/>
      <c r="AN532" s="2"/>
      <c r="AO532" s="2"/>
      <c r="AP532" s="2"/>
      <c r="AQ532" s="2"/>
      <c r="AR532" s="2"/>
      <c r="AS532" s="2"/>
      <c r="AT532" s="2"/>
      <c r="AU532" s="2"/>
      <c r="AV532" s="2"/>
      <c r="AW532" s="2"/>
      <c r="AX532" s="2"/>
      <c r="AY532" s="2"/>
      <c r="AZ532" s="2"/>
      <c r="BA532" s="2"/>
      <c r="BB532" s="2"/>
      <c r="BC532" s="2"/>
      <c r="BD532" s="2"/>
      <c r="BE532" s="2"/>
      <c r="BF532" s="2"/>
      <c r="BG532" s="2"/>
      <c r="BH532" s="2"/>
      <c r="BI532" s="2"/>
      <c r="BJ532" s="2"/>
      <c r="BK532" s="2"/>
      <c r="BL532" s="2"/>
      <c r="BM532" s="2"/>
      <c r="BN532" s="2"/>
      <c r="BO532" s="2"/>
      <c r="BP532" s="2"/>
      <c r="BQ532" s="2"/>
      <c r="BR532" s="2"/>
      <c r="BS532" s="2"/>
      <c r="BT532" s="2"/>
      <c r="BU532" s="2"/>
      <c r="BV532" s="2"/>
      <c r="BW532" s="2"/>
      <c r="BX532" s="2"/>
      <c r="BY532" s="2"/>
      <c r="BZ532" s="2"/>
      <c r="CA532" s="2"/>
      <c r="CB532" s="2"/>
      <c r="CC532" s="2"/>
      <c r="CD532" s="2"/>
      <c r="CE532" s="2"/>
      <c r="CF532" s="2"/>
    </row>
    <row r="533" spans="1:84" ht="12.65" customHeight="1" x14ac:dyDescent="0.35">
      <c r="A533" s="2" t="s">
        <v>1246</v>
      </c>
      <c r="B533" s="335" t="e">
        <f>#REF!</f>
        <v>#REF!</v>
      </c>
      <c r="C533" s="335">
        <f>AN71</f>
        <v>0</v>
      </c>
      <c r="D533" s="335" t="e">
        <f>#REF!</f>
        <v>#REF!</v>
      </c>
      <c r="E533" s="2">
        <f>AN59</f>
        <v>0</v>
      </c>
      <c r="F533" s="336" t="e">
        <f t="shared" si="19"/>
        <v>#REF!</v>
      </c>
      <c r="G533" s="336" t="str">
        <f t="shared" si="19"/>
        <v/>
      </c>
      <c r="H533" s="337" t="e">
        <f t="shared" si="17"/>
        <v>#REF!</v>
      </c>
      <c r="I533" s="267"/>
      <c r="J533" s="2"/>
      <c r="K533" s="333"/>
      <c r="L533" s="333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  <c r="AH533" s="2"/>
      <c r="AI533" s="2"/>
      <c r="AJ533" s="2"/>
      <c r="AK533" s="2"/>
      <c r="AL533" s="2"/>
      <c r="AM533" s="2"/>
      <c r="AN533" s="2"/>
      <c r="AO533" s="2"/>
      <c r="AP533" s="2"/>
      <c r="AQ533" s="2"/>
      <c r="AR533" s="2"/>
      <c r="AS533" s="2"/>
      <c r="AT533" s="2"/>
      <c r="AU533" s="2"/>
      <c r="AV533" s="2"/>
      <c r="AW533" s="2"/>
      <c r="AX533" s="2"/>
      <c r="AY533" s="2"/>
      <c r="AZ533" s="2"/>
      <c r="BA533" s="2"/>
      <c r="BB533" s="2"/>
      <c r="BC533" s="2"/>
      <c r="BD533" s="2"/>
      <c r="BE533" s="2"/>
      <c r="BF533" s="2"/>
      <c r="BG533" s="2"/>
      <c r="BH533" s="2"/>
      <c r="BI533" s="2"/>
      <c r="BJ533" s="2"/>
      <c r="BK533" s="2"/>
      <c r="BL533" s="2"/>
      <c r="BM533" s="2"/>
      <c r="BN533" s="2"/>
      <c r="BO533" s="2"/>
      <c r="BP533" s="2"/>
      <c r="BQ533" s="2"/>
      <c r="BR533" s="2"/>
      <c r="BS533" s="2"/>
      <c r="BT533" s="2"/>
      <c r="BU533" s="2"/>
      <c r="BV533" s="2"/>
      <c r="BW533" s="2"/>
      <c r="BX533" s="2"/>
      <c r="BY533" s="2"/>
      <c r="BZ533" s="2"/>
      <c r="CA533" s="2"/>
      <c r="CB533" s="2"/>
      <c r="CC533" s="2"/>
      <c r="CD533" s="2"/>
      <c r="CE533" s="2"/>
      <c r="CF533" s="2"/>
    </row>
    <row r="534" spans="1:84" ht="12.65" customHeight="1" x14ac:dyDescent="0.35">
      <c r="A534" s="2" t="s">
        <v>549</v>
      </c>
      <c r="B534" s="335" t="e">
        <f>#REF!</f>
        <v>#REF!</v>
      </c>
      <c r="C534" s="335">
        <f>AO71</f>
        <v>0</v>
      </c>
      <c r="D534" s="335" t="e">
        <f>#REF!</f>
        <v>#REF!</v>
      </c>
      <c r="E534" s="2">
        <f>AO59</f>
        <v>0</v>
      </c>
      <c r="F534" s="336" t="e">
        <f t="shared" si="19"/>
        <v>#REF!</v>
      </c>
      <c r="G534" s="336" t="str">
        <f t="shared" si="19"/>
        <v/>
      </c>
      <c r="H534" s="337" t="e">
        <f t="shared" si="17"/>
        <v>#REF!</v>
      </c>
      <c r="I534" s="267"/>
      <c r="J534" s="2"/>
      <c r="K534" s="333"/>
      <c r="L534" s="333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  <c r="AI534" s="2"/>
      <c r="AJ534" s="2"/>
      <c r="AK534" s="2"/>
      <c r="AL534" s="2"/>
      <c r="AM534" s="2"/>
      <c r="AN534" s="2"/>
      <c r="AO534" s="2"/>
      <c r="AP534" s="2"/>
      <c r="AQ534" s="2"/>
      <c r="AR534" s="2"/>
      <c r="AS534" s="2"/>
      <c r="AT534" s="2"/>
      <c r="AU534" s="2"/>
      <c r="AV534" s="2"/>
      <c r="AW534" s="2"/>
      <c r="AX534" s="2"/>
      <c r="AY534" s="2"/>
      <c r="AZ534" s="2"/>
      <c r="BA534" s="2"/>
      <c r="BB534" s="2"/>
      <c r="BC534" s="2"/>
      <c r="BD534" s="2"/>
      <c r="BE534" s="2"/>
      <c r="BF534" s="2"/>
      <c r="BG534" s="2"/>
      <c r="BH534" s="2"/>
      <c r="BI534" s="2"/>
      <c r="BJ534" s="2"/>
      <c r="BK534" s="2"/>
      <c r="BL534" s="2"/>
      <c r="BM534" s="2"/>
      <c r="BN534" s="2"/>
      <c r="BO534" s="2"/>
      <c r="BP534" s="2"/>
      <c r="BQ534" s="2"/>
      <c r="BR534" s="2"/>
      <c r="BS534" s="2"/>
      <c r="BT534" s="2"/>
      <c r="BU534" s="2"/>
      <c r="BV534" s="2"/>
      <c r="BW534" s="2"/>
      <c r="BX534" s="2"/>
      <c r="BY534" s="2"/>
      <c r="BZ534" s="2"/>
      <c r="CA534" s="2"/>
      <c r="CB534" s="2"/>
      <c r="CC534" s="2"/>
      <c r="CD534" s="2"/>
      <c r="CE534" s="2"/>
      <c r="CF534" s="2"/>
    </row>
    <row r="535" spans="1:84" ht="12.65" customHeight="1" x14ac:dyDescent="0.35">
      <c r="A535" s="2" t="s">
        <v>550</v>
      </c>
      <c r="B535" s="335" t="e">
        <f>#REF!</f>
        <v>#REF!</v>
      </c>
      <c r="C535" s="335">
        <f>AP71</f>
        <v>73089663.260000005</v>
      </c>
      <c r="D535" s="335" t="e">
        <f>#REF!</f>
        <v>#REF!</v>
      </c>
      <c r="E535" s="2">
        <f>AP59</f>
        <v>330570</v>
      </c>
      <c r="F535" s="336" t="e">
        <f t="shared" si="19"/>
        <v>#REF!</v>
      </c>
      <c r="G535" s="336">
        <f t="shared" si="19"/>
        <v>221.10192473606196</v>
      </c>
      <c r="H535" s="337" t="e">
        <f t="shared" si="17"/>
        <v>#REF!</v>
      </c>
      <c r="I535" s="267"/>
      <c r="J535" s="2"/>
      <c r="K535" s="333"/>
      <c r="L535" s="333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2"/>
      <c r="AI535" s="2"/>
      <c r="AJ535" s="2"/>
      <c r="AK535" s="2"/>
      <c r="AL535" s="2"/>
      <c r="AM535" s="2"/>
      <c r="AN535" s="2"/>
      <c r="AO535" s="2"/>
      <c r="AP535" s="2"/>
      <c r="AQ535" s="2"/>
      <c r="AR535" s="2"/>
      <c r="AS535" s="2"/>
      <c r="AT535" s="2"/>
      <c r="AU535" s="2"/>
      <c r="AV535" s="2"/>
      <c r="AW535" s="2"/>
      <c r="AX535" s="2"/>
      <c r="AY535" s="2"/>
      <c r="AZ535" s="2"/>
      <c r="BA535" s="2"/>
      <c r="BB535" s="2"/>
      <c r="BC535" s="2"/>
      <c r="BD535" s="2"/>
      <c r="BE535" s="2"/>
      <c r="BF535" s="2"/>
      <c r="BG535" s="2"/>
      <c r="BH535" s="2"/>
      <c r="BI535" s="2"/>
      <c r="BJ535" s="2"/>
      <c r="BK535" s="2"/>
      <c r="BL535" s="2"/>
      <c r="BM535" s="2"/>
      <c r="BN535" s="2"/>
      <c r="BO535" s="2"/>
      <c r="BP535" s="2"/>
      <c r="BQ535" s="2"/>
      <c r="BR535" s="2"/>
      <c r="BS535" s="2"/>
      <c r="BT535" s="2"/>
      <c r="BU535" s="2"/>
      <c r="BV535" s="2"/>
      <c r="BW535" s="2"/>
      <c r="BX535" s="2"/>
      <c r="BY535" s="2"/>
      <c r="BZ535" s="2"/>
      <c r="CA535" s="2"/>
      <c r="CB535" s="2"/>
      <c r="CC535" s="2"/>
      <c r="CD535" s="2"/>
      <c r="CE535" s="2"/>
      <c r="CF535" s="2"/>
    </row>
    <row r="536" spans="1:84" ht="12.65" customHeight="1" x14ac:dyDescent="0.35">
      <c r="A536" s="2" t="s">
        <v>551</v>
      </c>
      <c r="B536" s="335" t="e">
        <f>#REF!</f>
        <v>#REF!</v>
      </c>
      <c r="C536" s="335">
        <f>AQ71</f>
        <v>0</v>
      </c>
      <c r="D536" s="335" t="e">
        <f>#REF!</f>
        <v>#REF!</v>
      </c>
      <c r="E536" s="2">
        <f>AQ59</f>
        <v>0</v>
      </c>
      <c r="F536" s="336" t="e">
        <f t="shared" si="19"/>
        <v>#REF!</v>
      </c>
      <c r="G536" s="336" t="str">
        <f t="shared" si="19"/>
        <v/>
      </c>
      <c r="H536" s="337" t="e">
        <f t="shared" si="17"/>
        <v>#REF!</v>
      </c>
      <c r="I536" s="267"/>
      <c r="J536" s="2"/>
      <c r="K536" s="333"/>
      <c r="L536" s="333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  <c r="AH536" s="2"/>
      <c r="AI536" s="2"/>
      <c r="AJ536" s="2"/>
      <c r="AK536" s="2"/>
      <c r="AL536" s="2"/>
      <c r="AM536" s="2"/>
      <c r="AN536" s="2"/>
      <c r="AO536" s="2"/>
      <c r="AP536" s="2"/>
      <c r="AQ536" s="2"/>
      <c r="AR536" s="2"/>
      <c r="AS536" s="2"/>
      <c r="AT536" s="2"/>
      <c r="AU536" s="2"/>
      <c r="AV536" s="2"/>
      <c r="AW536" s="2"/>
      <c r="AX536" s="2"/>
      <c r="AY536" s="2"/>
      <c r="AZ536" s="2"/>
      <c r="BA536" s="2"/>
      <c r="BB536" s="2"/>
      <c r="BC536" s="2"/>
      <c r="BD536" s="2"/>
      <c r="BE536" s="2"/>
      <c r="BF536" s="2"/>
      <c r="BG536" s="2"/>
      <c r="BH536" s="2"/>
      <c r="BI536" s="2"/>
      <c r="BJ536" s="2"/>
      <c r="BK536" s="2"/>
      <c r="BL536" s="2"/>
      <c r="BM536" s="2"/>
      <c r="BN536" s="2"/>
      <c r="BO536" s="2"/>
      <c r="BP536" s="2"/>
      <c r="BQ536" s="2"/>
      <c r="BR536" s="2"/>
      <c r="BS536" s="2"/>
      <c r="BT536" s="2"/>
      <c r="BU536" s="2"/>
      <c r="BV536" s="2"/>
      <c r="BW536" s="2"/>
      <c r="BX536" s="2"/>
      <c r="BY536" s="2"/>
      <c r="BZ536" s="2"/>
      <c r="CA536" s="2"/>
      <c r="CB536" s="2"/>
      <c r="CC536" s="2"/>
      <c r="CD536" s="2"/>
      <c r="CE536" s="2"/>
      <c r="CF536" s="2"/>
    </row>
    <row r="537" spans="1:84" ht="12.65" customHeight="1" x14ac:dyDescent="0.35">
      <c r="A537" s="2" t="s">
        <v>552</v>
      </c>
      <c r="B537" s="335" t="e">
        <f>#REF!</f>
        <v>#REF!</v>
      </c>
      <c r="C537" s="335">
        <f>AR71</f>
        <v>65774180.809999995</v>
      </c>
      <c r="D537" s="335" t="e">
        <f>#REF!</f>
        <v>#REF!</v>
      </c>
      <c r="E537" s="2">
        <f>AR59</f>
        <v>0</v>
      </c>
      <c r="F537" s="336" t="e">
        <f t="shared" si="19"/>
        <v>#REF!</v>
      </c>
      <c r="G537" s="336" t="str">
        <f t="shared" si="19"/>
        <v/>
      </c>
      <c r="H537" s="337" t="e">
        <f t="shared" si="17"/>
        <v>#REF!</v>
      </c>
      <c r="I537" s="267"/>
      <c r="J537" s="2"/>
      <c r="K537" s="333"/>
      <c r="L537" s="333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  <c r="AI537" s="2"/>
      <c r="AJ537" s="2"/>
      <c r="AK537" s="2"/>
      <c r="AL537" s="2"/>
      <c r="AM537" s="2"/>
      <c r="AN537" s="2"/>
      <c r="AO537" s="2"/>
      <c r="AP537" s="2"/>
      <c r="AQ537" s="2"/>
      <c r="AR537" s="2"/>
      <c r="AS537" s="2"/>
      <c r="AT537" s="2"/>
      <c r="AU537" s="2"/>
      <c r="AV537" s="2"/>
      <c r="AW537" s="2"/>
      <c r="AX537" s="2"/>
      <c r="AY537" s="2"/>
      <c r="AZ537" s="2"/>
      <c r="BA537" s="2"/>
      <c r="BB537" s="2"/>
      <c r="BC537" s="2"/>
      <c r="BD537" s="2"/>
      <c r="BE537" s="2"/>
      <c r="BF537" s="2"/>
      <c r="BG537" s="2"/>
      <c r="BH537" s="2"/>
      <c r="BI537" s="2"/>
      <c r="BJ537" s="2"/>
      <c r="BK537" s="2"/>
      <c r="BL537" s="2"/>
      <c r="BM537" s="2"/>
      <c r="BN537" s="2"/>
      <c r="BO537" s="2"/>
      <c r="BP537" s="2"/>
      <c r="BQ537" s="2"/>
      <c r="BR537" s="2"/>
      <c r="BS537" s="2"/>
      <c r="BT537" s="2"/>
      <c r="BU537" s="2"/>
      <c r="BV537" s="2"/>
      <c r="BW537" s="2"/>
      <c r="BX537" s="2"/>
      <c r="BY537" s="2"/>
      <c r="BZ537" s="2"/>
      <c r="CA537" s="2"/>
      <c r="CB537" s="2"/>
      <c r="CC537" s="2"/>
      <c r="CD537" s="2"/>
      <c r="CE537" s="2"/>
      <c r="CF537" s="2"/>
    </row>
    <row r="538" spans="1:84" ht="12.65" customHeight="1" x14ac:dyDescent="0.35">
      <c r="A538" s="2" t="s">
        <v>553</v>
      </c>
      <c r="B538" s="335" t="e">
        <f>#REF!</f>
        <v>#REF!</v>
      </c>
      <c r="C538" s="335">
        <f>AS71</f>
        <v>0</v>
      </c>
      <c r="D538" s="335" t="e">
        <f>#REF!</f>
        <v>#REF!</v>
      </c>
      <c r="E538" s="2">
        <f>AS59</f>
        <v>0</v>
      </c>
      <c r="F538" s="336" t="e">
        <f t="shared" si="19"/>
        <v>#REF!</v>
      </c>
      <c r="G538" s="336" t="str">
        <f t="shared" si="19"/>
        <v/>
      </c>
      <c r="H538" s="337" t="e">
        <f t="shared" si="17"/>
        <v>#REF!</v>
      </c>
      <c r="I538" s="267"/>
      <c r="J538" s="2"/>
      <c r="K538" s="333"/>
      <c r="L538" s="333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  <c r="AH538" s="2"/>
      <c r="AI538" s="2"/>
      <c r="AJ538" s="2"/>
      <c r="AK538" s="2"/>
      <c r="AL538" s="2"/>
      <c r="AM538" s="2"/>
      <c r="AN538" s="2"/>
      <c r="AO538" s="2"/>
      <c r="AP538" s="2"/>
      <c r="AQ538" s="2"/>
      <c r="AR538" s="2"/>
      <c r="AS538" s="2"/>
      <c r="AT538" s="2"/>
      <c r="AU538" s="2"/>
      <c r="AV538" s="2"/>
      <c r="AW538" s="2"/>
      <c r="AX538" s="2"/>
      <c r="AY538" s="2"/>
      <c r="AZ538" s="2"/>
      <c r="BA538" s="2"/>
      <c r="BB538" s="2"/>
      <c r="BC538" s="2"/>
      <c r="BD538" s="2"/>
      <c r="BE538" s="2"/>
      <c r="BF538" s="2"/>
      <c r="BG538" s="2"/>
      <c r="BH538" s="2"/>
      <c r="BI538" s="2"/>
      <c r="BJ538" s="2"/>
      <c r="BK538" s="2"/>
      <c r="BL538" s="2"/>
      <c r="BM538" s="2"/>
      <c r="BN538" s="2"/>
      <c r="BO538" s="2"/>
      <c r="BP538" s="2"/>
      <c r="BQ538" s="2"/>
      <c r="BR538" s="2"/>
      <c r="BS538" s="2"/>
      <c r="BT538" s="2"/>
      <c r="BU538" s="2"/>
      <c r="BV538" s="2"/>
      <c r="BW538" s="2"/>
      <c r="BX538" s="2"/>
      <c r="BY538" s="2"/>
      <c r="BZ538" s="2"/>
      <c r="CA538" s="2"/>
      <c r="CB538" s="2"/>
      <c r="CC538" s="2"/>
      <c r="CD538" s="2"/>
      <c r="CE538" s="2"/>
      <c r="CF538" s="2"/>
    </row>
    <row r="539" spans="1:84" ht="12.65" customHeight="1" x14ac:dyDescent="0.35">
      <c r="A539" s="2" t="s">
        <v>554</v>
      </c>
      <c r="B539" s="335" t="e">
        <f>#REF!</f>
        <v>#REF!</v>
      </c>
      <c r="C539" s="335">
        <f>AT71</f>
        <v>0</v>
      </c>
      <c r="D539" s="335" t="e">
        <f>#REF!</f>
        <v>#REF!</v>
      </c>
      <c r="E539" s="2">
        <f>AT59</f>
        <v>0</v>
      </c>
      <c r="F539" s="336" t="e">
        <f t="shared" si="19"/>
        <v>#REF!</v>
      </c>
      <c r="G539" s="336" t="str">
        <f t="shared" si="19"/>
        <v/>
      </c>
      <c r="H539" s="337" t="e">
        <f t="shared" si="17"/>
        <v>#REF!</v>
      </c>
      <c r="I539" s="267"/>
      <c r="J539" s="2"/>
      <c r="K539" s="333"/>
      <c r="L539" s="333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  <c r="AH539" s="2"/>
      <c r="AI539" s="2"/>
      <c r="AJ539" s="2"/>
      <c r="AK539" s="2"/>
      <c r="AL539" s="2"/>
      <c r="AM539" s="2"/>
      <c r="AN539" s="2"/>
      <c r="AO539" s="2"/>
      <c r="AP539" s="2"/>
      <c r="AQ539" s="2"/>
      <c r="AR539" s="2"/>
      <c r="AS539" s="2"/>
      <c r="AT539" s="2"/>
      <c r="AU539" s="2"/>
      <c r="AV539" s="2"/>
      <c r="AW539" s="2"/>
      <c r="AX539" s="2"/>
      <c r="AY539" s="2"/>
      <c r="AZ539" s="2"/>
      <c r="BA539" s="2"/>
      <c r="BB539" s="2"/>
      <c r="BC539" s="2"/>
      <c r="BD539" s="2"/>
      <c r="BE539" s="2"/>
      <c r="BF539" s="2"/>
      <c r="BG539" s="2"/>
      <c r="BH539" s="2"/>
      <c r="BI539" s="2"/>
      <c r="BJ539" s="2"/>
      <c r="BK539" s="2"/>
      <c r="BL539" s="2"/>
      <c r="BM539" s="2"/>
      <c r="BN539" s="2"/>
      <c r="BO539" s="2"/>
      <c r="BP539" s="2"/>
      <c r="BQ539" s="2"/>
      <c r="BR539" s="2"/>
      <c r="BS539" s="2"/>
      <c r="BT539" s="2"/>
      <c r="BU539" s="2"/>
      <c r="BV539" s="2"/>
      <c r="BW539" s="2"/>
      <c r="BX539" s="2"/>
      <c r="BY539" s="2"/>
      <c r="BZ539" s="2"/>
      <c r="CA539" s="2"/>
      <c r="CB539" s="2"/>
      <c r="CC539" s="2"/>
      <c r="CD539" s="2"/>
      <c r="CE539" s="2"/>
      <c r="CF539" s="2"/>
    </row>
    <row r="540" spans="1:84" ht="12.65" customHeight="1" x14ac:dyDescent="0.35">
      <c r="A540" s="2" t="s">
        <v>555</v>
      </c>
      <c r="B540" s="335" t="e">
        <f>#REF!</f>
        <v>#REF!</v>
      </c>
      <c r="C540" s="335">
        <f>AU71</f>
        <v>0</v>
      </c>
      <c r="D540" s="335" t="e">
        <f>#REF!</f>
        <v>#REF!</v>
      </c>
      <c r="E540" s="2">
        <f>AU59</f>
        <v>0</v>
      </c>
      <c r="F540" s="336" t="e">
        <f t="shared" si="19"/>
        <v>#REF!</v>
      </c>
      <c r="G540" s="336" t="str">
        <f t="shared" si="19"/>
        <v/>
      </c>
      <c r="H540" s="337" t="e">
        <f t="shared" si="17"/>
        <v>#REF!</v>
      </c>
      <c r="I540" s="267"/>
      <c r="J540" s="2"/>
      <c r="K540" s="333"/>
      <c r="L540" s="333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  <c r="AH540" s="2"/>
      <c r="AI540" s="2"/>
      <c r="AJ540" s="2"/>
      <c r="AK540" s="2"/>
      <c r="AL540" s="2"/>
      <c r="AM540" s="2"/>
      <c r="AN540" s="2"/>
      <c r="AO540" s="2"/>
      <c r="AP540" s="2"/>
      <c r="AQ540" s="2"/>
      <c r="AR540" s="2"/>
      <c r="AS540" s="2"/>
      <c r="AT540" s="2"/>
      <c r="AU540" s="2"/>
      <c r="AV540" s="2"/>
      <c r="AW540" s="2"/>
      <c r="AX540" s="2"/>
      <c r="AY540" s="2"/>
      <c r="AZ540" s="2"/>
      <c r="BA540" s="2"/>
      <c r="BB540" s="2"/>
      <c r="BC540" s="2"/>
      <c r="BD540" s="2"/>
      <c r="BE540" s="2"/>
      <c r="BF540" s="2"/>
      <c r="BG540" s="2"/>
      <c r="BH540" s="2"/>
      <c r="BI540" s="2"/>
      <c r="BJ540" s="2"/>
      <c r="BK540" s="2"/>
      <c r="BL540" s="2"/>
      <c r="BM540" s="2"/>
      <c r="BN540" s="2"/>
      <c r="BO540" s="2"/>
      <c r="BP540" s="2"/>
      <c r="BQ540" s="2"/>
      <c r="BR540" s="2"/>
      <c r="BS540" s="2"/>
      <c r="BT540" s="2"/>
      <c r="BU540" s="2"/>
      <c r="BV540" s="2"/>
      <c r="BW540" s="2"/>
      <c r="BX540" s="2"/>
      <c r="BY540" s="2"/>
      <c r="BZ540" s="2"/>
      <c r="CA540" s="2"/>
      <c r="CB540" s="2"/>
      <c r="CC540" s="2"/>
      <c r="CD540" s="2"/>
      <c r="CE540" s="2"/>
      <c r="CF540" s="2"/>
    </row>
    <row r="541" spans="1:84" ht="12.65" customHeight="1" x14ac:dyDescent="0.35">
      <c r="A541" s="2" t="s">
        <v>556</v>
      </c>
      <c r="B541" s="335" t="e">
        <f>#REF!</f>
        <v>#REF!</v>
      </c>
      <c r="C541" s="335">
        <f>AV71</f>
        <v>3680391.3200000012</v>
      </c>
      <c r="D541" s="329" t="s">
        <v>529</v>
      </c>
      <c r="E541" s="329" t="s">
        <v>529</v>
      </c>
      <c r="F541" s="336"/>
      <c r="G541" s="336"/>
      <c r="H541" s="337"/>
      <c r="I541" s="267"/>
      <c r="J541" s="2"/>
      <c r="K541" s="333"/>
      <c r="L541" s="333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  <c r="AH541" s="2"/>
      <c r="AI541" s="2"/>
      <c r="AJ541" s="2"/>
      <c r="AK541" s="2"/>
      <c r="AL541" s="2"/>
      <c r="AM541" s="2"/>
      <c r="AN541" s="2"/>
      <c r="AO541" s="2"/>
      <c r="AP541" s="2"/>
      <c r="AQ541" s="2"/>
      <c r="AR541" s="2"/>
      <c r="AS541" s="2"/>
      <c r="AT541" s="2"/>
      <c r="AU541" s="2"/>
      <c r="AV541" s="2"/>
      <c r="AW541" s="2"/>
      <c r="AX541" s="2"/>
      <c r="AY541" s="2"/>
      <c r="AZ541" s="2"/>
      <c r="BA541" s="2"/>
      <c r="BB541" s="2"/>
      <c r="BC541" s="2"/>
      <c r="BD541" s="2"/>
      <c r="BE541" s="2"/>
      <c r="BF541" s="2"/>
      <c r="BG541" s="2"/>
      <c r="BH541" s="2"/>
      <c r="BI541" s="2"/>
      <c r="BJ541" s="2"/>
      <c r="BK541" s="2"/>
      <c r="BL541" s="2"/>
      <c r="BM541" s="2"/>
      <c r="BN541" s="2"/>
      <c r="BO541" s="2"/>
      <c r="BP541" s="2"/>
      <c r="BQ541" s="2"/>
      <c r="BR541" s="2"/>
      <c r="BS541" s="2"/>
      <c r="BT541" s="2"/>
      <c r="BU541" s="2"/>
      <c r="BV541" s="2"/>
      <c r="BW541" s="2"/>
      <c r="BX541" s="2"/>
      <c r="BY541" s="2"/>
      <c r="BZ541" s="2"/>
      <c r="CA541" s="2"/>
      <c r="CB541" s="2"/>
      <c r="CC541" s="2"/>
      <c r="CD541" s="2"/>
      <c r="CE541" s="2"/>
      <c r="CF541" s="2"/>
    </row>
    <row r="542" spans="1:84" ht="12.65" customHeight="1" x14ac:dyDescent="0.35">
      <c r="A542" s="2" t="s">
        <v>1247</v>
      </c>
      <c r="B542" s="335" t="e">
        <f>#REF!</f>
        <v>#REF!</v>
      </c>
      <c r="C542" s="335">
        <f>AW71</f>
        <v>-1520587.2999999998</v>
      </c>
      <c r="D542" s="329" t="s">
        <v>529</v>
      </c>
      <c r="E542" s="329" t="s">
        <v>529</v>
      </c>
      <c r="F542" s="336"/>
      <c r="G542" s="336"/>
      <c r="H542" s="337"/>
      <c r="I542" s="267"/>
      <c r="J542" s="2"/>
      <c r="K542" s="333"/>
      <c r="L542" s="333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  <c r="AH542" s="2"/>
      <c r="AI542" s="2"/>
      <c r="AJ542" s="2"/>
      <c r="AK542" s="2"/>
      <c r="AL542" s="2"/>
      <c r="AM542" s="2"/>
      <c r="AN542" s="2"/>
      <c r="AO542" s="2"/>
      <c r="AP542" s="2"/>
      <c r="AQ542" s="2"/>
      <c r="AR542" s="2"/>
      <c r="AS542" s="2"/>
      <c r="AT542" s="2"/>
      <c r="AU542" s="2"/>
      <c r="AV542" s="2"/>
      <c r="AW542" s="2"/>
      <c r="AX542" s="2"/>
      <c r="AY542" s="2"/>
      <c r="AZ542" s="2"/>
      <c r="BA542" s="2"/>
      <c r="BB542" s="2"/>
      <c r="BC542" s="2"/>
      <c r="BD542" s="2"/>
      <c r="BE542" s="2"/>
      <c r="BF542" s="2"/>
      <c r="BG542" s="2"/>
      <c r="BH542" s="2"/>
      <c r="BI542" s="2"/>
      <c r="BJ542" s="2"/>
      <c r="BK542" s="2"/>
      <c r="BL542" s="2"/>
      <c r="BM542" s="2"/>
      <c r="BN542" s="2"/>
      <c r="BO542" s="2"/>
      <c r="BP542" s="2"/>
      <c r="BQ542" s="2"/>
      <c r="BR542" s="2"/>
      <c r="BS542" s="2"/>
      <c r="BT542" s="2"/>
      <c r="BU542" s="2"/>
      <c r="BV542" s="2"/>
      <c r="BW542" s="2"/>
      <c r="BX542" s="2"/>
      <c r="BY542" s="2"/>
      <c r="BZ542" s="2"/>
      <c r="CA542" s="2"/>
      <c r="CB542" s="2"/>
      <c r="CC542" s="2"/>
      <c r="CD542" s="2"/>
      <c r="CE542" s="2"/>
      <c r="CF542" s="2"/>
    </row>
    <row r="543" spans="1:84" ht="12.65" customHeight="1" x14ac:dyDescent="0.35">
      <c r="A543" s="2" t="s">
        <v>557</v>
      </c>
      <c r="B543" s="335" t="e">
        <f>#REF!</f>
        <v>#REF!</v>
      </c>
      <c r="C543" s="335">
        <f>AX71</f>
        <v>5028771.9899999993</v>
      </c>
      <c r="D543" s="329" t="s">
        <v>529</v>
      </c>
      <c r="E543" s="329" t="s">
        <v>529</v>
      </c>
      <c r="F543" s="336"/>
      <c r="G543" s="336"/>
      <c r="H543" s="337"/>
      <c r="I543" s="267"/>
      <c r="J543" s="2"/>
      <c r="K543" s="333"/>
      <c r="L543" s="333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  <c r="AI543" s="2"/>
      <c r="AJ543" s="2"/>
      <c r="AK543" s="2"/>
      <c r="AL543" s="2"/>
      <c r="AM543" s="2"/>
      <c r="AN543" s="2"/>
      <c r="AO543" s="2"/>
      <c r="AP543" s="2"/>
      <c r="AQ543" s="2"/>
      <c r="AR543" s="2"/>
      <c r="AS543" s="2"/>
      <c r="AT543" s="2"/>
      <c r="AU543" s="2"/>
      <c r="AV543" s="2"/>
      <c r="AW543" s="2"/>
      <c r="AX543" s="2"/>
      <c r="AY543" s="2"/>
      <c r="AZ543" s="2"/>
      <c r="BA543" s="2"/>
      <c r="BB543" s="2"/>
      <c r="BC543" s="2"/>
      <c r="BD543" s="2"/>
      <c r="BE543" s="2"/>
      <c r="BF543" s="2"/>
      <c r="BG543" s="2"/>
      <c r="BH543" s="2"/>
      <c r="BI543" s="2"/>
      <c r="BJ543" s="2"/>
      <c r="BK543" s="2"/>
      <c r="BL543" s="2"/>
      <c r="BM543" s="2"/>
      <c r="BN543" s="2"/>
      <c r="BO543" s="2"/>
      <c r="BP543" s="2"/>
      <c r="BQ543" s="2"/>
      <c r="BR543" s="2"/>
      <c r="BS543" s="2"/>
      <c r="BT543" s="2"/>
      <c r="BU543" s="2"/>
      <c r="BV543" s="2"/>
      <c r="BW543" s="2"/>
      <c r="BX543" s="2"/>
      <c r="BY543" s="2"/>
      <c r="BZ543" s="2"/>
      <c r="CA543" s="2"/>
      <c r="CB543" s="2"/>
      <c r="CC543" s="2"/>
      <c r="CD543" s="2"/>
      <c r="CE543" s="2"/>
      <c r="CF543" s="2"/>
    </row>
    <row r="544" spans="1:84" ht="12.65" customHeight="1" x14ac:dyDescent="0.35">
      <c r="A544" s="2" t="s">
        <v>558</v>
      </c>
      <c r="B544" s="335" t="e">
        <f>#REF!</f>
        <v>#REF!</v>
      </c>
      <c r="C544" s="335">
        <f>AY71</f>
        <v>0</v>
      </c>
      <c r="D544" s="335" t="e">
        <f>#REF!</f>
        <v>#REF!</v>
      </c>
      <c r="E544" s="2">
        <f>AY59</f>
        <v>0</v>
      </c>
      <c r="F544" s="336" t="e">
        <f t="shared" ref="F544:G550" si="20">IF(B544=0,"",IF(D544=0,"",B544/D544))</f>
        <v>#REF!</v>
      </c>
      <c r="G544" s="336" t="str">
        <f t="shared" si="20"/>
        <v/>
      </c>
      <c r="H544" s="337" t="e">
        <f t="shared" si="17"/>
        <v>#REF!</v>
      </c>
      <c r="I544" s="267"/>
      <c r="J544" s="2"/>
      <c r="K544" s="333"/>
      <c r="L544" s="333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"/>
      <c r="AI544" s="2"/>
      <c r="AJ544" s="2"/>
      <c r="AK544" s="2"/>
      <c r="AL544" s="2"/>
      <c r="AM544" s="2"/>
      <c r="AN544" s="2"/>
      <c r="AO544" s="2"/>
      <c r="AP544" s="2"/>
      <c r="AQ544" s="2"/>
      <c r="AR544" s="2"/>
      <c r="AS544" s="2"/>
      <c r="AT544" s="2"/>
      <c r="AU544" s="2"/>
      <c r="AV544" s="2"/>
      <c r="AW544" s="2"/>
      <c r="AX544" s="2"/>
      <c r="AY544" s="2"/>
      <c r="AZ544" s="2"/>
      <c r="BA544" s="2"/>
      <c r="BB544" s="2"/>
      <c r="BC544" s="2"/>
      <c r="BD544" s="2"/>
      <c r="BE544" s="2"/>
      <c r="BF544" s="2"/>
      <c r="BG544" s="2"/>
      <c r="BH544" s="2"/>
      <c r="BI544" s="2"/>
      <c r="BJ544" s="2"/>
      <c r="BK544" s="2"/>
      <c r="BL544" s="2"/>
      <c r="BM544" s="2"/>
      <c r="BN544" s="2"/>
      <c r="BO544" s="2"/>
      <c r="BP544" s="2"/>
      <c r="BQ544" s="2"/>
      <c r="BR544" s="2"/>
      <c r="BS544" s="2"/>
      <c r="BT544" s="2"/>
      <c r="BU544" s="2"/>
      <c r="BV544" s="2"/>
      <c r="BW544" s="2"/>
      <c r="BX544" s="2"/>
      <c r="BY544" s="2"/>
      <c r="BZ544" s="2"/>
      <c r="CA544" s="2"/>
      <c r="CB544" s="2"/>
      <c r="CC544" s="2"/>
      <c r="CD544" s="2"/>
      <c r="CE544" s="2"/>
      <c r="CF544" s="2"/>
    </row>
    <row r="545" spans="1:84" ht="12.65" customHeight="1" x14ac:dyDescent="0.35">
      <c r="A545" s="2" t="s">
        <v>559</v>
      </c>
      <c r="B545" s="335" t="e">
        <f>#REF!</f>
        <v>#REF!</v>
      </c>
      <c r="C545" s="335">
        <f>AZ71</f>
        <v>4909692.3099999987</v>
      </c>
      <c r="D545" s="335" t="e">
        <f>#REF!</f>
        <v>#REF!</v>
      </c>
      <c r="E545" s="2">
        <f>AZ59</f>
        <v>721631.94</v>
      </c>
      <c r="F545" s="336" t="e">
        <f t="shared" si="20"/>
        <v>#REF!</v>
      </c>
      <c r="G545" s="336">
        <f t="shared" si="20"/>
        <v>6.8035961795150017</v>
      </c>
      <c r="H545" s="337" t="e">
        <f t="shared" si="17"/>
        <v>#REF!</v>
      </c>
      <c r="I545" s="267"/>
      <c r="J545" s="2"/>
      <c r="K545" s="333"/>
      <c r="L545" s="333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2"/>
      <c r="AI545" s="2"/>
      <c r="AJ545" s="2"/>
      <c r="AK545" s="2"/>
      <c r="AL545" s="2"/>
      <c r="AM545" s="2"/>
      <c r="AN545" s="2"/>
      <c r="AO545" s="2"/>
      <c r="AP545" s="2"/>
      <c r="AQ545" s="2"/>
      <c r="AR545" s="2"/>
      <c r="AS545" s="2"/>
      <c r="AT545" s="2"/>
      <c r="AU545" s="2"/>
      <c r="AV545" s="2"/>
      <c r="AW545" s="2"/>
      <c r="AX545" s="2"/>
      <c r="AY545" s="2"/>
      <c r="AZ545" s="2"/>
      <c r="BA545" s="2"/>
      <c r="BB545" s="2"/>
      <c r="BC545" s="2"/>
      <c r="BD545" s="2"/>
      <c r="BE545" s="2"/>
      <c r="BF545" s="2"/>
      <c r="BG545" s="2"/>
      <c r="BH545" s="2"/>
      <c r="BI545" s="2"/>
      <c r="BJ545" s="2"/>
      <c r="BK545" s="2"/>
      <c r="BL545" s="2"/>
      <c r="BM545" s="2"/>
      <c r="BN545" s="2"/>
      <c r="BO545" s="2"/>
      <c r="BP545" s="2"/>
      <c r="BQ545" s="2"/>
      <c r="BR545" s="2"/>
      <c r="BS545" s="2"/>
      <c r="BT545" s="2"/>
      <c r="BU545" s="2"/>
      <c r="BV545" s="2"/>
      <c r="BW545" s="2"/>
      <c r="BX545" s="2"/>
      <c r="BY545" s="2"/>
      <c r="BZ545" s="2"/>
      <c r="CA545" s="2"/>
      <c r="CB545" s="2"/>
      <c r="CC545" s="2"/>
      <c r="CD545" s="2"/>
      <c r="CE545" s="2"/>
      <c r="CF545" s="2"/>
    </row>
    <row r="546" spans="1:84" ht="12.65" customHeight="1" x14ac:dyDescent="0.35">
      <c r="A546" s="2" t="s">
        <v>560</v>
      </c>
      <c r="B546" s="335" t="e">
        <f>#REF!</f>
        <v>#REF!</v>
      </c>
      <c r="C546" s="335">
        <f>BA71</f>
        <v>368842.56000000006</v>
      </c>
      <c r="D546" s="335" t="e">
        <f>#REF!</f>
        <v>#REF!</v>
      </c>
      <c r="E546" s="2" t="str">
        <f>BA59</f>
        <v>x</v>
      </c>
      <c r="F546" s="336" t="e">
        <f t="shared" si="20"/>
        <v>#REF!</v>
      </c>
      <c r="G546" s="336" t="str">
        <f t="shared" si="20"/>
        <v/>
      </c>
      <c r="H546" s="337" t="e">
        <f t="shared" si="17"/>
        <v>#REF!</v>
      </c>
      <c r="I546" s="267"/>
      <c r="J546" s="2"/>
      <c r="K546" s="333"/>
      <c r="L546" s="333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  <c r="AH546" s="2"/>
      <c r="AI546" s="2"/>
      <c r="AJ546" s="2"/>
      <c r="AK546" s="2"/>
      <c r="AL546" s="2"/>
      <c r="AM546" s="2"/>
      <c r="AN546" s="2"/>
      <c r="AO546" s="2"/>
      <c r="AP546" s="2"/>
      <c r="AQ546" s="2"/>
      <c r="AR546" s="2"/>
      <c r="AS546" s="2"/>
      <c r="AT546" s="2"/>
      <c r="AU546" s="2"/>
      <c r="AV546" s="2"/>
      <c r="AW546" s="2"/>
      <c r="AX546" s="2"/>
      <c r="AY546" s="2"/>
      <c r="AZ546" s="2"/>
      <c r="BA546" s="2"/>
      <c r="BB546" s="2"/>
      <c r="BC546" s="2"/>
      <c r="BD546" s="2"/>
      <c r="BE546" s="2"/>
      <c r="BF546" s="2"/>
      <c r="BG546" s="2"/>
      <c r="BH546" s="2"/>
      <c r="BI546" s="2"/>
      <c r="BJ546" s="2"/>
      <c r="BK546" s="2"/>
      <c r="BL546" s="2"/>
      <c r="BM546" s="2"/>
      <c r="BN546" s="2"/>
      <c r="BO546" s="2"/>
      <c r="BP546" s="2"/>
      <c r="BQ546" s="2"/>
      <c r="BR546" s="2"/>
      <c r="BS546" s="2"/>
      <c r="BT546" s="2"/>
      <c r="BU546" s="2"/>
      <c r="BV546" s="2"/>
      <c r="BW546" s="2"/>
      <c r="BX546" s="2"/>
      <c r="BY546" s="2"/>
      <c r="BZ546" s="2"/>
      <c r="CA546" s="2"/>
      <c r="CB546" s="2"/>
      <c r="CC546" s="2"/>
      <c r="CD546" s="2"/>
      <c r="CE546" s="2"/>
      <c r="CF546" s="2"/>
    </row>
    <row r="547" spans="1:84" ht="12.65" customHeight="1" x14ac:dyDescent="0.35">
      <c r="A547" s="2" t="s">
        <v>561</v>
      </c>
      <c r="B547" s="335" t="e">
        <f>#REF!</f>
        <v>#REF!</v>
      </c>
      <c r="C547" s="335">
        <f>BB71</f>
        <v>227839.55</v>
      </c>
      <c r="D547" s="329" t="s">
        <v>529</v>
      </c>
      <c r="E547" s="329" t="s">
        <v>529</v>
      </c>
      <c r="F547" s="336"/>
      <c r="G547" s="336"/>
      <c r="H547" s="337"/>
      <c r="I547" s="267"/>
      <c r="J547" s="2"/>
      <c r="K547" s="333"/>
      <c r="L547" s="333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  <c r="AH547" s="2"/>
      <c r="AI547" s="2"/>
      <c r="AJ547" s="2"/>
      <c r="AK547" s="2"/>
      <c r="AL547" s="2"/>
      <c r="AM547" s="2"/>
      <c r="AN547" s="2"/>
      <c r="AO547" s="2"/>
      <c r="AP547" s="2"/>
      <c r="AQ547" s="2"/>
      <c r="AR547" s="2"/>
      <c r="AS547" s="2"/>
      <c r="AT547" s="2"/>
      <c r="AU547" s="2"/>
      <c r="AV547" s="2"/>
      <c r="AW547" s="2"/>
      <c r="AX547" s="2"/>
      <c r="AY547" s="2"/>
      <c r="AZ547" s="2"/>
      <c r="BA547" s="2"/>
      <c r="BB547" s="2"/>
      <c r="BC547" s="2"/>
      <c r="BD547" s="2"/>
      <c r="BE547" s="2"/>
      <c r="BF547" s="2"/>
      <c r="BG547" s="2"/>
      <c r="BH547" s="2"/>
      <c r="BI547" s="2"/>
      <c r="BJ547" s="2"/>
      <c r="BK547" s="2"/>
      <c r="BL547" s="2"/>
      <c r="BM547" s="2"/>
      <c r="BN547" s="2"/>
      <c r="BO547" s="2"/>
      <c r="BP547" s="2"/>
      <c r="BQ547" s="2"/>
      <c r="BR547" s="2"/>
      <c r="BS547" s="2"/>
      <c r="BT547" s="2"/>
      <c r="BU547" s="2"/>
      <c r="BV547" s="2"/>
      <c r="BW547" s="2"/>
      <c r="BX547" s="2"/>
      <c r="BY547" s="2"/>
      <c r="BZ547" s="2"/>
      <c r="CA547" s="2"/>
      <c r="CB547" s="2"/>
      <c r="CC547" s="2"/>
      <c r="CD547" s="2"/>
      <c r="CE547" s="2"/>
      <c r="CF547" s="2"/>
    </row>
    <row r="548" spans="1:84" ht="12.65" customHeight="1" x14ac:dyDescent="0.35">
      <c r="A548" s="2" t="s">
        <v>562</v>
      </c>
      <c r="B548" s="335" t="e">
        <f>#REF!</f>
        <v>#REF!</v>
      </c>
      <c r="C548" s="335">
        <f>BC71</f>
        <v>342608.7</v>
      </c>
      <c r="D548" s="329" t="s">
        <v>529</v>
      </c>
      <c r="E548" s="329" t="s">
        <v>529</v>
      </c>
      <c r="F548" s="336"/>
      <c r="G548" s="336"/>
      <c r="H548" s="337"/>
      <c r="I548" s="267"/>
      <c r="J548" s="2"/>
      <c r="K548" s="333"/>
      <c r="L548" s="333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  <c r="AH548" s="2"/>
      <c r="AI548" s="2"/>
      <c r="AJ548" s="2"/>
      <c r="AK548" s="2"/>
      <c r="AL548" s="2"/>
      <c r="AM548" s="2"/>
      <c r="AN548" s="2"/>
      <c r="AO548" s="2"/>
      <c r="AP548" s="2"/>
      <c r="AQ548" s="2"/>
      <c r="AR548" s="2"/>
      <c r="AS548" s="2"/>
      <c r="AT548" s="2"/>
      <c r="AU548" s="2"/>
      <c r="AV548" s="2"/>
      <c r="AW548" s="2"/>
      <c r="AX548" s="2"/>
      <c r="AY548" s="2"/>
      <c r="AZ548" s="2"/>
      <c r="BA548" s="2"/>
      <c r="BB548" s="2"/>
      <c r="BC548" s="2"/>
      <c r="BD548" s="2"/>
      <c r="BE548" s="2"/>
      <c r="BF548" s="2"/>
      <c r="BG548" s="2"/>
      <c r="BH548" s="2"/>
      <c r="BI548" s="2"/>
      <c r="BJ548" s="2"/>
      <c r="BK548" s="2"/>
      <c r="BL548" s="2"/>
      <c r="BM548" s="2"/>
      <c r="BN548" s="2"/>
      <c r="BO548" s="2"/>
      <c r="BP548" s="2"/>
      <c r="BQ548" s="2"/>
      <c r="BR548" s="2"/>
      <c r="BS548" s="2"/>
      <c r="BT548" s="2"/>
      <c r="BU548" s="2"/>
      <c r="BV548" s="2"/>
      <c r="BW548" s="2"/>
      <c r="BX548" s="2"/>
      <c r="BY548" s="2"/>
      <c r="BZ548" s="2"/>
      <c r="CA548" s="2"/>
      <c r="CB548" s="2"/>
      <c r="CC548" s="2"/>
      <c r="CD548" s="2"/>
      <c r="CE548" s="2"/>
      <c r="CF548" s="2"/>
    </row>
    <row r="549" spans="1:84" ht="12.65" customHeight="1" x14ac:dyDescent="0.35">
      <c r="A549" s="2" t="s">
        <v>563</v>
      </c>
      <c r="B549" s="335" t="e">
        <f>#REF!</f>
        <v>#REF!</v>
      </c>
      <c r="C549" s="335">
        <f>BD71</f>
        <v>3185816.23</v>
      </c>
      <c r="D549" s="329" t="s">
        <v>529</v>
      </c>
      <c r="E549" s="329" t="s">
        <v>529</v>
      </c>
      <c r="F549" s="336"/>
      <c r="G549" s="336"/>
      <c r="H549" s="337"/>
      <c r="I549" s="267"/>
      <c r="J549" s="2"/>
      <c r="K549" s="333"/>
      <c r="L549" s="333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  <c r="AH549" s="2"/>
      <c r="AI549" s="2"/>
      <c r="AJ549" s="2"/>
      <c r="AK549" s="2"/>
      <c r="AL549" s="2"/>
      <c r="AM549" s="2"/>
      <c r="AN549" s="2"/>
      <c r="AO549" s="2"/>
      <c r="AP549" s="2"/>
      <c r="AQ549" s="2"/>
      <c r="AR549" s="2"/>
      <c r="AS549" s="2"/>
      <c r="AT549" s="2"/>
      <c r="AU549" s="2"/>
      <c r="AV549" s="2"/>
      <c r="AW549" s="2"/>
      <c r="AX549" s="2"/>
      <c r="AY549" s="2"/>
      <c r="AZ549" s="2"/>
      <c r="BA549" s="2"/>
      <c r="BB549" s="2"/>
      <c r="BC549" s="2"/>
      <c r="BD549" s="2"/>
      <c r="BE549" s="2"/>
      <c r="BF549" s="2"/>
      <c r="BG549" s="2"/>
      <c r="BH549" s="2"/>
      <c r="BI549" s="2"/>
      <c r="BJ549" s="2"/>
      <c r="BK549" s="2"/>
      <c r="BL549" s="2"/>
      <c r="BM549" s="2"/>
      <c r="BN549" s="2"/>
      <c r="BO549" s="2"/>
      <c r="BP549" s="2"/>
      <c r="BQ549" s="2"/>
      <c r="BR549" s="2"/>
      <c r="BS549" s="2"/>
      <c r="BT549" s="2"/>
      <c r="BU549" s="2"/>
      <c r="BV549" s="2"/>
      <c r="BW549" s="2"/>
      <c r="BX549" s="2"/>
      <c r="BY549" s="2"/>
      <c r="BZ549" s="2"/>
      <c r="CA549" s="2"/>
      <c r="CB549" s="2"/>
      <c r="CC549" s="2"/>
      <c r="CD549" s="2"/>
      <c r="CE549" s="2"/>
      <c r="CF549" s="2"/>
    </row>
    <row r="550" spans="1:84" ht="12.65" customHeight="1" x14ac:dyDescent="0.35">
      <c r="A550" s="2" t="s">
        <v>564</v>
      </c>
      <c r="B550" s="335" t="e">
        <f>#REF!</f>
        <v>#REF!</v>
      </c>
      <c r="C550" s="335">
        <f>BE71</f>
        <v>14451946.390000001</v>
      </c>
      <c r="D550" s="335" t="e">
        <f>#REF!</f>
        <v>#REF!</v>
      </c>
      <c r="E550" s="2">
        <f>BE59</f>
        <v>679195</v>
      </c>
      <c r="F550" s="336" t="e">
        <f t="shared" si="20"/>
        <v>#REF!</v>
      </c>
      <c r="G550" s="336">
        <f t="shared" si="20"/>
        <v>21.278051796612168</v>
      </c>
      <c r="H550" s="337" t="e">
        <f t="shared" si="17"/>
        <v>#REF!</v>
      </c>
      <c r="I550" s="267"/>
      <c r="J550" s="2"/>
      <c r="K550" s="333"/>
      <c r="L550" s="333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  <c r="AH550" s="2"/>
      <c r="AI550" s="2"/>
      <c r="AJ550" s="2"/>
      <c r="AK550" s="2"/>
      <c r="AL550" s="2"/>
      <c r="AM550" s="2"/>
      <c r="AN550" s="2"/>
      <c r="AO550" s="2"/>
      <c r="AP550" s="2"/>
      <c r="AQ550" s="2"/>
      <c r="AR550" s="2"/>
      <c r="AS550" s="2"/>
      <c r="AT550" s="2"/>
      <c r="AU550" s="2"/>
      <c r="AV550" s="2"/>
      <c r="AW550" s="2"/>
      <c r="AX550" s="2"/>
      <c r="AY550" s="2"/>
      <c r="AZ550" s="2"/>
      <c r="BA550" s="2"/>
      <c r="BB550" s="2"/>
      <c r="BC550" s="2"/>
      <c r="BD550" s="2"/>
      <c r="BE550" s="2"/>
      <c r="BF550" s="2"/>
      <c r="BG550" s="2"/>
      <c r="BH550" s="2"/>
      <c r="BI550" s="2"/>
      <c r="BJ550" s="2"/>
      <c r="BK550" s="2"/>
      <c r="BL550" s="2"/>
      <c r="BM550" s="2"/>
      <c r="BN550" s="2"/>
      <c r="BO550" s="2"/>
      <c r="BP550" s="2"/>
      <c r="BQ550" s="2"/>
      <c r="BR550" s="2"/>
      <c r="BS550" s="2"/>
      <c r="BT550" s="2"/>
      <c r="BU550" s="2"/>
      <c r="BV550" s="2"/>
      <c r="BW550" s="2"/>
      <c r="BX550" s="2"/>
      <c r="BY550" s="2"/>
      <c r="BZ550" s="2"/>
      <c r="CA550" s="2"/>
      <c r="CB550" s="2"/>
      <c r="CC550" s="2"/>
      <c r="CD550" s="2"/>
      <c r="CE550" s="2"/>
      <c r="CF550" s="2"/>
    </row>
    <row r="551" spans="1:84" ht="12.65" customHeight="1" x14ac:dyDescent="0.35">
      <c r="A551" s="2" t="s">
        <v>565</v>
      </c>
      <c r="B551" s="335" t="e">
        <f>#REF!</f>
        <v>#REF!</v>
      </c>
      <c r="C551" s="335">
        <f>BF71</f>
        <v>5982507.4100000001</v>
      </c>
      <c r="D551" s="329" t="s">
        <v>529</v>
      </c>
      <c r="E551" s="329" t="s">
        <v>529</v>
      </c>
      <c r="F551" s="336"/>
      <c r="G551" s="336"/>
      <c r="H551" s="337"/>
      <c r="I551" s="267"/>
      <c r="J551" s="323"/>
      <c r="K551" s="2"/>
      <c r="L551" s="2"/>
      <c r="M551" s="337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  <c r="AH551" s="2"/>
      <c r="AI551" s="2"/>
      <c r="AJ551" s="2"/>
      <c r="AK551" s="2"/>
      <c r="AL551" s="2"/>
      <c r="AM551" s="2"/>
      <c r="AN551" s="2"/>
      <c r="AO551" s="2"/>
      <c r="AP551" s="2"/>
      <c r="AQ551" s="2"/>
      <c r="AR551" s="2"/>
      <c r="AS551" s="2"/>
      <c r="AT551" s="2"/>
      <c r="AU551" s="2"/>
      <c r="AV551" s="2"/>
      <c r="AW551" s="2"/>
      <c r="AX551" s="2"/>
      <c r="AY551" s="2"/>
      <c r="AZ551" s="2"/>
      <c r="BA551" s="2"/>
      <c r="BB551" s="2"/>
      <c r="BC551" s="2"/>
      <c r="BD551" s="2"/>
      <c r="BE551" s="2"/>
      <c r="BF551" s="2"/>
      <c r="BG551" s="2"/>
      <c r="BH551" s="2"/>
      <c r="BI551" s="2"/>
      <c r="BJ551" s="2"/>
      <c r="BK551" s="2"/>
      <c r="BL551" s="2"/>
      <c r="BM551" s="2"/>
      <c r="BN551" s="2"/>
      <c r="BO551" s="2"/>
      <c r="BP551" s="2"/>
      <c r="BQ551" s="2"/>
      <c r="BR551" s="2"/>
      <c r="BS551" s="2"/>
      <c r="BT551" s="2"/>
      <c r="BU551" s="2"/>
      <c r="BV551" s="2"/>
      <c r="BW551" s="2"/>
      <c r="BX551" s="2"/>
      <c r="BY551" s="2"/>
      <c r="BZ551" s="2"/>
      <c r="CA551" s="2"/>
      <c r="CB551" s="2"/>
      <c r="CC551" s="2"/>
      <c r="CD551" s="2"/>
      <c r="CE551" s="2"/>
      <c r="CF551" s="2"/>
    </row>
    <row r="552" spans="1:84" ht="12.65" customHeight="1" x14ac:dyDescent="0.35">
      <c r="A552" s="2" t="s">
        <v>566</v>
      </c>
      <c r="B552" s="335" t="e">
        <f>#REF!</f>
        <v>#REF!</v>
      </c>
      <c r="C552" s="335">
        <f>BG71</f>
        <v>2620613.54</v>
      </c>
      <c r="D552" s="329" t="s">
        <v>529</v>
      </c>
      <c r="E552" s="329" t="s">
        <v>529</v>
      </c>
      <c r="F552" s="336"/>
      <c r="G552" s="336"/>
      <c r="H552" s="337"/>
      <c r="I552" s="2"/>
      <c r="J552" s="323"/>
      <c r="K552" s="2"/>
      <c r="L552" s="2"/>
      <c r="M552" s="337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  <c r="AH552" s="2"/>
      <c r="AI552" s="2"/>
      <c r="AJ552" s="2"/>
      <c r="AK552" s="2"/>
      <c r="AL552" s="2"/>
      <c r="AM552" s="2"/>
      <c r="AN552" s="2"/>
      <c r="AO552" s="2"/>
      <c r="AP552" s="2"/>
      <c r="AQ552" s="2"/>
      <c r="AR552" s="2"/>
      <c r="AS552" s="2"/>
      <c r="AT552" s="2"/>
      <c r="AU552" s="2"/>
      <c r="AV552" s="2"/>
      <c r="AW552" s="2"/>
      <c r="AX552" s="2"/>
      <c r="AY552" s="2"/>
      <c r="AZ552" s="2"/>
      <c r="BA552" s="2"/>
      <c r="BB552" s="2"/>
      <c r="BC552" s="2"/>
      <c r="BD552" s="2"/>
      <c r="BE552" s="2"/>
      <c r="BF552" s="2"/>
      <c r="BG552" s="2"/>
      <c r="BH552" s="2"/>
      <c r="BI552" s="2"/>
      <c r="BJ552" s="2"/>
      <c r="BK552" s="2"/>
      <c r="BL552" s="2"/>
      <c r="BM552" s="2"/>
      <c r="BN552" s="2"/>
      <c r="BO552" s="2"/>
      <c r="BP552" s="2"/>
      <c r="BQ552" s="2"/>
      <c r="BR552" s="2"/>
      <c r="BS552" s="2"/>
      <c r="BT552" s="2"/>
      <c r="BU552" s="2"/>
      <c r="BV552" s="2"/>
      <c r="BW552" s="2"/>
      <c r="BX552" s="2"/>
      <c r="BY552" s="2"/>
      <c r="BZ552" s="2"/>
      <c r="CA552" s="2"/>
      <c r="CB552" s="2"/>
      <c r="CC552" s="2"/>
      <c r="CD552" s="2"/>
      <c r="CE552" s="2"/>
      <c r="CF552" s="2"/>
    </row>
    <row r="553" spans="1:84" ht="12.65" customHeight="1" x14ac:dyDescent="0.35">
      <c r="A553" s="2" t="s">
        <v>567</v>
      </c>
      <c r="B553" s="335" t="e">
        <f>#REF!</f>
        <v>#REF!</v>
      </c>
      <c r="C553" s="335">
        <f>BH71</f>
        <v>35119633.379999995</v>
      </c>
      <c r="D553" s="329" t="s">
        <v>529</v>
      </c>
      <c r="E553" s="329" t="s">
        <v>529</v>
      </c>
      <c r="F553" s="336"/>
      <c r="G553" s="336"/>
      <c r="H553" s="337"/>
      <c r="I553" s="2"/>
      <c r="J553" s="323"/>
      <c r="K553" s="2"/>
      <c r="L553" s="2"/>
      <c r="M553" s="337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  <c r="AH553" s="2"/>
      <c r="AI553" s="2"/>
      <c r="AJ553" s="2"/>
      <c r="AK553" s="2"/>
      <c r="AL553" s="2"/>
      <c r="AM553" s="2"/>
      <c r="AN553" s="2"/>
      <c r="AO553" s="2"/>
      <c r="AP553" s="2"/>
      <c r="AQ553" s="2"/>
      <c r="AR553" s="2"/>
      <c r="AS553" s="2"/>
      <c r="AT553" s="2"/>
      <c r="AU553" s="2"/>
      <c r="AV553" s="2"/>
      <c r="AW553" s="2"/>
      <c r="AX553" s="2"/>
      <c r="AY553" s="2"/>
      <c r="AZ553" s="2"/>
      <c r="BA553" s="2"/>
      <c r="BB553" s="2"/>
      <c r="BC553" s="2"/>
      <c r="BD553" s="2"/>
      <c r="BE553" s="2"/>
      <c r="BF553" s="2"/>
      <c r="BG553" s="2"/>
      <c r="BH553" s="2"/>
      <c r="BI553" s="2"/>
      <c r="BJ553" s="2"/>
      <c r="BK553" s="2"/>
      <c r="BL553" s="2"/>
      <c r="BM553" s="2"/>
      <c r="BN553" s="2"/>
      <c r="BO553" s="2"/>
      <c r="BP553" s="2"/>
      <c r="BQ553" s="2"/>
      <c r="BR553" s="2"/>
      <c r="BS553" s="2"/>
      <c r="BT553" s="2"/>
      <c r="BU553" s="2"/>
      <c r="BV553" s="2"/>
      <c r="BW553" s="2"/>
      <c r="BX553" s="2"/>
      <c r="BY553" s="2"/>
      <c r="BZ553" s="2"/>
      <c r="CA553" s="2"/>
      <c r="CB553" s="2"/>
      <c r="CC553" s="2"/>
      <c r="CD553" s="2"/>
      <c r="CE553" s="2"/>
      <c r="CF553" s="2"/>
    </row>
    <row r="554" spans="1:84" ht="12.65" customHeight="1" x14ac:dyDescent="0.35">
      <c r="A554" s="2" t="s">
        <v>568</v>
      </c>
      <c r="B554" s="335" t="e">
        <f>#REF!</f>
        <v>#REF!</v>
      </c>
      <c r="C554" s="335">
        <f>BI71</f>
        <v>12268848.76</v>
      </c>
      <c r="D554" s="329" t="s">
        <v>529</v>
      </c>
      <c r="E554" s="329" t="s">
        <v>529</v>
      </c>
      <c r="F554" s="336"/>
      <c r="G554" s="336"/>
      <c r="H554" s="337"/>
      <c r="I554" s="2"/>
      <c r="J554" s="323"/>
      <c r="K554" s="2"/>
      <c r="L554" s="2"/>
      <c r="M554" s="337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  <c r="AH554" s="2"/>
      <c r="AI554" s="2"/>
      <c r="AJ554" s="2"/>
      <c r="AK554" s="2"/>
      <c r="AL554" s="2"/>
      <c r="AM554" s="2"/>
      <c r="AN554" s="2"/>
      <c r="AO554" s="2"/>
      <c r="AP554" s="2"/>
      <c r="AQ554" s="2"/>
      <c r="AR554" s="2"/>
      <c r="AS554" s="2"/>
      <c r="AT554" s="2"/>
      <c r="AU554" s="2"/>
      <c r="AV554" s="2"/>
      <c r="AW554" s="2"/>
      <c r="AX554" s="2"/>
      <c r="AY554" s="2"/>
      <c r="AZ554" s="2"/>
      <c r="BA554" s="2"/>
      <c r="BB554" s="2"/>
      <c r="BC554" s="2"/>
      <c r="BD554" s="2"/>
      <c r="BE554" s="2"/>
      <c r="BF554" s="2"/>
      <c r="BG554" s="2"/>
      <c r="BH554" s="2"/>
      <c r="BI554" s="2"/>
      <c r="BJ554" s="2"/>
      <c r="BK554" s="2"/>
      <c r="BL554" s="2"/>
      <c r="BM554" s="2"/>
      <c r="BN554" s="2"/>
      <c r="BO554" s="2"/>
      <c r="BP554" s="2"/>
      <c r="BQ554" s="2"/>
      <c r="BR554" s="2"/>
      <c r="BS554" s="2"/>
      <c r="BT554" s="2"/>
      <c r="BU554" s="2"/>
      <c r="BV554" s="2"/>
      <c r="BW554" s="2"/>
      <c r="BX554" s="2"/>
      <c r="BY554" s="2"/>
      <c r="BZ554" s="2"/>
      <c r="CA554" s="2"/>
      <c r="CB554" s="2"/>
      <c r="CC554" s="2"/>
      <c r="CD554" s="2"/>
      <c r="CE554" s="2"/>
      <c r="CF554" s="2"/>
    </row>
    <row r="555" spans="1:84" ht="12.65" customHeight="1" x14ac:dyDescent="0.35">
      <c r="A555" s="2" t="s">
        <v>569</v>
      </c>
      <c r="B555" s="335" t="e">
        <f>#REF!</f>
        <v>#REF!</v>
      </c>
      <c r="C555" s="335">
        <f>BJ71</f>
        <v>1859104.5599999998</v>
      </c>
      <c r="D555" s="329" t="s">
        <v>529</v>
      </c>
      <c r="E555" s="329" t="s">
        <v>529</v>
      </c>
      <c r="F555" s="336"/>
      <c r="G555" s="336"/>
      <c r="H555" s="337"/>
      <c r="I555" s="2"/>
      <c r="J555" s="323"/>
      <c r="K555" s="2"/>
      <c r="L555" s="2"/>
      <c r="M555" s="337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  <c r="AH555" s="2"/>
      <c r="AI555" s="2"/>
      <c r="AJ555" s="2"/>
      <c r="AK555" s="2"/>
      <c r="AL555" s="2"/>
      <c r="AM555" s="2"/>
      <c r="AN555" s="2"/>
      <c r="AO555" s="2"/>
      <c r="AP555" s="2"/>
      <c r="AQ555" s="2"/>
      <c r="AR555" s="2"/>
      <c r="AS555" s="2"/>
      <c r="AT555" s="2"/>
      <c r="AU555" s="2"/>
      <c r="AV555" s="2"/>
      <c r="AW555" s="2"/>
      <c r="AX555" s="2"/>
      <c r="AY555" s="2"/>
      <c r="AZ555" s="2"/>
      <c r="BA555" s="2"/>
      <c r="BB555" s="2"/>
      <c r="BC555" s="2"/>
      <c r="BD555" s="2"/>
      <c r="BE555" s="2"/>
      <c r="BF555" s="2"/>
      <c r="BG555" s="2"/>
      <c r="BH555" s="2"/>
      <c r="BI555" s="2"/>
      <c r="BJ555" s="2"/>
      <c r="BK555" s="2"/>
      <c r="BL555" s="2"/>
      <c r="BM555" s="2"/>
      <c r="BN555" s="2"/>
      <c r="BO555" s="2"/>
      <c r="BP555" s="2"/>
      <c r="BQ555" s="2"/>
      <c r="BR555" s="2"/>
      <c r="BS555" s="2"/>
      <c r="BT555" s="2"/>
      <c r="BU555" s="2"/>
      <c r="BV555" s="2"/>
      <c r="BW555" s="2"/>
      <c r="BX555" s="2"/>
      <c r="BY555" s="2"/>
      <c r="BZ555" s="2"/>
      <c r="CA555" s="2"/>
      <c r="CB555" s="2"/>
      <c r="CC555" s="2"/>
      <c r="CD555" s="2"/>
      <c r="CE555" s="2"/>
      <c r="CF555" s="2"/>
    </row>
    <row r="556" spans="1:84" ht="12.65" customHeight="1" x14ac:dyDescent="0.35">
      <c r="A556" s="2" t="s">
        <v>570</v>
      </c>
      <c r="B556" s="335" t="e">
        <f>#REF!</f>
        <v>#REF!</v>
      </c>
      <c r="C556" s="335">
        <f>BK71</f>
        <v>9749778.1099999994</v>
      </c>
      <c r="D556" s="329" t="s">
        <v>529</v>
      </c>
      <c r="E556" s="329" t="s">
        <v>529</v>
      </c>
      <c r="F556" s="336"/>
      <c r="G556" s="336"/>
      <c r="H556" s="337"/>
      <c r="I556" s="2"/>
      <c r="J556" s="323"/>
      <c r="K556" s="2"/>
      <c r="L556" s="2"/>
      <c r="M556" s="337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  <c r="AH556" s="2"/>
      <c r="AI556" s="2"/>
      <c r="AJ556" s="2"/>
      <c r="AK556" s="2"/>
      <c r="AL556" s="2"/>
      <c r="AM556" s="2"/>
      <c r="AN556" s="2"/>
      <c r="AO556" s="2"/>
      <c r="AP556" s="2"/>
      <c r="AQ556" s="2"/>
      <c r="AR556" s="2"/>
      <c r="AS556" s="2"/>
      <c r="AT556" s="2"/>
      <c r="AU556" s="2"/>
      <c r="AV556" s="2"/>
      <c r="AW556" s="2"/>
      <c r="AX556" s="2"/>
      <c r="AY556" s="2"/>
      <c r="AZ556" s="2"/>
      <c r="BA556" s="2"/>
      <c r="BB556" s="2"/>
      <c r="BC556" s="2"/>
      <c r="BD556" s="2"/>
      <c r="BE556" s="2"/>
      <c r="BF556" s="2"/>
      <c r="BG556" s="2"/>
      <c r="BH556" s="2"/>
      <c r="BI556" s="2"/>
      <c r="BJ556" s="2"/>
      <c r="BK556" s="2"/>
      <c r="BL556" s="2"/>
      <c r="BM556" s="2"/>
      <c r="BN556" s="2"/>
      <c r="BO556" s="2"/>
      <c r="BP556" s="2"/>
      <c r="BQ556" s="2"/>
      <c r="BR556" s="2"/>
      <c r="BS556" s="2"/>
      <c r="BT556" s="2"/>
      <c r="BU556" s="2"/>
      <c r="BV556" s="2"/>
      <c r="BW556" s="2"/>
      <c r="BX556" s="2"/>
      <c r="BY556" s="2"/>
      <c r="BZ556" s="2"/>
      <c r="CA556" s="2"/>
      <c r="CB556" s="2"/>
      <c r="CC556" s="2"/>
      <c r="CD556" s="2"/>
      <c r="CE556" s="2"/>
      <c r="CF556" s="2"/>
    </row>
    <row r="557" spans="1:84" ht="12.65" customHeight="1" x14ac:dyDescent="0.35">
      <c r="A557" s="2" t="s">
        <v>571</v>
      </c>
      <c r="B557" s="335" t="e">
        <f>#REF!</f>
        <v>#REF!</v>
      </c>
      <c r="C557" s="335">
        <f>BL71</f>
        <v>5318745.74</v>
      </c>
      <c r="D557" s="329" t="s">
        <v>529</v>
      </c>
      <c r="E557" s="329" t="s">
        <v>529</v>
      </c>
      <c r="F557" s="336"/>
      <c r="G557" s="336"/>
      <c r="H557" s="337"/>
      <c r="I557" s="2"/>
      <c r="J557" s="323"/>
      <c r="K557" s="2"/>
      <c r="L557" s="2"/>
      <c r="M557" s="337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  <c r="AH557" s="2"/>
      <c r="AI557" s="2"/>
      <c r="AJ557" s="2"/>
      <c r="AK557" s="2"/>
      <c r="AL557" s="2"/>
      <c r="AM557" s="2"/>
      <c r="AN557" s="2"/>
      <c r="AO557" s="2"/>
      <c r="AP557" s="2"/>
      <c r="AQ557" s="2"/>
      <c r="AR557" s="2"/>
      <c r="AS557" s="2"/>
      <c r="AT557" s="2"/>
      <c r="AU557" s="2"/>
      <c r="AV557" s="2"/>
      <c r="AW557" s="2"/>
      <c r="AX557" s="2"/>
      <c r="AY557" s="2"/>
      <c r="AZ557" s="2"/>
      <c r="BA557" s="2"/>
      <c r="BB557" s="2"/>
      <c r="BC557" s="2"/>
      <c r="BD557" s="2"/>
      <c r="BE557" s="2"/>
      <c r="BF557" s="2"/>
      <c r="BG557" s="2"/>
      <c r="BH557" s="2"/>
      <c r="BI557" s="2"/>
      <c r="BJ557" s="2"/>
      <c r="BK557" s="2"/>
      <c r="BL557" s="2"/>
      <c r="BM557" s="2"/>
      <c r="BN557" s="2"/>
      <c r="BO557" s="2"/>
      <c r="BP557" s="2"/>
      <c r="BQ557" s="2"/>
      <c r="BR557" s="2"/>
      <c r="BS557" s="2"/>
      <c r="BT557" s="2"/>
      <c r="BU557" s="2"/>
      <c r="BV557" s="2"/>
      <c r="BW557" s="2"/>
      <c r="BX557" s="2"/>
      <c r="BY557" s="2"/>
      <c r="BZ557" s="2"/>
      <c r="CA557" s="2"/>
      <c r="CB557" s="2"/>
      <c r="CC557" s="2"/>
      <c r="CD557" s="2"/>
      <c r="CE557" s="2"/>
      <c r="CF557" s="2"/>
    </row>
    <row r="558" spans="1:84" ht="12.65" customHeight="1" x14ac:dyDescent="0.35">
      <c r="A558" s="2" t="s">
        <v>572</v>
      </c>
      <c r="B558" s="335" t="e">
        <f>#REF!</f>
        <v>#REF!</v>
      </c>
      <c r="C558" s="335">
        <f>BM71</f>
        <v>4833478.4899999993</v>
      </c>
      <c r="D558" s="329" t="s">
        <v>529</v>
      </c>
      <c r="E558" s="329" t="s">
        <v>529</v>
      </c>
      <c r="F558" s="336"/>
      <c r="G558" s="336"/>
      <c r="H558" s="337"/>
      <c r="I558" s="2"/>
      <c r="J558" s="323"/>
      <c r="K558" s="2"/>
      <c r="L558" s="2"/>
      <c r="M558" s="337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  <c r="AH558" s="2"/>
      <c r="AI558" s="2"/>
      <c r="AJ558" s="2"/>
      <c r="AK558" s="2"/>
      <c r="AL558" s="2"/>
      <c r="AM558" s="2"/>
      <c r="AN558" s="2"/>
      <c r="AO558" s="2"/>
      <c r="AP558" s="2"/>
      <c r="AQ558" s="2"/>
      <c r="AR558" s="2"/>
      <c r="AS558" s="2"/>
      <c r="AT558" s="2"/>
      <c r="AU558" s="2"/>
      <c r="AV558" s="2"/>
      <c r="AW558" s="2"/>
      <c r="AX558" s="2"/>
      <c r="AY558" s="2"/>
      <c r="AZ558" s="2"/>
      <c r="BA558" s="2"/>
      <c r="BB558" s="2"/>
      <c r="BC558" s="2"/>
      <c r="BD558" s="2"/>
      <c r="BE558" s="2"/>
      <c r="BF558" s="2"/>
      <c r="BG558" s="2"/>
      <c r="BH558" s="2"/>
      <c r="BI558" s="2"/>
      <c r="BJ558" s="2"/>
      <c r="BK558" s="2"/>
      <c r="BL558" s="2"/>
      <c r="BM558" s="2"/>
      <c r="BN558" s="2"/>
      <c r="BO558" s="2"/>
      <c r="BP558" s="2"/>
      <c r="BQ558" s="2"/>
      <c r="BR558" s="2"/>
      <c r="BS558" s="2"/>
      <c r="BT558" s="2"/>
      <c r="BU558" s="2"/>
      <c r="BV558" s="2"/>
      <c r="BW558" s="2"/>
      <c r="BX558" s="2"/>
      <c r="BY558" s="2"/>
      <c r="BZ558" s="2"/>
      <c r="CA558" s="2"/>
      <c r="CB558" s="2"/>
      <c r="CC558" s="2"/>
      <c r="CD558" s="2"/>
      <c r="CE558" s="2"/>
      <c r="CF558" s="2"/>
    </row>
    <row r="559" spans="1:84" ht="12.65" customHeight="1" x14ac:dyDescent="0.35">
      <c r="A559" s="2" t="s">
        <v>573</v>
      </c>
      <c r="B559" s="335" t="e">
        <f>#REF!</f>
        <v>#REF!</v>
      </c>
      <c r="C559" s="335">
        <f>BN71</f>
        <v>10645467.970000001</v>
      </c>
      <c r="D559" s="329" t="s">
        <v>529</v>
      </c>
      <c r="E559" s="329" t="s">
        <v>529</v>
      </c>
      <c r="F559" s="336"/>
      <c r="G559" s="336"/>
      <c r="H559" s="337"/>
      <c r="I559" s="2"/>
      <c r="J559" s="323"/>
      <c r="K559" s="2"/>
      <c r="L559" s="2"/>
      <c r="M559" s="337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  <c r="AH559" s="2"/>
      <c r="AI559" s="2"/>
      <c r="AJ559" s="2"/>
      <c r="AK559" s="2"/>
      <c r="AL559" s="2"/>
      <c r="AM559" s="2"/>
      <c r="AN559" s="2"/>
      <c r="AO559" s="2"/>
      <c r="AP559" s="2"/>
      <c r="AQ559" s="2"/>
      <c r="AR559" s="2"/>
      <c r="AS559" s="2"/>
      <c r="AT559" s="2"/>
      <c r="AU559" s="2"/>
      <c r="AV559" s="2"/>
      <c r="AW559" s="2"/>
      <c r="AX559" s="2"/>
      <c r="AY559" s="2"/>
      <c r="AZ559" s="2"/>
      <c r="BA559" s="2"/>
      <c r="BB559" s="2"/>
      <c r="BC559" s="2"/>
      <c r="BD559" s="2"/>
      <c r="BE559" s="2"/>
      <c r="BF559" s="2"/>
      <c r="BG559" s="2"/>
      <c r="BH559" s="2"/>
      <c r="BI559" s="2"/>
      <c r="BJ559" s="2"/>
      <c r="BK559" s="2"/>
      <c r="BL559" s="2"/>
      <c r="BM559" s="2"/>
      <c r="BN559" s="2"/>
      <c r="BO559" s="2"/>
      <c r="BP559" s="2"/>
      <c r="BQ559" s="2"/>
      <c r="BR559" s="2"/>
      <c r="BS559" s="2"/>
      <c r="BT559" s="2"/>
      <c r="BU559" s="2"/>
      <c r="BV559" s="2"/>
      <c r="BW559" s="2"/>
      <c r="BX559" s="2"/>
      <c r="BY559" s="2"/>
      <c r="BZ559" s="2"/>
      <c r="CA559" s="2"/>
      <c r="CB559" s="2"/>
      <c r="CC559" s="2"/>
      <c r="CD559" s="2"/>
      <c r="CE559" s="2"/>
      <c r="CF559" s="2"/>
    </row>
    <row r="560" spans="1:84" ht="12.65" customHeight="1" x14ac:dyDescent="0.35">
      <c r="A560" s="2" t="s">
        <v>574</v>
      </c>
      <c r="B560" s="335" t="e">
        <f>#REF!</f>
        <v>#REF!</v>
      </c>
      <c r="C560" s="335">
        <f>BO71</f>
        <v>1282071.1199999999</v>
      </c>
      <c r="D560" s="329" t="s">
        <v>529</v>
      </c>
      <c r="E560" s="329" t="s">
        <v>529</v>
      </c>
      <c r="F560" s="336"/>
      <c r="G560" s="336"/>
      <c r="H560" s="337"/>
      <c r="I560" s="2"/>
      <c r="J560" s="323"/>
      <c r="K560" s="2"/>
      <c r="L560" s="2"/>
      <c r="M560" s="337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  <c r="AH560" s="2"/>
      <c r="AI560" s="2"/>
      <c r="AJ560" s="2"/>
      <c r="AK560" s="2"/>
      <c r="AL560" s="2"/>
      <c r="AM560" s="2"/>
      <c r="AN560" s="2"/>
      <c r="AO560" s="2"/>
      <c r="AP560" s="2"/>
      <c r="AQ560" s="2"/>
      <c r="AR560" s="2"/>
      <c r="AS560" s="2"/>
      <c r="AT560" s="2"/>
      <c r="AU560" s="2"/>
      <c r="AV560" s="2"/>
      <c r="AW560" s="2"/>
      <c r="AX560" s="2"/>
      <c r="AY560" s="2"/>
      <c r="AZ560" s="2"/>
      <c r="BA560" s="2"/>
      <c r="BB560" s="2"/>
      <c r="BC560" s="2"/>
      <c r="BD560" s="2"/>
      <c r="BE560" s="2"/>
      <c r="BF560" s="2"/>
      <c r="BG560" s="2"/>
      <c r="BH560" s="2"/>
      <c r="BI560" s="2"/>
      <c r="BJ560" s="2"/>
      <c r="BK560" s="2"/>
      <c r="BL560" s="2"/>
      <c r="BM560" s="2"/>
      <c r="BN560" s="2"/>
      <c r="BO560" s="2"/>
      <c r="BP560" s="2"/>
      <c r="BQ560" s="2"/>
      <c r="BR560" s="2"/>
      <c r="BS560" s="2"/>
      <c r="BT560" s="2"/>
      <c r="BU560" s="2"/>
      <c r="BV560" s="2"/>
      <c r="BW560" s="2"/>
      <c r="BX560" s="2"/>
      <c r="BY560" s="2"/>
      <c r="BZ560" s="2"/>
      <c r="CA560" s="2"/>
      <c r="CB560" s="2"/>
      <c r="CC560" s="2"/>
      <c r="CD560" s="2"/>
      <c r="CE560" s="2"/>
      <c r="CF560" s="2"/>
    </row>
    <row r="561" spans="1:84" ht="12.65" customHeight="1" x14ac:dyDescent="0.35">
      <c r="A561" s="2" t="s">
        <v>575</v>
      </c>
      <c r="B561" s="335" t="e">
        <f>#REF!</f>
        <v>#REF!</v>
      </c>
      <c r="C561" s="335">
        <f>BP71</f>
        <v>5845316.419999999</v>
      </c>
      <c r="D561" s="329" t="s">
        <v>529</v>
      </c>
      <c r="E561" s="329" t="s">
        <v>529</v>
      </c>
      <c r="F561" s="336"/>
      <c r="G561" s="336"/>
      <c r="H561" s="337"/>
      <c r="I561" s="2"/>
      <c r="J561" s="323"/>
      <c r="K561" s="2"/>
      <c r="L561" s="2"/>
      <c r="M561" s="337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  <c r="AH561" s="2"/>
      <c r="AI561" s="2"/>
      <c r="AJ561" s="2"/>
      <c r="AK561" s="2"/>
      <c r="AL561" s="2"/>
      <c r="AM561" s="2"/>
      <c r="AN561" s="2"/>
      <c r="AO561" s="2"/>
      <c r="AP561" s="2"/>
      <c r="AQ561" s="2"/>
      <c r="AR561" s="2"/>
      <c r="AS561" s="2"/>
      <c r="AT561" s="2"/>
      <c r="AU561" s="2"/>
      <c r="AV561" s="2"/>
      <c r="AW561" s="2"/>
      <c r="AX561" s="2"/>
      <c r="AY561" s="2"/>
      <c r="AZ561" s="2"/>
      <c r="BA561" s="2"/>
      <c r="BB561" s="2"/>
      <c r="BC561" s="2"/>
      <c r="BD561" s="2"/>
      <c r="BE561" s="2"/>
      <c r="BF561" s="2"/>
      <c r="BG561" s="2"/>
      <c r="BH561" s="2"/>
      <c r="BI561" s="2"/>
      <c r="BJ561" s="2"/>
      <c r="BK561" s="2"/>
      <c r="BL561" s="2"/>
      <c r="BM561" s="2"/>
      <c r="BN561" s="2"/>
      <c r="BO561" s="2"/>
      <c r="BP561" s="2"/>
      <c r="BQ561" s="2"/>
      <c r="BR561" s="2"/>
      <c r="BS561" s="2"/>
      <c r="BT561" s="2"/>
      <c r="BU561" s="2"/>
      <c r="BV561" s="2"/>
      <c r="BW561" s="2"/>
      <c r="BX561" s="2"/>
      <c r="BY561" s="2"/>
      <c r="BZ561" s="2"/>
      <c r="CA561" s="2"/>
      <c r="CB561" s="2"/>
      <c r="CC561" s="2"/>
      <c r="CD561" s="2"/>
      <c r="CE561" s="2"/>
      <c r="CF561" s="2"/>
    </row>
    <row r="562" spans="1:84" ht="12.65" customHeight="1" x14ac:dyDescent="0.35">
      <c r="A562" s="2" t="s">
        <v>576</v>
      </c>
      <c r="B562" s="335" t="e">
        <f>#REF!</f>
        <v>#REF!</v>
      </c>
      <c r="C562" s="335">
        <f>BQ71</f>
        <v>655488.51</v>
      </c>
      <c r="D562" s="329" t="s">
        <v>529</v>
      </c>
      <c r="E562" s="329" t="s">
        <v>529</v>
      </c>
      <c r="F562" s="336"/>
      <c r="G562" s="336"/>
      <c r="H562" s="337"/>
      <c r="I562" s="2"/>
      <c r="J562" s="323"/>
      <c r="K562" s="2"/>
      <c r="L562" s="2"/>
      <c r="M562" s="337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  <c r="AH562" s="2"/>
      <c r="AI562" s="2"/>
      <c r="AJ562" s="2"/>
      <c r="AK562" s="2"/>
      <c r="AL562" s="2"/>
      <c r="AM562" s="2"/>
      <c r="AN562" s="2"/>
      <c r="AO562" s="2"/>
      <c r="AP562" s="2"/>
      <c r="AQ562" s="2"/>
      <c r="AR562" s="2"/>
      <c r="AS562" s="2"/>
      <c r="AT562" s="2"/>
      <c r="AU562" s="2"/>
      <c r="AV562" s="2"/>
      <c r="AW562" s="2"/>
      <c r="AX562" s="2"/>
      <c r="AY562" s="2"/>
      <c r="AZ562" s="2"/>
      <c r="BA562" s="2"/>
      <c r="BB562" s="2"/>
      <c r="BC562" s="2"/>
      <c r="BD562" s="2"/>
      <c r="BE562" s="2"/>
      <c r="BF562" s="2"/>
      <c r="BG562" s="2"/>
      <c r="BH562" s="2"/>
      <c r="BI562" s="2"/>
      <c r="BJ562" s="2"/>
      <c r="BK562" s="2"/>
      <c r="BL562" s="2"/>
      <c r="BM562" s="2"/>
      <c r="BN562" s="2"/>
      <c r="BO562" s="2"/>
      <c r="BP562" s="2"/>
      <c r="BQ562" s="2"/>
      <c r="BR562" s="2"/>
      <c r="BS562" s="2"/>
      <c r="BT562" s="2"/>
      <c r="BU562" s="2"/>
      <c r="BV562" s="2"/>
      <c r="BW562" s="2"/>
      <c r="BX562" s="2"/>
      <c r="BY562" s="2"/>
      <c r="BZ562" s="2"/>
      <c r="CA562" s="2"/>
      <c r="CB562" s="2"/>
      <c r="CC562" s="2"/>
      <c r="CD562" s="2"/>
      <c r="CE562" s="2"/>
      <c r="CF562" s="2"/>
    </row>
    <row r="563" spans="1:84" ht="12.65" customHeight="1" x14ac:dyDescent="0.35">
      <c r="A563" s="2" t="s">
        <v>577</v>
      </c>
      <c r="B563" s="335" t="e">
        <f>#REF!</f>
        <v>#REF!</v>
      </c>
      <c r="C563" s="335">
        <f>BR71</f>
        <v>4815164.0799999991</v>
      </c>
      <c r="D563" s="329" t="s">
        <v>529</v>
      </c>
      <c r="E563" s="329" t="s">
        <v>529</v>
      </c>
      <c r="F563" s="336"/>
      <c r="G563" s="336"/>
      <c r="H563" s="337"/>
      <c r="I563" s="2"/>
      <c r="J563" s="323"/>
      <c r="K563" s="2"/>
      <c r="L563" s="2"/>
      <c r="M563" s="337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  <c r="AH563" s="2"/>
      <c r="AI563" s="2"/>
      <c r="AJ563" s="2"/>
      <c r="AK563" s="2"/>
      <c r="AL563" s="2"/>
      <c r="AM563" s="2"/>
      <c r="AN563" s="2"/>
      <c r="AO563" s="2"/>
      <c r="AP563" s="2"/>
      <c r="AQ563" s="2"/>
      <c r="AR563" s="2"/>
      <c r="AS563" s="2"/>
      <c r="AT563" s="2"/>
      <c r="AU563" s="2"/>
      <c r="AV563" s="2"/>
      <c r="AW563" s="2"/>
      <c r="AX563" s="2"/>
      <c r="AY563" s="2"/>
      <c r="AZ563" s="2"/>
      <c r="BA563" s="2"/>
      <c r="BB563" s="2"/>
      <c r="BC563" s="2"/>
      <c r="BD563" s="2"/>
      <c r="BE563" s="2"/>
      <c r="BF563" s="2"/>
      <c r="BG563" s="2"/>
      <c r="BH563" s="2"/>
      <c r="BI563" s="2"/>
      <c r="BJ563" s="2"/>
      <c r="BK563" s="2"/>
      <c r="BL563" s="2"/>
      <c r="BM563" s="2"/>
      <c r="BN563" s="2"/>
      <c r="BO563" s="2"/>
      <c r="BP563" s="2"/>
      <c r="BQ563" s="2"/>
      <c r="BR563" s="2"/>
      <c r="BS563" s="2"/>
      <c r="BT563" s="2"/>
      <c r="BU563" s="2"/>
      <c r="BV563" s="2"/>
      <c r="BW563" s="2"/>
      <c r="BX563" s="2"/>
      <c r="BY563" s="2"/>
      <c r="BZ563" s="2"/>
      <c r="CA563" s="2"/>
      <c r="CB563" s="2"/>
      <c r="CC563" s="2"/>
      <c r="CD563" s="2"/>
      <c r="CE563" s="2"/>
      <c r="CF563" s="2"/>
    </row>
    <row r="564" spans="1:84" ht="12.65" customHeight="1" x14ac:dyDescent="0.35">
      <c r="A564" s="2" t="s">
        <v>1248</v>
      </c>
      <c r="B564" s="335" t="e">
        <f>#REF!</f>
        <v>#REF!</v>
      </c>
      <c r="C564" s="335">
        <f>BS71</f>
        <v>208586.09000000008</v>
      </c>
      <c r="D564" s="329" t="s">
        <v>529</v>
      </c>
      <c r="E564" s="329" t="s">
        <v>529</v>
      </c>
      <c r="F564" s="336"/>
      <c r="G564" s="336"/>
      <c r="H564" s="337"/>
      <c r="I564" s="2"/>
      <c r="J564" s="323"/>
      <c r="K564" s="2"/>
      <c r="L564" s="2"/>
      <c r="M564" s="337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  <c r="AH564" s="2"/>
      <c r="AI564" s="2"/>
      <c r="AJ564" s="2"/>
      <c r="AK564" s="2"/>
      <c r="AL564" s="2"/>
      <c r="AM564" s="2"/>
      <c r="AN564" s="2"/>
      <c r="AO564" s="2"/>
      <c r="AP564" s="2"/>
      <c r="AQ564" s="2"/>
      <c r="AR564" s="2"/>
      <c r="AS564" s="2"/>
      <c r="AT564" s="2"/>
      <c r="AU564" s="2"/>
      <c r="AV564" s="2"/>
      <c r="AW564" s="2"/>
      <c r="AX564" s="2"/>
      <c r="AY564" s="2"/>
      <c r="AZ564" s="2"/>
      <c r="BA564" s="2"/>
      <c r="BB564" s="2"/>
      <c r="BC564" s="2"/>
      <c r="BD564" s="2"/>
      <c r="BE564" s="2"/>
      <c r="BF564" s="2"/>
      <c r="BG564" s="2"/>
      <c r="BH564" s="2"/>
      <c r="BI564" s="2"/>
      <c r="BJ564" s="2"/>
      <c r="BK564" s="2"/>
      <c r="BL564" s="2"/>
      <c r="BM564" s="2"/>
      <c r="BN564" s="2"/>
      <c r="BO564" s="2"/>
      <c r="BP564" s="2"/>
      <c r="BQ564" s="2"/>
      <c r="BR564" s="2"/>
      <c r="BS564" s="2"/>
      <c r="BT564" s="2"/>
      <c r="BU564" s="2"/>
      <c r="BV564" s="2"/>
      <c r="BW564" s="2"/>
      <c r="BX564" s="2"/>
      <c r="BY564" s="2"/>
      <c r="BZ564" s="2"/>
      <c r="CA564" s="2"/>
      <c r="CB564" s="2"/>
      <c r="CC564" s="2"/>
      <c r="CD564" s="2"/>
      <c r="CE564" s="2"/>
      <c r="CF564" s="2"/>
    </row>
    <row r="565" spans="1:84" ht="12.65" customHeight="1" x14ac:dyDescent="0.35">
      <c r="A565" s="2" t="s">
        <v>578</v>
      </c>
      <c r="B565" s="335" t="e">
        <f>#REF!</f>
        <v>#REF!</v>
      </c>
      <c r="C565" s="335">
        <f>BT71</f>
        <v>204493.85000000003</v>
      </c>
      <c r="D565" s="329" t="s">
        <v>529</v>
      </c>
      <c r="E565" s="329" t="s">
        <v>529</v>
      </c>
      <c r="F565" s="336"/>
      <c r="G565" s="336"/>
      <c r="H565" s="337"/>
      <c r="I565" s="2"/>
      <c r="J565" s="323"/>
      <c r="K565" s="2"/>
      <c r="L565" s="2"/>
      <c r="M565" s="337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  <c r="AH565" s="2"/>
      <c r="AI565" s="2"/>
      <c r="AJ565" s="2"/>
      <c r="AK565" s="2"/>
      <c r="AL565" s="2"/>
      <c r="AM565" s="2"/>
      <c r="AN565" s="2"/>
      <c r="AO565" s="2"/>
      <c r="AP565" s="2"/>
      <c r="AQ565" s="2"/>
      <c r="AR565" s="2"/>
      <c r="AS565" s="2"/>
      <c r="AT565" s="2"/>
      <c r="AU565" s="2"/>
      <c r="AV565" s="2"/>
      <c r="AW565" s="2"/>
      <c r="AX565" s="2"/>
      <c r="AY565" s="2"/>
      <c r="AZ565" s="2"/>
      <c r="BA565" s="2"/>
      <c r="BB565" s="2"/>
      <c r="BC565" s="2"/>
      <c r="BD565" s="2"/>
      <c r="BE565" s="2"/>
      <c r="BF565" s="2"/>
      <c r="BG565" s="2"/>
      <c r="BH565" s="2"/>
      <c r="BI565" s="2"/>
      <c r="BJ565" s="2"/>
      <c r="BK565" s="2"/>
      <c r="BL565" s="2"/>
      <c r="BM565" s="2"/>
      <c r="BN565" s="2"/>
      <c r="BO565" s="2"/>
      <c r="BP565" s="2"/>
      <c r="BQ565" s="2"/>
      <c r="BR565" s="2"/>
      <c r="BS565" s="2"/>
      <c r="BT565" s="2"/>
      <c r="BU565" s="2"/>
      <c r="BV565" s="2"/>
      <c r="BW565" s="2"/>
      <c r="BX565" s="2"/>
      <c r="BY565" s="2"/>
      <c r="BZ565" s="2"/>
      <c r="CA565" s="2"/>
      <c r="CB565" s="2"/>
      <c r="CC565" s="2"/>
      <c r="CD565" s="2"/>
      <c r="CE565" s="2"/>
      <c r="CF565" s="2"/>
    </row>
    <row r="566" spans="1:84" ht="12.65" customHeight="1" x14ac:dyDescent="0.35">
      <c r="A566" s="2" t="s">
        <v>579</v>
      </c>
      <c r="B566" s="335" t="e">
        <f>#REF!</f>
        <v>#REF!</v>
      </c>
      <c r="C566" s="335">
        <f>BU71</f>
        <v>278655.23000000004</v>
      </c>
      <c r="D566" s="329" t="s">
        <v>529</v>
      </c>
      <c r="E566" s="329" t="s">
        <v>529</v>
      </c>
      <c r="F566" s="336"/>
      <c r="G566" s="336"/>
      <c r="H566" s="337"/>
      <c r="I566" s="2"/>
      <c r="J566" s="323"/>
      <c r="K566" s="2"/>
      <c r="L566" s="2"/>
      <c r="M566" s="337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  <c r="AH566" s="2"/>
      <c r="AI566" s="2"/>
      <c r="AJ566" s="2"/>
      <c r="AK566" s="2"/>
      <c r="AL566" s="2"/>
      <c r="AM566" s="2"/>
      <c r="AN566" s="2"/>
      <c r="AO566" s="2"/>
      <c r="AP566" s="2"/>
      <c r="AQ566" s="2"/>
      <c r="AR566" s="2"/>
      <c r="AS566" s="2"/>
      <c r="AT566" s="2"/>
      <c r="AU566" s="2"/>
      <c r="AV566" s="2"/>
      <c r="AW566" s="2"/>
      <c r="AX566" s="2"/>
      <c r="AY566" s="2"/>
      <c r="AZ566" s="2"/>
      <c r="BA566" s="2"/>
      <c r="BB566" s="2"/>
      <c r="BC566" s="2"/>
      <c r="BD566" s="2"/>
      <c r="BE566" s="2"/>
      <c r="BF566" s="2"/>
      <c r="BG566" s="2"/>
      <c r="BH566" s="2"/>
      <c r="BI566" s="2"/>
      <c r="BJ566" s="2"/>
      <c r="BK566" s="2"/>
      <c r="BL566" s="2"/>
      <c r="BM566" s="2"/>
      <c r="BN566" s="2"/>
      <c r="BO566" s="2"/>
      <c r="BP566" s="2"/>
      <c r="BQ566" s="2"/>
      <c r="BR566" s="2"/>
      <c r="BS566" s="2"/>
      <c r="BT566" s="2"/>
      <c r="BU566" s="2"/>
      <c r="BV566" s="2"/>
      <c r="BW566" s="2"/>
      <c r="BX566" s="2"/>
      <c r="BY566" s="2"/>
      <c r="BZ566" s="2"/>
      <c r="CA566" s="2"/>
      <c r="CB566" s="2"/>
      <c r="CC566" s="2"/>
      <c r="CD566" s="2"/>
      <c r="CE566" s="2"/>
      <c r="CF566" s="2"/>
    </row>
    <row r="567" spans="1:84" ht="12.65" customHeight="1" x14ac:dyDescent="0.35">
      <c r="A567" s="2" t="s">
        <v>580</v>
      </c>
      <c r="B567" s="335" t="e">
        <f>#REF!</f>
        <v>#REF!</v>
      </c>
      <c r="C567" s="335">
        <f>BV71</f>
        <v>6068270.3199999994</v>
      </c>
      <c r="D567" s="329" t="s">
        <v>529</v>
      </c>
      <c r="E567" s="329" t="s">
        <v>529</v>
      </c>
      <c r="F567" s="336"/>
      <c r="G567" s="336"/>
      <c r="H567" s="337"/>
      <c r="I567" s="2"/>
      <c r="J567" s="323"/>
      <c r="K567" s="2"/>
      <c r="L567" s="2"/>
      <c r="M567" s="337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  <c r="AH567" s="2"/>
      <c r="AI567" s="2"/>
      <c r="AJ567" s="2"/>
      <c r="AK567" s="2"/>
      <c r="AL567" s="2"/>
      <c r="AM567" s="2"/>
      <c r="AN567" s="2"/>
      <c r="AO567" s="2"/>
      <c r="AP567" s="2"/>
      <c r="AQ567" s="2"/>
      <c r="AR567" s="2"/>
      <c r="AS567" s="2"/>
      <c r="AT567" s="2"/>
      <c r="AU567" s="2"/>
      <c r="AV567" s="2"/>
      <c r="AW567" s="2"/>
      <c r="AX567" s="2"/>
      <c r="AY567" s="2"/>
      <c r="AZ567" s="2"/>
      <c r="BA567" s="2"/>
      <c r="BB567" s="2"/>
      <c r="BC567" s="2"/>
      <c r="BD567" s="2"/>
      <c r="BE567" s="2"/>
      <c r="BF567" s="2"/>
      <c r="BG567" s="2"/>
      <c r="BH567" s="2"/>
      <c r="BI567" s="2"/>
      <c r="BJ567" s="2"/>
      <c r="BK567" s="2"/>
      <c r="BL567" s="2"/>
      <c r="BM567" s="2"/>
      <c r="BN567" s="2"/>
      <c r="BO567" s="2"/>
      <c r="BP567" s="2"/>
      <c r="BQ567" s="2"/>
      <c r="BR567" s="2"/>
      <c r="BS567" s="2"/>
      <c r="BT567" s="2"/>
      <c r="BU567" s="2"/>
      <c r="BV567" s="2"/>
      <c r="BW567" s="2"/>
      <c r="BX567" s="2"/>
      <c r="BY567" s="2"/>
      <c r="BZ567" s="2"/>
      <c r="CA567" s="2"/>
      <c r="CB567" s="2"/>
      <c r="CC567" s="2"/>
      <c r="CD567" s="2"/>
      <c r="CE567" s="2"/>
      <c r="CF567" s="2"/>
    </row>
    <row r="568" spans="1:84" ht="12.65" customHeight="1" x14ac:dyDescent="0.35">
      <c r="A568" s="2" t="s">
        <v>581</v>
      </c>
      <c r="B568" s="335" t="e">
        <f>#REF!</f>
        <v>#REF!</v>
      </c>
      <c r="C568" s="335">
        <f>BW71</f>
        <v>3555395.4699999993</v>
      </c>
      <c r="D568" s="329" t="s">
        <v>529</v>
      </c>
      <c r="E568" s="329" t="s">
        <v>529</v>
      </c>
      <c r="F568" s="336"/>
      <c r="G568" s="336"/>
      <c r="H568" s="337"/>
      <c r="I568" s="2"/>
      <c r="J568" s="323"/>
      <c r="K568" s="2"/>
      <c r="L568" s="2"/>
      <c r="M568" s="337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  <c r="AH568" s="2"/>
      <c r="AI568" s="2"/>
      <c r="AJ568" s="2"/>
      <c r="AK568" s="2"/>
      <c r="AL568" s="2"/>
      <c r="AM568" s="2"/>
      <c r="AN568" s="2"/>
      <c r="AO568" s="2"/>
      <c r="AP568" s="2"/>
      <c r="AQ568" s="2"/>
      <c r="AR568" s="2"/>
      <c r="AS568" s="2"/>
      <c r="AT568" s="2"/>
      <c r="AU568" s="2"/>
      <c r="AV568" s="2"/>
      <c r="AW568" s="2"/>
      <c r="AX568" s="2"/>
      <c r="AY568" s="2"/>
      <c r="AZ568" s="2"/>
      <c r="BA568" s="2"/>
      <c r="BB568" s="2"/>
      <c r="BC568" s="2"/>
      <c r="BD568" s="2"/>
      <c r="BE568" s="2"/>
      <c r="BF568" s="2"/>
      <c r="BG568" s="2"/>
      <c r="BH568" s="2"/>
      <c r="BI568" s="2"/>
      <c r="BJ568" s="2"/>
      <c r="BK568" s="2"/>
      <c r="BL568" s="2"/>
      <c r="BM568" s="2"/>
      <c r="BN568" s="2"/>
      <c r="BO568" s="2"/>
      <c r="BP568" s="2"/>
      <c r="BQ568" s="2"/>
      <c r="BR568" s="2"/>
      <c r="BS568" s="2"/>
      <c r="BT568" s="2"/>
      <c r="BU568" s="2"/>
      <c r="BV568" s="2"/>
      <c r="BW568" s="2"/>
      <c r="BX568" s="2"/>
      <c r="BY568" s="2"/>
      <c r="BZ568" s="2"/>
      <c r="CA568" s="2"/>
      <c r="CB568" s="2"/>
      <c r="CC568" s="2"/>
      <c r="CD568" s="2"/>
      <c r="CE568" s="2"/>
      <c r="CF568" s="2"/>
    </row>
    <row r="569" spans="1:84" ht="12.65" customHeight="1" x14ac:dyDescent="0.35">
      <c r="A569" s="2" t="s">
        <v>582</v>
      </c>
      <c r="B569" s="335" t="e">
        <f>#REF!</f>
        <v>#REF!</v>
      </c>
      <c r="C569" s="335">
        <f>BX71</f>
        <v>7126403.6299999999</v>
      </c>
      <c r="D569" s="329" t="s">
        <v>529</v>
      </c>
      <c r="E569" s="329" t="s">
        <v>529</v>
      </c>
      <c r="F569" s="336"/>
      <c r="G569" s="336"/>
      <c r="H569" s="337"/>
      <c r="I569" s="2"/>
      <c r="J569" s="323"/>
      <c r="K569" s="2"/>
      <c r="L569" s="2"/>
      <c r="M569" s="337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  <c r="AH569" s="2"/>
      <c r="AI569" s="2"/>
      <c r="AJ569" s="2"/>
      <c r="AK569" s="2"/>
      <c r="AL569" s="2"/>
      <c r="AM569" s="2"/>
      <c r="AN569" s="2"/>
      <c r="AO569" s="2"/>
      <c r="AP569" s="2"/>
      <c r="AQ569" s="2"/>
      <c r="AR569" s="2"/>
      <c r="AS569" s="2"/>
      <c r="AT569" s="2"/>
      <c r="AU569" s="2"/>
      <c r="AV569" s="2"/>
      <c r="AW569" s="2"/>
      <c r="AX569" s="2"/>
      <c r="AY569" s="2"/>
      <c r="AZ569" s="2"/>
      <c r="BA569" s="2"/>
      <c r="BB569" s="2"/>
      <c r="BC569" s="2"/>
      <c r="BD569" s="2"/>
      <c r="BE569" s="2"/>
      <c r="BF569" s="2"/>
      <c r="BG569" s="2"/>
      <c r="BH569" s="2"/>
      <c r="BI569" s="2"/>
      <c r="BJ569" s="2"/>
      <c r="BK569" s="2"/>
      <c r="BL569" s="2"/>
      <c r="BM569" s="2"/>
      <c r="BN569" s="2"/>
      <c r="BO569" s="2"/>
      <c r="BP569" s="2"/>
      <c r="BQ569" s="2"/>
      <c r="BR569" s="2"/>
      <c r="BS569" s="2"/>
      <c r="BT569" s="2"/>
      <c r="BU569" s="2"/>
      <c r="BV569" s="2"/>
      <c r="BW569" s="2"/>
      <c r="BX569" s="2"/>
      <c r="BY569" s="2"/>
      <c r="BZ569" s="2"/>
      <c r="CA569" s="2"/>
      <c r="CB569" s="2"/>
      <c r="CC569" s="2"/>
      <c r="CD569" s="2"/>
      <c r="CE569" s="2"/>
      <c r="CF569" s="2"/>
    </row>
    <row r="570" spans="1:84" ht="12.65" customHeight="1" x14ac:dyDescent="0.35">
      <c r="A570" s="2" t="s">
        <v>583</v>
      </c>
      <c r="B570" s="335" t="e">
        <f>#REF!</f>
        <v>#REF!</v>
      </c>
      <c r="C570" s="335">
        <f>BY71</f>
        <v>1880918.0799999998</v>
      </c>
      <c r="D570" s="329" t="s">
        <v>529</v>
      </c>
      <c r="E570" s="329" t="s">
        <v>529</v>
      </c>
      <c r="F570" s="336"/>
      <c r="G570" s="336"/>
      <c r="H570" s="337"/>
      <c r="I570" s="2"/>
      <c r="J570" s="323"/>
      <c r="K570" s="2"/>
      <c r="L570" s="2"/>
      <c r="M570" s="337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  <c r="AH570" s="2"/>
      <c r="AI570" s="2"/>
      <c r="AJ570" s="2"/>
      <c r="AK570" s="2"/>
      <c r="AL570" s="2"/>
      <c r="AM570" s="2"/>
      <c r="AN570" s="2"/>
      <c r="AO570" s="2"/>
      <c r="AP570" s="2"/>
      <c r="AQ570" s="2"/>
      <c r="AR570" s="2"/>
      <c r="AS570" s="2"/>
      <c r="AT570" s="2"/>
      <c r="AU570" s="2"/>
      <c r="AV570" s="2"/>
      <c r="AW570" s="2"/>
      <c r="AX570" s="2"/>
      <c r="AY570" s="2"/>
      <c r="AZ570" s="2"/>
      <c r="BA570" s="2"/>
      <c r="BB570" s="2"/>
      <c r="BC570" s="2"/>
      <c r="BD570" s="2"/>
      <c r="BE570" s="2"/>
      <c r="BF570" s="2"/>
      <c r="BG570" s="2"/>
      <c r="BH570" s="2"/>
      <c r="BI570" s="2"/>
      <c r="BJ570" s="2"/>
      <c r="BK570" s="2"/>
      <c r="BL570" s="2"/>
      <c r="BM570" s="2"/>
      <c r="BN570" s="2"/>
      <c r="BO570" s="2"/>
      <c r="BP570" s="2"/>
      <c r="BQ570" s="2"/>
      <c r="BR570" s="2"/>
      <c r="BS570" s="2"/>
      <c r="BT570" s="2"/>
      <c r="BU570" s="2"/>
      <c r="BV570" s="2"/>
      <c r="BW570" s="2"/>
      <c r="BX570" s="2"/>
      <c r="BY570" s="2"/>
      <c r="BZ570" s="2"/>
      <c r="CA570" s="2"/>
      <c r="CB570" s="2"/>
      <c r="CC570" s="2"/>
      <c r="CD570" s="2"/>
      <c r="CE570" s="2"/>
      <c r="CF570" s="2"/>
    </row>
    <row r="571" spans="1:84" ht="12.65" customHeight="1" x14ac:dyDescent="0.35">
      <c r="A571" s="2" t="s">
        <v>584</v>
      </c>
      <c r="B571" s="335" t="e">
        <f>#REF!</f>
        <v>#REF!</v>
      </c>
      <c r="C571" s="335">
        <f>BZ71</f>
        <v>5449476.1699999999</v>
      </c>
      <c r="D571" s="329" t="s">
        <v>529</v>
      </c>
      <c r="E571" s="329" t="s">
        <v>529</v>
      </c>
      <c r="F571" s="336"/>
      <c r="G571" s="336"/>
      <c r="H571" s="337"/>
      <c r="I571" s="2"/>
      <c r="J571" s="323"/>
      <c r="K571" s="2"/>
      <c r="L571" s="2"/>
      <c r="M571" s="337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  <c r="AH571" s="2"/>
      <c r="AI571" s="2"/>
      <c r="AJ571" s="2"/>
      <c r="AK571" s="2"/>
      <c r="AL571" s="2"/>
      <c r="AM571" s="2"/>
      <c r="AN571" s="2"/>
      <c r="AO571" s="2"/>
      <c r="AP571" s="2"/>
      <c r="AQ571" s="2"/>
      <c r="AR571" s="2"/>
      <c r="AS571" s="2"/>
      <c r="AT571" s="2"/>
      <c r="AU571" s="2"/>
      <c r="AV571" s="2"/>
      <c r="AW571" s="2"/>
      <c r="AX571" s="2"/>
      <c r="AY571" s="2"/>
      <c r="AZ571" s="2"/>
      <c r="BA571" s="2"/>
      <c r="BB571" s="2"/>
      <c r="BC571" s="2"/>
      <c r="BD571" s="2"/>
      <c r="BE571" s="2"/>
      <c r="BF571" s="2"/>
      <c r="BG571" s="2"/>
      <c r="BH571" s="2"/>
      <c r="BI571" s="2"/>
      <c r="BJ571" s="2"/>
      <c r="BK571" s="2"/>
      <c r="BL571" s="2"/>
      <c r="BM571" s="2"/>
      <c r="BN571" s="2"/>
      <c r="BO571" s="2"/>
      <c r="BP571" s="2"/>
      <c r="BQ571" s="2"/>
      <c r="BR571" s="2"/>
      <c r="BS571" s="2"/>
      <c r="BT571" s="2"/>
      <c r="BU571" s="2"/>
      <c r="BV571" s="2"/>
      <c r="BW571" s="2"/>
      <c r="BX571" s="2"/>
      <c r="BY571" s="2"/>
      <c r="BZ571" s="2"/>
      <c r="CA571" s="2"/>
      <c r="CB571" s="2"/>
      <c r="CC571" s="2"/>
      <c r="CD571" s="2"/>
      <c r="CE571" s="2"/>
      <c r="CF571" s="2"/>
    </row>
    <row r="572" spans="1:84" ht="12.65" customHeight="1" x14ac:dyDescent="0.35">
      <c r="A572" s="2" t="s">
        <v>585</v>
      </c>
      <c r="B572" s="335" t="e">
        <f>#REF!</f>
        <v>#REF!</v>
      </c>
      <c r="C572" s="335">
        <f>CA71</f>
        <v>2703403.01</v>
      </c>
      <c r="D572" s="329" t="s">
        <v>529</v>
      </c>
      <c r="E572" s="329" t="s">
        <v>529</v>
      </c>
      <c r="F572" s="336"/>
      <c r="G572" s="336"/>
      <c r="H572" s="337"/>
      <c r="I572" s="2"/>
      <c r="J572" s="323"/>
      <c r="K572" s="2"/>
      <c r="L572" s="2"/>
      <c r="M572" s="337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  <c r="AH572" s="2"/>
      <c r="AI572" s="2"/>
      <c r="AJ572" s="2"/>
      <c r="AK572" s="2"/>
      <c r="AL572" s="2"/>
      <c r="AM572" s="2"/>
      <c r="AN572" s="2"/>
      <c r="AO572" s="2"/>
      <c r="AP572" s="2"/>
      <c r="AQ572" s="2"/>
      <c r="AR572" s="2"/>
      <c r="AS572" s="2"/>
      <c r="AT572" s="2"/>
      <c r="AU572" s="2"/>
      <c r="AV572" s="2"/>
      <c r="AW572" s="2"/>
      <c r="AX572" s="2"/>
      <c r="AY572" s="2"/>
      <c r="AZ572" s="2"/>
      <c r="BA572" s="2"/>
      <c r="BB572" s="2"/>
      <c r="BC572" s="2"/>
      <c r="BD572" s="2"/>
      <c r="BE572" s="2"/>
      <c r="BF572" s="2"/>
      <c r="BG572" s="2"/>
      <c r="BH572" s="2"/>
      <c r="BI572" s="2"/>
      <c r="BJ572" s="2"/>
      <c r="BK572" s="2"/>
      <c r="BL572" s="2"/>
      <c r="BM572" s="2"/>
      <c r="BN572" s="2"/>
      <c r="BO572" s="2"/>
      <c r="BP572" s="2"/>
      <c r="BQ572" s="2"/>
      <c r="BR572" s="2"/>
      <c r="BS572" s="2"/>
      <c r="BT572" s="2"/>
      <c r="BU572" s="2"/>
      <c r="BV572" s="2"/>
      <c r="BW572" s="2"/>
      <c r="BX572" s="2"/>
      <c r="BY572" s="2"/>
      <c r="BZ572" s="2"/>
      <c r="CA572" s="2"/>
      <c r="CB572" s="2"/>
      <c r="CC572" s="2"/>
      <c r="CD572" s="2"/>
      <c r="CE572" s="2"/>
      <c r="CF572" s="2"/>
    </row>
    <row r="573" spans="1:84" ht="12.65" customHeight="1" x14ac:dyDescent="0.35">
      <c r="A573" s="2" t="s">
        <v>586</v>
      </c>
      <c r="B573" s="335" t="e">
        <f>#REF!</f>
        <v>#REF!</v>
      </c>
      <c r="C573" s="335">
        <f>CB71</f>
        <v>5850458.8099999996</v>
      </c>
      <c r="D573" s="329" t="s">
        <v>529</v>
      </c>
      <c r="E573" s="329" t="s">
        <v>529</v>
      </c>
      <c r="F573" s="336"/>
      <c r="G573" s="336"/>
      <c r="H573" s="337"/>
      <c r="I573" s="2"/>
      <c r="J573" s="323"/>
      <c r="K573" s="2"/>
      <c r="L573" s="2"/>
      <c r="M573" s="337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  <c r="AH573" s="2"/>
      <c r="AI573" s="2"/>
      <c r="AJ573" s="2"/>
      <c r="AK573" s="2"/>
      <c r="AL573" s="2"/>
      <c r="AM573" s="2"/>
      <c r="AN573" s="2"/>
      <c r="AO573" s="2"/>
      <c r="AP573" s="2"/>
      <c r="AQ573" s="2"/>
      <c r="AR573" s="2"/>
      <c r="AS573" s="2"/>
      <c r="AT573" s="2"/>
      <c r="AU573" s="2"/>
      <c r="AV573" s="2"/>
      <c r="AW573" s="2"/>
      <c r="AX573" s="2"/>
      <c r="AY573" s="2"/>
      <c r="AZ573" s="2"/>
      <c r="BA573" s="2"/>
      <c r="BB573" s="2"/>
      <c r="BC573" s="2"/>
      <c r="BD573" s="2"/>
      <c r="BE573" s="2"/>
      <c r="BF573" s="2"/>
      <c r="BG573" s="2"/>
      <c r="BH573" s="2"/>
      <c r="BI573" s="2"/>
      <c r="BJ573" s="2"/>
      <c r="BK573" s="2"/>
      <c r="BL573" s="2"/>
      <c r="BM573" s="2"/>
      <c r="BN573" s="2"/>
      <c r="BO573" s="2"/>
      <c r="BP573" s="2"/>
      <c r="BQ573" s="2"/>
      <c r="BR573" s="2"/>
      <c r="BS573" s="2"/>
      <c r="BT573" s="2"/>
      <c r="BU573" s="2"/>
      <c r="BV573" s="2"/>
      <c r="BW573" s="2"/>
      <c r="BX573" s="2"/>
      <c r="BY573" s="2"/>
      <c r="BZ573" s="2"/>
      <c r="CA573" s="2"/>
      <c r="CB573" s="2"/>
      <c r="CC573" s="2"/>
      <c r="CD573" s="2"/>
      <c r="CE573" s="2"/>
      <c r="CF573" s="2"/>
    </row>
    <row r="574" spans="1:84" ht="12.65" customHeight="1" x14ac:dyDescent="0.35">
      <c r="A574" s="2" t="s">
        <v>587</v>
      </c>
      <c r="B574" s="335" t="e">
        <f>#REF!</f>
        <v>#REF!</v>
      </c>
      <c r="C574" s="335">
        <f>CC71</f>
        <v>7198573.2300000004</v>
      </c>
      <c r="D574" s="329" t="s">
        <v>529</v>
      </c>
      <c r="E574" s="329" t="s">
        <v>529</v>
      </c>
      <c r="F574" s="336"/>
      <c r="G574" s="336"/>
      <c r="H574" s="337"/>
      <c r="I574" s="2"/>
      <c r="J574" s="323"/>
      <c r="K574" s="2"/>
      <c r="L574" s="2"/>
      <c r="M574" s="337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  <c r="AH574" s="2"/>
      <c r="AI574" s="2"/>
      <c r="AJ574" s="2"/>
      <c r="AK574" s="2"/>
      <c r="AL574" s="2"/>
      <c r="AM574" s="2"/>
      <c r="AN574" s="2"/>
      <c r="AO574" s="2"/>
      <c r="AP574" s="2"/>
      <c r="AQ574" s="2"/>
      <c r="AR574" s="2"/>
      <c r="AS574" s="2"/>
      <c r="AT574" s="2"/>
      <c r="AU574" s="2"/>
      <c r="AV574" s="2"/>
      <c r="AW574" s="2"/>
      <c r="AX574" s="2"/>
      <c r="AY574" s="2"/>
      <c r="AZ574" s="2"/>
      <c r="BA574" s="2"/>
      <c r="BB574" s="2"/>
      <c r="BC574" s="2"/>
      <c r="BD574" s="2"/>
      <c r="BE574" s="2"/>
      <c r="BF574" s="2"/>
      <c r="BG574" s="2"/>
      <c r="BH574" s="2"/>
      <c r="BI574" s="2"/>
      <c r="BJ574" s="2"/>
      <c r="BK574" s="2"/>
      <c r="BL574" s="2"/>
      <c r="BM574" s="2"/>
      <c r="BN574" s="2"/>
      <c r="BO574" s="2"/>
      <c r="BP574" s="2"/>
      <c r="BQ574" s="2"/>
      <c r="BR574" s="2"/>
      <c r="BS574" s="2"/>
      <c r="BT574" s="2"/>
      <c r="BU574" s="2"/>
      <c r="BV574" s="2"/>
      <c r="BW574" s="2"/>
      <c r="BX574" s="2"/>
      <c r="BY574" s="2"/>
      <c r="BZ574" s="2"/>
      <c r="CA574" s="2"/>
      <c r="CB574" s="2"/>
      <c r="CC574" s="2"/>
      <c r="CD574" s="2"/>
      <c r="CE574" s="2"/>
      <c r="CF574" s="2"/>
    </row>
    <row r="575" spans="1:84" ht="12.65" customHeight="1" x14ac:dyDescent="0.35">
      <c r="A575" s="2" t="s">
        <v>588</v>
      </c>
      <c r="B575" s="335" t="e">
        <f>#REF!</f>
        <v>#REF!</v>
      </c>
      <c r="C575" s="335">
        <f>CD71</f>
        <v>7565236.3699999992</v>
      </c>
      <c r="D575" s="329" t="s">
        <v>529</v>
      </c>
      <c r="E575" s="329" t="s">
        <v>529</v>
      </c>
      <c r="F575" s="336"/>
      <c r="G575" s="336"/>
      <c r="H575" s="337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  <c r="AH575" s="2"/>
      <c r="AI575" s="2"/>
      <c r="AJ575" s="2"/>
      <c r="AK575" s="2"/>
      <c r="AL575" s="2"/>
      <c r="AM575" s="2"/>
      <c r="AN575" s="2"/>
      <c r="AO575" s="2"/>
      <c r="AP575" s="2"/>
      <c r="AQ575" s="2"/>
      <c r="AR575" s="2"/>
      <c r="AS575" s="2"/>
      <c r="AT575" s="2"/>
      <c r="AU575" s="2"/>
      <c r="AV575" s="2"/>
      <c r="AW575" s="2"/>
      <c r="AX575" s="2"/>
      <c r="AY575" s="2"/>
      <c r="AZ575" s="2"/>
      <c r="BA575" s="2"/>
      <c r="BB575" s="2"/>
      <c r="BC575" s="2"/>
      <c r="BD575" s="2"/>
      <c r="BE575" s="2"/>
      <c r="BF575" s="2"/>
      <c r="BG575" s="2"/>
      <c r="BH575" s="2"/>
      <c r="BI575" s="2"/>
      <c r="BJ575" s="2"/>
      <c r="BK575" s="2"/>
      <c r="BL575" s="2"/>
      <c r="BM575" s="2"/>
      <c r="BN575" s="2"/>
      <c r="BO575" s="2"/>
      <c r="BP575" s="2"/>
      <c r="BQ575" s="2"/>
      <c r="BR575" s="2"/>
      <c r="BS575" s="2"/>
      <c r="BT575" s="2"/>
      <c r="BU575" s="2"/>
      <c r="BV575" s="2"/>
      <c r="BW575" s="2"/>
      <c r="BX575" s="2"/>
      <c r="BY575" s="2"/>
      <c r="BZ575" s="2"/>
      <c r="CA575" s="2"/>
      <c r="CB575" s="2"/>
      <c r="CC575" s="2"/>
      <c r="CD575" s="2"/>
      <c r="CE575" s="2"/>
      <c r="CF575" s="2"/>
    </row>
    <row r="576" spans="1:84" ht="12.65" customHeight="1" x14ac:dyDescent="0.3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337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  <c r="AH576" s="2"/>
      <c r="AI576" s="2"/>
      <c r="AJ576" s="2"/>
      <c r="AK576" s="2"/>
      <c r="AL576" s="2"/>
      <c r="AM576" s="2"/>
      <c r="AN576" s="2"/>
      <c r="AO576" s="2"/>
      <c r="AP576" s="2"/>
      <c r="AQ576" s="2"/>
      <c r="AR576" s="2"/>
      <c r="AS576" s="2"/>
      <c r="AT576" s="2"/>
      <c r="AU576" s="2"/>
      <c r="AV576" s="2"/>
      <c r="AW576" s="2"/>
      <c r="AX576" s="2"/>
      <c r="AY576" s="2"/>
      <c r="AZ576" s="2"/>
      <c r="BA576" s="2"/>
      <c r="BB576" s="2"/>
      <c r="BC576" s="2"/>
      <c r="BD576" s="2"/>
      <c r="BE576" s="2"/>
      <c r="BF576" s="2"/>
      <c r="BG576" s="2"/>
      <c r="BH576" s="2"/>
      <c r="BI576" s="2"/>
      <c r="BJ576" s="2"/>
      <c r="BK576" s="2"/>
      <c r="BL576" s="2"/>
      <c r="BM576" s="2"/>
      <c r="BN576" s="2"/>
      <c r="BO576" s="2"/>
      <c r="BP576" s="2"/>
      <c r="BQ576" s="2"/>
      <c r="BR576" s="2"/>
      <c r="BS576" s="2"/>
      <c r="BT576" s="2"/>
      <c r="BU576" s="2"/>
      <c r="BV576" s="2"/>
      <c r="BW576" s="2"/>
      <c r="BX576" s="2"/>
      <c r="BY576" s="2"/>
      <c r="BZ576" s="2"/>
      <c r="CA576" s="2"/>
      <c r="CB576" s="2"/>
      <c r="CC576" s="2"/>
      <c r="CD576" s="2"/>
      <c r="CE576" s="2"/>
      <c r="CF576" s="2"/>
    </row>
    <row r="577" spans="1:84" ht="12.65" customHeight="1" x14ac:dyDescent="0.3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337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  <c r="AH577" s="2"/>
      <c r="AI577" s="2"/>
      <c r="AJ577" s="2"/>
      <c r="AK577" s="2"/>
      <c r="AL577" s="2"/>
      <c r="AM577" s="2"/>
      <c r="AN577" s="2"/>
      <c r="AO577" s="2"/>
      <c r="AP577" s="2"/>
      <c r="AQ577" s="2"/>
      <c r="AR577" s="2"/>
      <c r="AS577" s="2"/>
      <c r="AT577" s="2"/>
      <c r="AU577" s="2"/>
      <c r="AV577" s="2"/>
      <c r="AW577" s="2"/>
      <c r="AX577" s="2"/>
      <c r="AY577" s="2"/>
      <c r="AZ577" s="2"/>
      <c r="BA577" s="2"/>
      <c r="BB577" s="2"/>
      <c r="BC577" s="2"/>
      <c r="BD577" s="2"/>
      <c r="BE577" s="2"/>
      <c r="BF577" s="2"/>
      <c r="BG577" s="2"/>
      <c r="BH577" s="2"/>
      <c r="BI577" s="2"/>
      <c r="BJ577" s="2"/>
      <c r="BK577" s="2"/>
      <c r="BL577" s="2"/>
      <c r="BM577" s="2"/>
      <c r="BN577" s="2"/>
      <c r="BO577" s="2"/>
      <c r="BP577" s="2"/>
      <c r="BQ577" s="2"/>
      <c r="BR577" s="2"/>
      <c r="BS577" s="2"/>
      <c r="BT577" s="2"/>
      <c r="BU577" s="2"/>
      <c r="BV577" s="2"/>
      <c r="BW577" s="2"/>
      <c r="BX577" s="2"/>
      <c r="BY577" s="2"/>
      <c r="BZ577" s="2"/>
      <c r="CA577" s="2"/>
      <c r="CB577" s="2"/>
      <c r="CC577" s="2"/>
      <c r="CD577" s="2"/>
      <c r="CE577" s="2"/>
      <c r="CF577" s="2"/>
    </row>
    <row r="578" spans="1:84" ht="12.65" customHeight="1" x14ac:dyDescent="0.3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337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  <c r="AH578" s="2"/>
      <c r="AI578" s="2"/>
      <c r="AJ578" s="2"/>
      <c r="AK578" s="2"/>
      <c r="AL578" s="2"/>
      <c r="AM578" s="2"/>
      <c r="AN578" s="2"/>
      <c r="AO578" s="2"/>
      <c r="AP578" s="2"/>
      <c r="AQ578" s="2"/>
      <c r="AR578" s="2"/>
      <c r="AS578" s="2"/>
      <c r="AT578" s="2"/>
      <c r="AU578" s="2"/>
      <c r="AV578" s="2"/>
      <c r="AW578" s="2"/>
      <c r="AX578" s="2"/>
      <c r="AY578" s="2"/>
      <c r="AZ578" s="2"/>
      <c r="BA578" s="2"/>
      <c r="BB578" s="2"/>
      <c r="BC578" s="2"/>
      <c r="BD578" s="2"/>
      <c r="BE578" s="2"/>
      <c r="BF578" s="2"/>
      <c r="BG578" s="2"/>
      <c r="BH578" s="2"/>
      <c r="BI578" s="2"/>
      <c r="BJ578" s="2"/>
      <c r="BK578" s="2"/>
      <c r="BL578" s="2"/>
      <c r="BM578" s="2"/>
      <c r="BN578" s="2"/>
      <c r="BO578" s="2"/>
      <c r="BP578" s="2"/>
      <c r="BQ578" s="2"/>
      <c r="BR578" s="2"/>
      <c r="BS578" s="2"/>
      <c r="BT578" s="2"/>
      <c r="BU578" s="2"/>
      <c r="BV578" s="2"/>
      <c r="BW578" s="2"/>
      <c r="BX578" s="2"/>
      <c r="BY578" s="2"/>
      <c r="BZ578" s="2"/>
      <c r="CA578" s="2"/>
      <c r="CB578" s="2"/>
      <c r="CC578" s="2"/>
      <c r="CD578" s="2"/>
      <c r="CE578" s="2"/>
      <c r="CF578" s="2"/>
    </row>
    <row r="579" spans="1:84" ht="12.65" customHeight="1" x14ac:dyDescent="0.3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  <c r="AH579" s="2"/>
      <c r="AI579" s="2"/>
      <c r="AJ579" s="2"/>
      <c r="AK579" s="2"/>
      <c r="AL579" s="2"/>
      <c r="AM579" s="2"/>
      <c r="AN579" s="2"/>
      <c r="AO579" s="2"/>
      <c r="AP579" s="2"/>
      <c r="AQ579" s="2"/>
      <c r="AR579" s="2"/>
      <c r="AS579" s="2"/>
      <c r="AT579" s="2"/>
      <c r="AU579" s="2"/>
      <c r="AV579" s="2"/>
      <c r="AW579" s="2"/>
      <c r="AX579" s="2"/>
      <c r="AY579" s="2"/>
      <c r="AZ579" s="2"/>
      <c r="BA579" s="2"/>
      <c r="BB579" s="2"/>
      <c r="BC579" s="2"/>
      <c r="BD579" s="2"/>
      <c r="BE579" s="2"/>
      <c r="BF579" s="2"/>
      <c r="BG579" s="2"/>
      <c r="BH579" s="2"/>
      <c r="BI579" s="2"/>
      <c r="BJ579" s="2"/>
      <c r="BK579" s="2"/>
      <c r="BL579" s="2"/>
      <c r="BM579" s="2"/>
      <c r="BN579" s="2"/>
      <c r="BO579" s="2"/>
      <c r="BP579" s="2"/>
      <c r="BQ579" s="2"/>
      <c r="BR579" s="2"/>
      <c r="BS579" s="2"/>
      <c r="BT579" s="2"/>
      <c r="BU579" s="2"/>
      <c r="BV579" s="2"/>
      <c r="BW579" s="2"/>
      <c r="BX579" s="2"/>
      <c r="BY579" s="2"/>
      <c r="BZ579" s="2"/>
      <c r="CA579" s="2"/>
      <c r="CB579" s="2"/>
      <c r="CC579" s="2"/>
      <c r="CD579" s="2"/>
      <c r="CE579" s="2"/>
      <c r="CF579" s="2"/>
    </row>
    <row r="580" spans="1:84" ht="12.65" customHeight="1" x14ac:dyDescent="0.3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  <c r="AH580" s="2"/>
      <c r="AI580" s="2"/>
      <c r="AJ580" s="2"/>
      <c r="AK580" s="2"/>
      <c r="AL580" s="2"/>
      <c r="AM580" s="2"/>
      <c r="AN580" s="2"/>
      <c r="AO580" s="2"/>
      <c r="AP580" s="2"/>
      <c r="AQ580" s="2"/>
      <c r="AR580" s="2"/>
      <c r="AS580" s="2"/>
      <c r="AT580" s="2"/>
      <c r="AU580" s="2"/>
      <c r="AV580" s="2"/>
      <c r="AW580" s="2"/>
      <c r="AX580" s="2"/>
      <c r="AY580" s="2"/>
      <c r="AZ580" s="2"/>
      <c r="BA580" s="2"/>
      <c r="BB580" s="2"/>
      <c r="BC580" s="2"/>
      <c r="BD580" s="2"/>
      <c r="BE580" s="2"/>
      <c r="BF580" s="2"/>
      <c r="BG580" s="2"/>
      <c r="BH580" s="2"/>
      <c r="BI580" s="2"/>
      <c r="BJ580" s="2"/>
      <c r="BK580" s="2"/>
      <c r="BL580" s="2"/>
      <c r="BM580" s="2"/>
      <c r="BN580" s="2"/>
      <c r="BO580" s="2"/>
      <c r="BP580" s="2"/>
      <c r="BQ580" s="2"/>
      <c r="BR580" s="2"/>
      <c r="BS580" s="2"/>
      <c r="BT580" s="2"/>
      <c r="BU580" s="2"/>
      <c r="BV580" s="2"/>
      <c r="BW580" s="2"/>
      <c r="BX580" s="2"/>
      <c r="BY580" s="2"/>
      <c r="BZ580" s="2"/>
      <c r="CA580" s="2"/>
      <c r="CB580" s="2"/>
      <c r="CC580" s="2"/>
      <c r="CD580" s="2"/>
      <c r="CE580" s="2"/>
      <c r="CF580" s="2"/>
    </row>
    <row r="581" spans="1:84" ht="12.65" customHeight="1" x14ac:dyDescent="0.3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  <c r="AH581" s="2"/>
      <c r="AI581" s="2"/>
      <c r="AJ581" s="2"/>
      <c r="AK581" s="2"/>
      <c r="AL581" s="2"/>
      <c r="AM581" s="2"/>
      <c r="AN581" s="2"/>
      <c r="AO581" s="2"/>
      <c r="AP581" s="2"/>
      <c r="AQ581" s="2"/>
      <c r="AR581" s="2"/>
      <c r="AS581" s="2"/>
      <c r="AT581" s="2"/>
      <c r="AU581" s="2"/>
      <c r="AV581" s="2"/>
      <c r="AW581" s="2"/>
      <c r="AX581" s="2"/>
      <c r="AY581" s="2"/>
      <c r="AZ581" s="2"/>
      <c r="BA581" s="2"/>
      <c r="BB581" s="2"/>
      <c r="BC581" s="2"/>
      <c r="BD581" s="2"/>
      <c r="BE581" s="2"/>
      <c r="BF581" s="2"/>
      <c r="BG581" s="2"/>
      <c r="BH581" s="2"/>
      <c r="BI581" s="2"/>
      <c r="BJ581" s="2"/>
      <c r="BK581" s="2"/>
      <c r="BL581" s="2"/>
      <c r="BM581" s="2"/>
      <c r="BN581" s="2"/>
      <c r="BO581" s="2"/>
      <c r="BP581" s="2"/>
      <c r="BQ581" s="2"/>
      <c r="BR581" s="2"/>
      <c r="BS581" s="2"/>
      <c r="BT581" s="2"/>
      <c r="BU581" s="2"/>
      <c r="BV581" s="2"/>
      <c r="BW581" s="2"/>
      <c r="BX581" s="2"/>
      <c r="BY581" s="2"/>
      <c r="BZ581" s="2"/>
      <c r="CA581" s="2"/>
      <c r="CB581" s="2"/>
      <c r="CC581" s="2"/>
      <c r="CD581" s="2"/>
      <c r="CE581" s="2"/>
      <c r="CF581" s="2"/>
    </row>
    <row r="582" spans="1:84" ht="12.65" customHeight="1" x14ac:dyDescent="0.3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  <c r="AH582" s="2"/>
      <c r="AI582" s="2"/>
      <c r="AJ582" s="2"/>
      <c r="AK582" s="2"/>
      <c r="AL582" s="2"/>
      <c r="AM582" s="2"/>
      <c r="AN582" s="2"/>
      <c r="AO582" s="2"/>
      <c r="AP582" s="2"/>
      <c r="AQ582" s="2"/>
      <c r="AR582" s="2"/>
      <c r="AS582" s="2"/>
      <c r="AT582" s="2"/>
      <c r="AU582" s="2"/>
      <c r="AV582" s="2"/>
      <c r="AW582" s="2"/>
      <c r="AX582" s="2"/>
      <c r="AY582" s="2"/>
      <c r="AZ582" s="2"/>
      <c r="BA582" s="2"/>
      <c r="BB582" s="2"/>
      <c r="BC582" s="2"/>
      <c r="BD582" s="2"/>
      <c r="BE582" s="2"/>
      <c r="BF582" s="2"/>
      <c r="BG582" s="2"/>
      <c r="BH582" s="2"/>
      <c r="BI582" s="2"/>
      <c r="BJ582" s="2"/>
      <c r="BK582" s="2"/>
      <c r="BL582" s="2"/>
      <c r="BM582" s="2"/>
      <c r="BN582" s="2"/>
      <c r="BO582" s="2"/>
      <c r="BP582" s="2"/>
      <c r="BQ582" s="2"/>
      <c r="BR582" s="2"/>
      <c r="BS582" s="2"/>
      <c r="BT582" s="2"/>
      <c r="BU582" s="2"/>
      <c r="BV582" s="2"/>
      <c r="BW582" s="2"/>
      <c r="BX582" s="2"/>
      <c r="BY582" s="2"/>
      <c r="BZ582" s="2"/>
      <c r="CA582" s="2"/>
      <c r="CB582" s="2"/>
      <c r="CC582" s="2"/>
      <c r="CD582" s="2"/>
      <c r="CE582" s="2"/>
      <c r="CF582" s="2"/>
    </row>
    <row r="583" spans="1:84" ht="12.65" customHeight="1" x14ac:dyDescent="0.3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  <c r="AH583" s="2"/>
      <c r="AI583" s="2"/>
      <c r="AJ583" s="2"/>
      <c r="AK583" s="2"/>
      <c r="AL583" s="2"/>
      <c r="AM583" s="2"/>
      <c r="AN583" s="2"/>
      <c r="AO583" s="2"/>
      <c r="AP583" s="2"/>
      <c r="AQ583" s="2"/>
      <c r="AR583" s="2"/>
      <c r="AS583" s="2"/>
      <c r="AT583" s="2"/>
      <c r="AU583" s="2"/>
      <c r="AV583" s="2"/>
      <c r="AW583" s="2"/>
      <c r="AX583" s="2"/>
      <c r="AY583" s="2"/>
      <c r="AZ583" s="2"/>
      <c r="BA583" s="2"/>
      <c r="BB583" s="2"/>
      <c r="BC583" s="2"/>
      <c r="BD583" s="2"/>
      <c r="BE583" s="2"/>
      <c r="BF583" s="2"/>
      <c r="BG583" s="2"/>
      <c r="BH583" s="2"/>
      <c r="BI583" s="2"/>
      <c r="BJ583" s="2"/>
      <c r="BK583" s="2"/>
      <c r="BL583" s="2"/>
      <c r="BM583" s="2"/>
      <c r="BN583" s="2"/>
      <c r="BO583" s="2"/>
      <c r="BP583" s="2"/>
      <c r="BQ583" s="2"/>
      <c r="BR583" s="2"/>
      <c r="BS583" s="2"/>
      <c r="BT583" s="2"/>
      <c r="BU583" s="2"/>
      <c r="BV583" s="2"/>
      <c r="BW583" s="2"/>
      <c r="BX583" s="2"/>
      <c r="BY583" s="2"/>
      <c r="BZ583" s="2"/>
      <c r="CA583" s="2"/>
      <c r="CB583" s="2"/>
      <c r="CC583" s="2"/>
      <c r="CD583" s="2"/>
      <c r="CE583" s="2"/>
      <c r="CF583" s="2"/>
    </row>
    <row r="584" spans="1:84" ht="12.65" customHeight="1" x14ac:dyDescent="0.3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  <c r="AH584" s="2"/>
      <c r="AI584" s="2"/>
      <c r="AJ584" s="2"/>
      <c r="AK584" s="2"/>
      <c r="AL584" s="2"/>
      <c r="AM584" s="2"/>
      <c r="AN584" s="2"/>
      <c r="AO584" s="2"/>
      <c r="AP584" s="2"/>
      <c r="AQ584" s="2"/>
      <c r="AR584" s="2"/>
      <c r="AS584" s="2"/>
      <c r="AT584" s="2"/>
      <c r="AU584" s="2"/>
      <c r="AV584" s="2"/>
      <c r="AW584" s="2"/>
      <c r="AX584" s="2"/>
      <c r="AY584" s="2"/>
      <c r="AZ584" s="2"/>
      <c r="BA584" s="2"/>
      <c r="BB584" s="2"/>
      <c r="BC584" s="2"/>
      <c r="BD584" s="2"/>
      <c r="BE584" s="2"/>
      <c r="BF584" s="2"/>
      <c r="BG584" s="2"/>
      <c r="BH584" s="2"/>
      <c r="BI584" s="2"/>
      <c r="BJ584" s="2"/>
      <c r="BK584" s="2"/>
      <c r="BL584" s="2"/>
      <c r="BM584" s="2"/>
      <c r="BN584" s="2"/>
      <c r="BO584" s="2"/>
      <c r="BP584" s="2"/>
      <c r="BQ584" s="2"/>
      <c r="BR584" s="2"/>
      <c r="BS584" s="2"/>
      <c r="BT584" s="2"/>
      <c r="BU584" s="2"/>
      <c r="BV584" s="2"/>
      <c r="BW584" s="2"/>
      <c r="BX584" s="2"/>
      <c r="BY584" s="2"/>
      <c r="BZ584" s="2"/>
      <c r="CA584" s="2"/>
      <c r="CB584" s="2"/>
      <c r="CC584" s="2"/>
      <c r="CD584" s="2"/>
      <c r="CE584" s="2"/>
      <c r="CF584" s="2"/>
    </row>
    <row r="585" spans="1:84" ht="12.65" customHeight="1" x14ac:dyDescent="0.3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  <c r="AH585" s="2"/>
      <c r="AI585" s="2"/>
      <c r="AJ585" s="2"/>
      <c r="AK585" s="2"/>
      <c r="AL585" s="2"/>
      <c r="AM585" s="2"/>
      <c r="AN585" s="2"/>
      <c r="AO585" s="2"/>
      <c r="AP585" s="2"/>
      <c r="AQ585" s="2"/>
      <c r="AR585" s="2"/>
      <c r="AS585" s="2"/>
      <c r="AT585" s="2"/>
      <c r="AU585" s="2"/>
      <c r="AV585" s="2"/>
      <c r="AW585" s="2"/>
      <c r="AX585" s="2"/>
      <c r="AY585" s="2"/>
      <c r="AZ585" s="2"/>
      <c r="BA585" s="2"/>
      <c r="BB585" s="2"/>
      <c r="BC585" s="2"/>
      <c r="BD585" s="2"/>
      <c r="BE585" s="2"/>
      <c r="BF585" s="2"/>
      <c r="BG585" s="2"/>
      <c r="BH585" s="2"/>
      <c r="BI585" s="2"/>
      <c r="BJ585" s="2"/>
      <c r="BK585" s="2"/>
      <c r="BL585" s="2"/>
      <c r="BM585" s="2"/>
      <c r="BN585" s="2"/>
      <c r="BO585" s="2"/>
      <c r="BP585" s="2"/>
      <c r="BQ585" s="2"/>
      <c r="BR585" s="2"/>
      <c r="BS585" s="2"/>
      <c r="BT585" s="2"/>
      <c r="BU585" s="2"/>
      <c r="BV585" s="2"/>
      <c r="BW585" s="2"/>
      <c r="BX585" s="2"/>
      <c r="BY585" s="2"/>
      <c r="BZ585" s="2"/>
      <c r="CA585" s="2"/>
      <c r="CB585" s="2"/>
      <c r="CC585" s="2"/>
      <c r="CD585" s="2"/>
      <c r="CE585" s="2"/>
      <c r="CF585" s="2"/>
    </row>
    <row r="586" spans="1:84" ht="12.65" customHeight="1" x14ac:dyDescent="0.3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  <c r="AH586" s="2"/>
      <c r="AI586" s="2"/>
      <c r="AJ586" s="2"/>
      <c r="AK586" s="2"/>
      <c r="AL586" s="2"/>
      <c r="AM586" s="2"/>
      <c r="AN586" s="2"/>
      <c r="AO586" s="2"/>
      <c r="AP586" s="2"/>
      <c r="AQ586" s="2"/>
      <c r="AR586" s="2"/>
      <c r="AS586" s="2"/>
      <c r="AT586" s="2"/>
      <c r="AU586" s="2"/>
      <c r="AV586" s="2"/>
      <c r="AW586" s="2"/>
      <c r="AX586" s="2"/>
      <c r="AY586" s="2"/>
      <c r="AZ586" s="2"/>
      <c r="BA586" s="2"/>
      <c r="BB586" s="2"/>
      <c r="BC586" s="2"/>
      <c r="BD586" s="2"/>
      <c r="BE586" s="2"/>
      <c r="BF586" s="2"/>
      <c r="BG586" s="2"/>
      <c r="BH586" s="2"/>
      <c r="BI586" s="2"/>
      <c r="BJ586" s="2"/>
      <c r="BK586" s="2"/>
      <c r="BL586" s="2"/>
      <c r="BM586" s="2"/>
      <c r="BN586" s="2"/>
      <c r="BO586" s="2"/>
      <c r="BP586" s="2"/>
      <c r="BQ586" s="2"/>
      <c r="BR586" s="2"/>
      <c r="BS586" s="2"/>
      <c r="BT586" s="2"/>
      <c r="BU586" s="2"/>
      <c r="BV586" s="2"/>
      <c r="BW586" s="2"/>
      <c r="BX586" s="2"/>
      <c r="BY586" s="2"/>
      <c r="BZ586" s="2"/>
      <c r="CA586" s="2"/>
      <c r="CB586" s="2"/>
      <c r="CC586" s="2"/>
      <c r="CD586" s="2"/>
      <c r="CE586" s="2"/>
      <c r="CF586" s="2"/>
    </row>
    <row r="587" spans="1:84" ht="12.65" customHeight="1" x14ac:dyDescent="0.3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  <c r="AH587" s="2"/>
      <c r="AI587" s="2"/>
      <c r="AJ587" s="2"/>
      <c r="AK587" s="2"/>
      <c r="AL587" s="2"/>
      <c r="AM587" s="2"/>
      <c r="AN587" s="2"/>
      <c r="AO587" s="2"/>
      <c r="AP587" s="2"/>
      <c r="AQ587" s="2"/>
      <c r="AR587" s="2"/>
      <c r="AS587" s="2"/>
      <c r="AT587" s="2"/>
      <c r="AU587" s="2"/>
      <c r="AV587" s="2"/>
      <c r="AW587" s="2"/>
      <c r="AX587" s="2"/>
      <c r="AY587" s="2"/>
      <c r="AZ587" s="2"/>
      <c r="BA587" s="2"/>
      <c r="BB587" s="2"/>
      <c r="BC587" s="2"/>
      <c r="BD587" s="2"/>
      <c r="BE587" s="2"/>
      <c r="BF587" s="2"/>
      <c r="BG587" s="2"/>
      <c r="BH587" s="2"/>
      <c r="BI587" s="2"/>
      <c r="BJ587" s="2"/>
      <c r="BK587" s="2"/>
      <c r="BL587" s="2"/>
      <c r="BM587" s="2"/>
      <c r="BN587" s="2"/>
      <c r="BO587" s="2"/>
      <c r="BP587" s="2"/>
      <c r="BQ587" s="2"/>
      <c r="BR587" s="2"/>
      <c r="BS587" s="2"/>
      <c r="BT587" s="2"/>
      <c r="BU587" s="2"/>
      <c r="BV587" s="2"/>
      <c r="BW587" s="2"/>
      <c r="BX587" s="2"/>
      <c r="BY587" s="2"/>
      <c r="BZ587" s="2"/>
      <c r="CA587" s="2"/>
      <c r="CB587" s="2"/>
      <c r="CC587" s="2"/>
      <c r="CD587" s="2"/>
      <c r="CE587" s="2"/>
      <c r="CF587" s="2"/>
    </row>
    <row r="588" spans="1:84" ht="12.65" customHeight="1" x14ac:dyDescent="0.3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  <c r="AG588" s="2"/>
      <c r="AH588" s="2"/>
      <c r="AI588" s="2"/>
      <c r="AJ588" s="2"/>
      <c r="AK588" s="2"/>
      <c r="AL588" s="2"/>
      <c r="AM588" s="2"/>
      <c r="AN588" s="2"/>
      <c r="AO588" s="2"/>
      <c r="AP588" s="2"/>
      <c r="AQ588" s="2"/>
      <c r="AR588" s="2"/>
      <c r="AS588" s="2"/>
      <c r="AT588" s="2"/>
      <c r="AU588" s="2"/>
      <c r="AV588" s="2"/>
      <c r="AW588" s="2"/>
      <c r="AX588" s="2"/>
      <c r="AY588" s="2"/>
      <c r="AZ588" s="2"/>
      <c r="BA588" s="2"/>
      <c r="BB588" s="2"/>
      <c r="BC588" s="2"/>
      <c r="BD588" s="2"/>
      <c r="BE588" s="2"/>
      <c r="BF588" s="2"/>
      <c r="BG588" s="2"/>
      <c r="BH588" s="2"/>
      <c r="BI588" s="2"/>
      <c r="BJ588" s="2"/>
      <c r="BK588" s="2"/>
      <c r="BL588" s="2"/>
      <c r="BM588" s="2"/>
      <c r="BN588" s="2"/>
      <c r="BO588" s="2"/>
      <c r="BP588" s="2"/>
      <c r="BQ588" s="2"/>
      <c r="BR588" s="2"/>
      <c r="BS588" s="2"/>
      <c r="BT588" s="2"/>
      <c r="BU588" s="2"/>
      <c r="BV588" s="2"/>
      <c r="BW588" s="2"/>
      <c r="BX588" s="2"/>
      <c r="BY588" s="2"/>
      <c r="BZ588" s="2"/>
      <c r="CA588" s="2"/>
      <c r="CB588" s="2"/>
      <c r="CC588" s="2"/>
      <c r="CD588" s="2"/>
      <c r="CE588" s="2"/>
      <c r="CF588" s="2"/>
    </row>
    <row r="589" spans="1:84" ht="12.65" customHeight="1" x14ac:dyDescent="0.3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2"/>
      <c r="AH589" s="2"/>
      <c r="AI589" s="2"/>
      <c r="AJ589" s="2"/>
      <c r="AK589" s="2"/>
      <c r="AL589" s="2"/>
      <c r="AM589" s="2"/>
      <c r="AN589" s="2"/>
      <c r="AO589" s="2"/>
      <c r="AP589" s="2"/>
      <c r="AQ589" s="2"/>
      <c r="AR589" s="2"/>
      <c r="AS589" s="2"/>
      <c r="AT589" s="2"/>
      <c r="AU589" s="2"/>
      <c r="AV589" s="2"/>
      <c r="AW589" s="2"/>
      <c r="AX589" s="2"/>
      <c r="AY589" s="2"/>
      <c r="AZ589" s="2"/>
      <c r="BA589" s="2"/>
      <c r="BB589" s="2"/>
      <c r="BC589" s="2"/>
      <c r="BD589" s="2"/>
      <c r="BE589" s="2"/>
      <c r="BF589" s="2"/>
      <c r="BG589" s="2"/>
      <c r="BH589" s="2"/>
      <c r="BI589" s="2"/>
      <c r="BJ589" s="2"/>
      <c r="BK589" s="2"/>
      <c r="BL589" s="2"/>
      <c r="BM589" s="2"/>
      <c r="BN589" s="2"/>
      <c r="BO589" s="2"/>
      <c r="BP589" s="2"/>
      <c r="BQ589" s="2"/>
      <c r="BR589" s="2"/>
      <c r="BS589" s="2"/>
      <c r="BT589" s="2"/>
      <c r="BU589" s="2"/>
      <c r="BV589" s="2"/>
      <c r="BW589" s="2"/>
      <c r="BX589" s="2"/>
      <c r="BY589" s="2"/>
      <c r="BZ589" s="2"/>
      <c r="CA589" s="2"/>
      <c r="CB589" s="2"/>
      <c r="CC589" s="2"/>
      <c r="CD589" s="2"/>
      <c r="CE589" s="2"/>
      <c r="CF589" s="2"/>
    </row>
    <row r="590" spans="1:84" ht="12.65" customHeight="1" x14ac:dyDescent="0.3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  <c r="AH590" s="2"/>
      <c r="AI590" s="2"/>
      <c r="AJ590" s="2"/>
      <c r="AK590" s="2"/>
      <c r="AL590" s="2"/>
      <c r="AM590" s="2"/>
      <c r="AN590" s="2"/>
      <c r="AO590" s="2"/>
      <c r="AP590" s="2"/>
      <c r="AQ590" s="2"/>
      <c r="AR590" s="2"/>
      <c r="AS590" s="2"/>
      <c r="AT590" s="2"/>
      <c r="AU590" s="2"/>
      <c r="AV590" s="2"/>
      <c r="AW590" s="2"/>
      <c r="AX590" s="2"/>
      <c r="AY590" s="2"/>
      <c r="AZ590" s="2"/>
      <c r="BA590" s="2"/>
      <c r="BB590" s="2"/>
      <c r="BC590" s="2"/>
      <c r="BD590" s="2"/>
      <c r="BE590" s="2"/>
      <c r="BF590" s="2"/>
      <c r="BG590" s="2"/>
      <c r="BH590" s="2"/>
      <c r="BI590" s="2"/>
      <c r="BJ590" s="2"/>
      <c r="BK590" s="2"/>
      <c r="BL590" s="2"/>
      <c r="BM590" s="2"/>
      <c r="BN590" s="2"/>
      <c r="BO590" s="2"/>
      <c r="BP590" s="2"/>
      <c r="BQ590" s="2"/>
      <c r="BR590" s="2"/>
      <c r="BS590" s="2"/>
      <c r="BT590" s="2"/>
      <c r="BU590" s="2"/>
      <c r="BV590" s="2"/>
      <c r="BW590" s="2"/>
      <c r="BX590" s="2"/>
      <c r="BY590" s="2"/>
      <c r="BZ590" s="2"/>
      <c r="CA590" s="2"/>
      <c r="CB590" s="2"/>
      <c r="CC590" s="2"/>
      <c r="CD590" s="2"/>
      <c r="CE590" s="2"/>
      <c r="CF590" s="2"/>
    </row>
    <row r="591" spans="1:84" ht="12.65" customHeight="1" x14ac:dyDescent="0.3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  <c r="AH591" s="2"/>
      <c r="AI591" s="2"/>
      <c r="AJ591" s="2"/>
      <c r="AK591" s="2"/>
      <c r="AL591" s="2"/>
      <c r="AM591" s="2"/>
      <c r="AN591" s="2"/>
      <c r="AO591" s="2"/>
      <c r="AP591" s="2"/>
      <c r="AQ591" s="2"/>
      <c r="AR591" s="2"/>
      <c r="AS591" s="2"/>
      <c r="AT591" s="2"/>
      <c r="AU591" s="2"/>
      <c r="AV591" s="2"/>
      <c r="AW591" s="2"/>
      <c r="AX591" s="2"/>
      <c r="AY591" s="2"/>
      <c r="AZ591" s="2"/>
      <c r="BA591" s="2"/>
      <c r="BB591" s="2"/>
      <c r="BC591" s="2"/>
      <c r="BD591" s="2"/>
      <c r="BE591" s="2"/>
      <c r="BF591" s="2"/>
      <c r="BG591" s="2"/>
      <c r="BH591" s="2"/>
      <c r="BI591" s="2"/>
      <c r="BJ591" s="2"/>
      <c r="BK591" s="2"/>
      <c r="BL591" s="2"/>
      <c r="BM591" s="2"/>
      <c r="BN591" s="2"/>
      <c r="BO591" s="2"/>
      <c r="BP591" s="2"/>
      <c r="BQ591" s="2"/>
      <c r="BR591" s="2"/>
      <c r="BS591" s="2"/>
      <c r="BT591" s="2"/>
      <c r="BU591" s="2"/>
      <c r="BV591" s="2"/>
      <c r="BW591" s="2"/>
      <c r="BX591" s="2"/>
      <c r="BY591" s="2"/>
      <c r="BZ591" s="2"/>
      <c r="CA591" s="2"/>
      <c r="CB591" s="2"/>
      <c r="CC591" s="2"/>
      <c r="CD591" s="2"/>
      <c r="CE591" s="2"/>
      <c r="CF591" s="2"/>
    </row>
    <row r="592" spans="1:84" ht="12.65" customHeight="1" x14ac:dyDescent="0.3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  <c r="AH592" s="2"/>
      <c r="AI592" s="2"/>
      <c r="AJ592" s="2"/>
      <c r="AK592" s="2"/>
      <c r="AL592" s="2"/>
      <c r="AM592" s="2"/>
      <c r="AN592" s="2"/>
      <c r="AO592" s="2"/>
      <c r="AP592" s="2"/>
      <c r="AQ592" s="2"/>
      <c r="AR592" s="2"/>
      <c r="AS592" s="2"/>
      <c r="AT592" s="2"/>
      <c r="AU592" s="2"/>
      <c r="AV592" s="2"/>
      <c r="AW592" s="2"/>
      <c r="AX592" s="2"/>
      <c r="AY592" s="2"/>
      <c r="AZ592" s="2"/>
      <c r="BA592" s="2"/>
      <c r="BB592" s="2"/>
      <c r="BC592" s="2"/>
      <c r="BD592" s="2"/>
      <c r="BE592" s="2"/>
      <c r="BF592" s="2"/>
      <c r="BG592" s="2"/>
      <c r="BH592" s="2"/>
      <c r="BI592" s="2"/>
      <c r="BJ592" s="2"/>
      <c r="BK592" s="2"/>
      <c r="BL592" s="2"/>
      <c r="BM592" s="2"/>
      <c r="BN592" s="2"/>
      <c r="BO592" s="2"/>
      <c r="BP592" s="2"/>
      <c r="BQ592" s="2"/>
      <c r="BR592" s="2"/>
      <c r="BS592" s="2"/>
      <c r="BT592" s="2"/>
      <c r="BU592" s="2"/>
      <c r="BV592" s="2"/>
      <c r="BW592" s="2"/>
      <c r="BX592" s="2"/>
      <c r="BY592" s="2"/>
      <c r="BZ592" s="2"/>
      <c r="CA592" s="2"/>
      <c r="CB592" s="2"/>
      <c r="CC592" s="2"/>
      <c r="CD592" s="2"/>
      <c r="CE592" s="2"/>
      <c r="CF592" s="2"/>
    </row>
    <row r="593" spans="1:84" ht="12.65" customHeight="1" x14ac:dyDescent="0.3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  <c r="AH593" s="2"/>
      <c r="AI593" s="2"/>
      <c r="AJ593" s="2"/>
      <c r="AK593" s="2"/>
      <c r="AL593" s="2"/>
      <c r="AM593" s="2"/>
      <c r="AN593" s="2"/>
      <c r="AO593" s="2"/>
      <c r="AP593" s="2"/>
      <c r="AQ593" s="2"/>
      <c r="AR593" s="2"/>
      <c r="AS593" s="2"/>
      <c r="AT593" s="2"/>
      <c r="AU593" s="2"/>
      <c r="AV593" s="2"/>
      <c r="AW593" s="2"/>
      <c r="AX593" s="2"/>
      <c r="AY593" s="2"/>
      <c r="AZ593" s="2"/>
      <c r="BA593" s="2"/>
      <c r="BB593" s="2"/>
      <c r="BC593" s="2"/>
      <c r="BD593" s="2"/>
      <c r="BE593" s="2"/>
      <c r="BF593" s="2"/>
      <c r="BG593" s="2"/>
      <c r="BH593" s="2"/>
      <c r="BI593" s="2"/>
      <c r="BJ593" s="2"/>
      <c r="BK593" s="2"/>
      <c r="BL593" s="2"/>
      <c r="BM593" s="2"/>
      <c r="BN593" s="2"/>
      <c r="BO593" s="2"/>
      <c r="BP593" s="2"/>
      <c r="BQ593" s="2"/>
      <c r="BR593" s="2"/>
      <c r="BS593" s="2"/>
      <c r="BT593" s="2"/>
      <c r="BU593" s="2"/>
      <c r="BV593" s="2"/>
      <c r="BW593" s="2"/>
      <c r="BX593" s="2"/>
      <c r="BY593" s="2"/>
      <c r="BZ593" s="2"/>
      <c r="CA593" s="2"/>
      <c r="CB593" s="2"/>
      <c r="CC593" s="2"/>
      <c r="CD593" s="2"/>
      <c r="CE593" s="2"/>
      <c r="CF593" s="2"/>
    </row>
    <row r="594" spans="1:84" ht="12.65" customHeight="1" x14ac:dyDescent="0.3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  <c r="AH594" s="2"/>
      <c r="AI594" s="2"/>
      <c r="AJ594" s="2"/>
      <c r="AK594" s="2"/>
      <c r="AL594" s="2"/>
      <c r="AM594" s="2"/>
      <c r="AN594" s="2"/>
      <c r="AO594" s="2"/>
      <c r="AP594" s="2"/>
      <c r="AQ594" s="2"/>
      <c r="AR594" s="2"/>
      <c r="AS594" s="2"/>
      <c r="AT594" s="2"/>
      <c r="AU594" s="2"/>
      <c r="AV594" s="2"/>
      <c r="AW594" s="2"/>
      <c r="AX594" s="2"/>
      <c r="AY594" s="2"/>
      <c r="AZ594" s="2"/>
      <c r="BA594" s="2"/>
      <c r="BB594" s="2"/>
      <c r="BC594" s="2"/>
      <c r="BD594" s="2"/>
      <c r="BE594" s="2"/>
      <c r="BF594" s="2"/>
      <c r="BG594" s="2"/>
      <c r="BH594" s="2"/>
      <c r="BI594" s="2"/>
      <c r="BJ594" s="2"/>
      <c r="BK594" s="2"/>
      <c r="BL594" s="2"/>
      <c r="BM594" s="2"/>
      <c r="BN594" s="2"/>
      <c r="BO594" s="2"/>
      <c r="BP594" s="2"/>
      <c r="BQ594" s="2"/>
      <c r="BR594" s="2"/>
      <c r="BS594" s="2"/>
      <c r="BT594" s="2"/>
      <c r="BU594" s="2"/>
      <c r="BV594" s="2"/>
      <c r="BW594" s="2"/>
      <c r="BX594" s="2"/>
      <c r="BY594" s="2"/>
      <c r="BZ594" s="2"/>
      <c r="CA594" s="2"/>
      <c r="CB594" s="2"/>
      <c r="CC594" s="2"/>
      <c r="CD594" s="2"/>
      <c r="CE594" s="2"/>
      <c r="CF594" s="2"/>
    </row>
    <row r="595" spans="1:84" ht="12.65" customHeight="1" x14ac:dyDescent="0.3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  <c r="AH595" s="2"/>
      <c r="AI595" s="2"/>
      <c r="AJ595" s="2"/>
      <c r="AK595" s="2"/>
      <c r="AL595" s="2"/>
      <c r="AM595" s="2"/>
      <c r="AN595" s="2"/>
      <c r="AO595" s="2"/>
      <c r="AP595" s="2"/>
      <c r="AQ595" s="2"/>
      <c r="AR595" s="2"/>
      <c r="AS595" s="2"/>
      <c r="AT595" s="2"/>
      <c r="AU595" s="2"/>
      <c r="AV595" s="2"/>
      <c r="AW595" s="2"/>
      <c r="AX595" s="2"/>
      <c r="AY595" s="2"/>
      <c r="AZ595" s="2"/>
      <c r="BA595" s="2"/>
      <c r="BB595" s="2"/>
      <c r="BC595" s="2"/>
      <c r="BD595" s="2"/>
      <c r="BE595" s="2"/>
      <c r="BF595" s="2"/>
      <c r="BG595" s="2"/>
      <c r="BH595" s="2"/>
      <c r="BI595" s="2"/>
      <c r="BJ595" s="2"/>
      <c r="BK595" s="2"/>
      <c r="BL595" s="2"/>
      <c r="BM595" s="2"/>
      <c r="BN595" s="2"/>
      <c r="BO595" s="2"/>
      <c r="BP595" s="2"/>
      <c r="BQ595" s="2"/>
      <c r="BR595" s="2"/>
      <c r="BS595" s="2"/>
      <c r="BT595" s="2"/>
      <c r="BU595" s="2"/>
      <c r="BV595" s="2"/>
      <c r="BW595" s="2"/>
      <c r="BX595" s="2"/>
      <c r="BY595" s="2"/>
      <c r="BZ595" s="2"/>
      <c r="CA595" s="2"/>
      <c r="CB595" s="2"/>
      <c r="CC595" s="2"/>
      <c r="CD595" s="2"/>
      <c r="CE595" s="2"/>
      <c r="CF595" s="2"/>
    </row>
    <row r="596" spans="1:84" ht="12.65" customHeight="1" x14ac:dyDescent="0.3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  <c r="AH596" s="2"/>
      <c r="AI596" s="2"/>
      <c r="AJ596" s="2"/>
      <c r="AK596" s="2"/>
      <c r="AL596" s="2"/>
      <c r="AM596" s="2"/>
      <c r="AN596" s="2"/>
      <c r="AO596" s="2"/>
      <c r="AP596" s="2"/>
      <c r="AQ596" s="2"/>
      <c r="AR596" s="2"/>
      <c r="AS596" s="2"/>
      <c r="AT596" s="2"/>
      <c r="AU596" s="2"/>
      <c r="AV596" s="2"/>
      <c r="AW596" s="2"/>
      <c r="AX596" s="2"/>
      <c r="AY596" s="2"/>
      <c r="AZ596" s="2"/>
      <c r="BA596" s="2"/>
      <c r="BB596" s="2"/>
      <c r="BC596" s="2"/>
      <c r="BD596" s="2"/>
      <c r="BE596" s="2"/>
      <c r="BF596" s="2"/>
      <c r="BG596" s="2"/>
      <c r="BH596" s="2"/>
      <c r="BI596" s="2"/>
      <c r="BJ596" s="2"/>
      <c r="BK596" s="2"/>
      <c r="BL596" s="2"/>
      <c r="BM596" s="2"/>
      <c r="BN596" s="2"/>
      <c r="BO596" s="2"/>
      <c r="BP596" s="2"/>
      <c r="BQ596" s="2"/>
      <c r="BR596" s="2"/>
      <c r="BS596" s="2"/>
      <c r="BT596" s="2"/>
      <c r="BU596" s="2"/>
      <c r="BV596" s="2"/>
      <c r="BW596" s="2"/>
      <c r="BX596" s="2"/>
      <c r="BY596" s="2"/>
      <c r="BZ596" s="2"/>
      <c r="CA596" s="2"/>
      <c r="CB596" s="2"/>
      <c r="CC596" s="2"/>
      <c r="CD596" s="2"/>
      <c r="CE596" s="2"/>
      <c r="CF596" s="2"/>
    </row>
    <row r="597" spans="1:84" ht="12.65" customHeight="1" x14ac:dyDescent="0.3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  <c r="AH597" s="2"/>
      <c r="AI597" s="2"/>
      <c r="AJ597" s="2"/>
      <c r="AK597" s="2"/>
      <c r="AL597" s="2"/>
      <c r="AM597" s="2"/>
      <c r="AN597" s="2"/>
      <c r="AO597" s="2"/>
      <c r="AP597" s="2"/>
      <c r="AQ597" s="2"/>
      <c r="AR597" s="2"/>
      <c r="AS597" s="2"/>
      <c r="AT597" s="2"/>
      <c r="AU597" s="2"/>
      <c r="AV597" s="2"/>
      <c r="AW597" s="2"/>
      <c r="AX597" s="2"/>
      <c r="AY597" s="2"/>
      <c r="AZ597" s="2"/>
      <c r="BA597" s="2"/>
      <c r="BB597" s="2"/>
      <c r="BC597" s="2"/>
      <c r="BD597" s="2"/>
      <c r="BE597" s="2"/>
      <c r="BF597" s="2"/>
      <c r="BG597" s="2"/>
      <c r="BH597" s="2"/>
      <c r="BI597" s="2"/>
      <c r="BJ597" s="2"/>
      <c r="BK597" s="2"/>
      <c r="BL597" s="2"/>
      <c r="BM597" s="2"/>
      <c r="BN597" s="2"/>
      <c r="BO597" s="2"/>
      <c r="BP597" s="2"/>
      <c r="BQ597" s="2"/>
      <c r="BR597" s="2"/>
      <c r="BS597" s="2"/>
      <c r="BT597" s="2"/>
      <c r="BU597" s="2"/>
      <c r="BV597" s="2"/>
      <c r="BW597" s="2"/>
      <c r="BX597" s="2"/>
      <c r="BY597" s="2"/>
      <c r="BZ597" s="2"/>
      <c r="CA597" s="2"/>
      <c r="CB597" s="2"/>
      <c r="CC597" s="2"/>
      <c r="CD597" s="2"/>
      <c r="CE597" s="2"/>
      <c r="CF597" s="2"/>
    </row>
    <row r="598" spans="1:84" ht="12.65" customHeight="1" x14ac:dyDescent="0.3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  <c r="AH598" s="2"/>
      <c r="AI598" s="2"/>
      <c r="AJ598" s="2"/>
      <c r="AK598" s="2"/>
      <c r="AL598" s="2"/>
      <c r="AM598" s="2"/>
      <c r="AN598" s="2"/>
      <c r="AO598" s="2"/>
      <c r="AP598" s="2"/>
      <c r="AQ598" s="2"/>
      <c r="AR598" s="2"/>
      <c r="AS598" s="2"/>
      <c r="AT598" s="2"/>
      <c r="AU598" s="2"/>
      <c r="AV598" s="2"/>
      <c r="AW598" s="2"/>
      <c r="AX598" s="2"/>
      <c r="AY598" s="2"/>
      <c r="AZ598" s="2"/>
      <c r="BA598" s="2"/>
      <c r="BB598" s="2"/>
      <c r="BC598" s="2"/>
      <c r="BD598" s="2"/>
      <c r="BE598" s="2"/>
      <c r="BF598" s="2"/>
      <c r="BG598" s="2"/>
      <c r="BH598" s="2"/>
      <c r="BI598" s="2"/>
      <c r="BJ598" s="2"/>
      <c r="BK598" s="2"/>
      <c r="BL598" s="2"/>
      <c r="BM598" s="2"/>
      <c r="BN598" s="2"/>
      <c r="BO598" s="2"/>
      <c r="BP598" s="2"/>
      <c r="BQ598" s="2"/>
      <c r="BR598" s="2"/>
      <c r="BS598" s="2"/>
      <c r="BT598" s="2"/>
      <c r="BU598" s="2"/>
      <c r="BV598" s="2"/>
      <c r="BW598" s="2"/>
      <c r="BX598" s="2"/>
      <c r="BY598" s="2"/>
      <c r="BZ598" s="2"/>
      <c r="CA598" s="2"/>
      <c r="CB598" s="2"/>
      <c r="CC598" s="2"/>
      <c r="CD598" s="2"/>
      <c r="CE598" s="2"/>
      <c r="CF598" s="2"/>
    </row>
    <row r="599" spans="1:84" ht="12.65" customHeight="1" x14ac:dyDescent="0.3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  <c r="AH599" s="2"/>
      <c r="AI599" s="2"/>
      <c r="AJ599" s="2"/>
      <c r="AK599" s="2"/>
      <c r="AL599" s="2"/>
      <c r="AM599" s="2"/>
      <c r="AN599" s="2"/>
      <c r="AO599" s="2"/>
      <c r="AP599" s="2"/>
      <c r="AQ599" s="2"/>
      <c r="AR599" s="2"/>
      <c r="AS599" s="2"/>
      <c r="AT599" s="2"/>
      <c r="AU599" s="2"/>
      <c r="AV599" s="2"/>
      <c r="AW599" s="2"/>
      <c r="AX599" s="2"/>
      <c r="AY599" s="2"/>
      <c r="AZ599" s="2"/>
      <c r="BA599" s="2"/>
      <c r="BB599" s="2"/>
      <c r="BC599" s="2"/>
      <c r="BD599" s="2"/>
      <c r="BE599" s="2"/>
      <c r="BF599" s="2"/>
      <c r="BG599" s="2"/>
      <c r="BH599" s="2"/>
      <c r="BI599" s="2"/>
      <c r="BJ599" s="2"/>
      <c r="BK599" s="2"/>
      <c r="BL599" s="2"/>
      <c r="BM599" s="2"/>
      <c r="BN599" s="2"/>
      <c r="BO599" s="2"/>
      <c r="BP599" s="2"/>
      <c r="BQ599" s="2"/>
      <c r="BR599" s="2"/>
      <c r="BS599" s="2"/>
      <c r="BT599" s="2"/>
      <c r="BU599" s="2"/>
      <c r="BV599" s="2"/>
      <c r="BW599" s="2"/>
      <c r="BX599" s="2"/>
      <c r="BY599" s="2"/>
      <c r="BZ599" s="2"/>
      <c r="CA599" s="2"/>
      <c r="CB599" s="2"/>
      <c r="CC599" s="2"/>
      <c r="CD599" s="2"/>
      <c r="CE599" s="2"/>
      <c r="CF599" s="2"/>
    </row>
    <row r="600" spans="1:84" ht="12.65" customHeight="1" x14ac:dyDescent="0.3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  <c r="AH600" s="2"/>
      <c r="AI600" s="2"/>
      <c r="AJ600" s="2"/>
      <c r="AK600" s="2"/>
      <c r="AL600" s="2"/>
      <c r="AM600" s="2"/>
      <c r="AN600" s="2"/>
      <c r="AO600" s="2"/>
      <c r="AP600" s="2"/>
      <c r="AQ600" s="2"/>
      <c r="AR600" s="2"/>
      <c r="AS600" s="2"/>
      <c r="AT600" s="2"/>
      <c r="AU600" s="2"/>
      <c r="AV600" s="2"/>
      <c r="AW600" s="2"/>
      <c r="AX600" s="2"/>
      <c r="AY600" s="2"/>
      <c r="AZ600" s="2"/>
      <c r="BA600" s="2"/>
      <c r="BB600" s="2"/>
      <c r="BC600" s="2"/>
      <c r="BD600" s="2"/>
      <c r="BE600" s="2"/>
      <c r="BF600" s="2"/>
      <c r="BG600" s="2"/>
      <c r="BH600" s="2"/>
      <c r="BI600" s="2"/>
      <c r="BJ600" s="2"/>
      <c r="BK600" s="2"/>
      <c r="BL600" s="2"/>
      <c r="BM600" s="2"/>
      <c r="BN600" s="2"/>
      <c r="BO600" s="2"/>
      <c r="BP600" s="2"/>
      <c r="BQ600" s="2"/>
      <c r="BR600" s="2"/>
      <c r="BS600" s="2"/>
      <c r="BT600" s="2"/>
      <c r="BU600" s="2"/>
      <c r="BV600" s="2"/>
      <c r="BW600" s="2"/>
      <c r="BX600" s="2"/>
      <c r="BY600" s="2"/>
      <c r="BZ600" s="2"/>
      <c r="CA600" s="2"/>
      <c r="CB600" s="2"/>
      <c r="CC600" s="2"/>
      <c r="CD600" s="2"/>
      <c r="CE600" s="2"/>
      <c r="CF600" s="2"/>
    </row>
    <row r="601" spans="1:84" ht="12.65" customHeight="1" x14ac:dyDescent="0.3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  <c r="AH601" s="2"/>
      <c r="AI601" s="2"/>
      <c r="AJ601" s="2"/>
      <c r="AK601" s="2"/>
      <c r="AL601" s="2"/>
      <c r="AM601" s="2"/>
      <c r="AN601" s="2"/>
      <c r="AO601" s="2"/>
      <c r="AP601" s="2"/>
      <c r="AQ601" s="2"/>
      <c r="AR601" s="2"/>
      <c r="AS601" s="2"/>
      <c r="AT601" s="2"/>
      <c r="AU601" s="2"/>
      <c r="AV601" s="2"/>
      <c r="AW601" s="2"/>
      <c r="AX601" s="2"/>
      <c r="AY601" s="2"/>
      <c r="AZ601" s="2"/>
      <c r="BA601" s="2"/>
      <c r="BB601" s="2"/>
      <c r="BC601" s="2"/>
      <c r="BD601" s="2"/>
      <c r="BE601" s="2"/>
      <c r="BF601" s="2"/>
      <c r="BG601" s="2"/>
      <c r="BH601" s="2"/>
      <c r="BI601" s="2"/>
      <c r="BJ601" s="2"/>
      <c r="BK601" s="2"/>
      <c r="BL601" s="2"/>
      <c r="BM601" s="2"/>
      <c r="BN601" s="2"/>
      <c r="BO601" s="2"/>
      <c r="BP601" s="2"/>
      <c r="BQ601" s="2"/>
      <c r="BR601" s="2"/>
      <c r="BS601" s="2"/>
      <c r="BT601" s="2"/>
      <c r="BU601" s="2"/>
      <c r="BV601" s="2"/>
      <c r="BW601" s="2"/>
      <c r="BX601" s="2"/>
      <c r="BY601" s="2"/>
      <c r="BZ601" s="2"/>
      <c r="CA601" s="2"/>
      <c r="CB601" s="2"/>
      <c r="CC601" s="2"/>
      <c r="CD601" s="2"/>
      <c r="CE601" s="2"/>
      <c r="CF601" s="2"/>
    </row>
    <row r="602" spans="1:84" ht="12.65" customHeight="1" x14ac:dyDescent="0.3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2"/>
      <c r="AH602" s="2"/>
      <c r="AI602" s="2"/>
      <c r="AJ602" s="2"/>
      <c r="AK602" s="2"/>
      <c r="AL602" s="2"/>
      <c r="AM602" s="2"/>
      <c r="AN602" s="2"/>
      <c r="AO602" s="2"/>
      <c r="AP602" s="2"/>
      <c r="AQ602" s="2"/>
      <c r="AR602" s="2"/>
      <c r="AS602" s="2"/>
      <c r="AT602" s="2"/>
      <c r="AU602" s="2"/>
      <c r="AV602" s="2"/>
      <c r="AW602" s="2"/>
      <c r="AX602" s="2"/>
      <c r="AY602" s="2"/>
      <c r="AZ602" s="2"/>
      <c r="BA602" s="2"/>
      <c r="BB602" s="2"/>
      <c r="BC602" s="2"/>
      <c r="BD602" s="2"/>
      <c r="BE602" s="2"/>
      <c r="BF602" s="2"/>
      <c r="BG602" s="2"/>
      <c r="BH602" s="2"/>
      <c r="BI602" s="2"/>
      <c r="BJ602" s="2"/>
      <c r="BK602" s="2"/>
      <c r="BL602" s="2"/>
      <c r="BM602" s="2"/>
      <c r="BN602" s="2"/>
      <c r="BO602" s="2"/>
      <c r="BP602" s="2"/>
      <c r="BQ602" s="2"/>
      <c r="BR602" s="2"/>
      <c r="BS602" s="2"/>
      <c r="BT602" s="2"/>
      <c r="BU602" s="2"/>
      <c r="BV602" s="2"/>
      <c r="BW602" s="2"/>
      <c r="BX602" s="2"/>
      <c r="BY602" s="2"/>
      <c r="BZ602" s="2"/>
      <c r="CA602" s="2"/>
      <c r="CB602" s="2"/>
      <c r="CC602" s="2"/>
      <c r="CD602" s="2"/>
      <c r="CE602" s="2"/>
      <c r="CF602" s="2"/>
    </row>
    <row r="603" spans="1:84" ht="12.65" customHeight="1" x14ac:dyDescent="0.3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  <c r="AG603" s="2"/>
      <c r="AH603" s="2"/>
      <c r="AI603" s="2"/>
      <c r="AJ603" s="2"/>
      <c r="AK603" s="2"/>
      <c r="AL603" s="2"/>
      <c r="AM603" s="2"/>
      <c r="AN603" s="2"/>
      <c r="AO603" s="2"/>
      <c r="AP603" s="2"/>
      <c r="AQ603" s="2"/>
      <c r="AR603" s="2"/>
      <c r="AS603" s="2"/>
      <c r="AT603" s="2"/>
      <c r="AU603" s="2"/>
      <c r="AV603" s="2"/>
      <c r="AW603" s="2"/>
      <c r="AX603" s="2"/>
      <c r="AY603" s="2"/>
      <c r="AZ603" s="2"/>
      <c r="BA603" s="2"/>
      <c r="BB603" s="2"/>
      <c r="BC603" s="2"/>
      <c r="BD603" s="2"/>
      <c r="BE603" s="2"/>
      <c r="BF603" s="2"/>
      <c r="BG603" s="2"/>
      <c r="BH603" s="2"/>
      <c r="BI603" s="2"/>
      <c r="BJ603" s="2"/>
      <c r="BK603" s="2"/>
      <c r="BL603" s="2"/>
      <c r="BM603" s="2"/>
      <c r="BN603" s="2"/>
      <c r="BO603" s="2"/>
      <c r="BP603" s="2"/>
      <c r="BQ603" s="2"/>
      <c r="BR603" s="2"/>
      <c r="BS603" s="2"/>
      <c r="BT603" s="2"/>
      <c r="BU603" s="2"/>
      <c r="BV603" s="2"/>
      <c r="BW603" s="2"/>
      <c r="BX603" s="2"/>
      <c r="BY603" s="2"/>
      <c r="BZ603" s="2"/>
      <c r="CA603" s="2"/>
      <c r="CB603" s="2"/>
      <c r="CC603" s="2"/>
      <c r="CD603" s="2"/>
      <c r="CE603" s="2"/>
      <c r="CF603" s="2"/>
    </row>
    <row r="604" spans="1:84" ht="12.65" customHeight="1" x14ac:dyDescent="0.3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  <c r="AH604" s="2"/>
      <c r="AI604" s="2"/>
      <c r="AJ604" s="2"/>
      <c r="AK604" s="2"/>
      <c r="AL604" s="2"/>
      <c r="AM604" s="2"/>
      <c r="AN604" s="2"/>
      <c r="AO604" s="2"/>
      <c r="AP604" s="2"/>
      <c r="AQ604" s="2"/>
      <c r="AR604" s="2"/>
      <c r="AS604" s="2"/>
      <c r="AT604" s="2"/>
      <c r="AU604" s="2"/>
      <c r="AV604" s="2"/>
      <c r="AW604" s="2"/>
      <c r="AX604" s="2"/>
      <c r="AY604" s="2"/>
      <c r="AZ604" s="2"/>
      <c r="BA604" s="2"/>
      <c r="BB604" s="2"/>
      <c r="BC604" s="2"/>
      <c r="BD604" s="2"/>
      <c r="BE604" s="2"/>
      <c r="BF604" s="2"/>
      <c r="BG604" s="2"/>
      <c r="BH604" s="2"/>
      <c r="BI604" s="2"/>
      <c r="BJ604" s="2"/>
      <c r="BK604" s="2"/>
      <c r="BL604" s="2"/>
      <c r="BM604" s="2"/>
      <c r="BN604" s="2"/>
      <c r="BO604" s="2"/>
      <c r="BP604" s="2"/>
      <c r="BQ604" s="2"/>
      <c r="BR604" s="2"/>
      <c r="BS604" s="2"/>
      <c r="BT604" s="2"/>
      <c r="BU604" s="2"/>
      <c r="BV604" s="2"/>
      <c r="BW604" s="2"/>
      <c r="BX604" s="2"/>
      <c r="BY604" s="2"/>
      <c r="BZ604" s="2"/>
      <c r="CA604" s="2"/>
      <c r="CB604" s="2"/>
      <c r="CC604" s="2"/>
      <c r="CD604" s="2"/>
      <c r="CE604" s="2"/>
      <c r="CF604" s="2"/>
    </row>
    <row r="605" spans="1:84" ht="12.65" customHeight="1" x14ac:dyDescent="0.3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  <c r="AH605" s="2"/>
      <c r="AI605" s="2"/>
      <c r="AJ605" s="2"/>
      <c r="AK605" s="2"/>
      <c r="AL605" s="2"/>
      <c r="AM605" s="2"/>
      <c r="AN605" s="2"/>
      <c r="AO605" s="2"/>
      <c r="AP605" s="2"/>
      <c r="AQ605" s="2"/>
      <c r="AR605" s="2"/>
      <c r="AS605" s="2"/>
      <c r="AT605" s="2"/>
      <c r="AU605" s="2"/>
      <c r="AV605" s="2"/>
      <c r="AW605" s="2"/>
      <c r="AX605" s="2"/>
      <c r="AY605" s="2"/>
      <c r="AZ605" s="2"/>
      <c r="BA605" s="2"/>
      <c r="BB605" s="2"/>
      <c r="BC605" s="2"/>
      <c r="BD605" s="2"/>
      <c r="BE605" s="2"/>
      <c r="BF605" s="2"/>
      <c r="BG605" s="2"/>
      <c r="BH605" s="2"/>
      <c r="BI605" s="2"/>
      <c r="BJ605" s="2"/>
      <c r="BK605" s="2"/>
      <c r="BL605" s="2"/>
      <c r="BM605" s="2"/>
      <c r="BN605" s="2"/>
      <c r="BO605" s="2"/>
      <c r="BP605" s="2"/>
      <c r="BQ605" s="2"/>
      <c r="BR605" s="2"/>
      <c r="BS605" s="2"/>
      <c r="BT605" s="2"/>
      <c r="BU605" s="2"/>
      <c r="BV605" s="2"/>
      <c r="BW605" s="2"/>
      <c r="BX605" s="2"/>
      <c r="BY605" s="2"/>
      <c r="BZ605" s="2"/>
      <c r="CA605" s="2"/>
      <c r="CB605" s="2"/>
      <c r="CC605" s="2"/>
      <c r="CD605" s="2"/>
      <c r="CE605" s="2"/>
      <c r="CF605" s="2"/>
    </row>
    <row r="606" spans="1:84" ht="12.65" customHeight="1" x14ac:dyDescent="0.3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  <c r="AH606" s="2"/>
      <c r="AI606" s="2"/>
      <c r="AJ606" s="2"/>
      <c r="AK606" s="2"/>
      <c r="AL606" s="2"/>
      <c r="AM606" s="2"/>
      <c r="AN606" s="2"/>
      <c r="AO606" s="2"/>
      <c r="AP606" s="2"/>
      <c r="AQ606" s="2"/>
      <c r="AR606" s="2"/>
      <c r="AS606" s="2"/>
      <c r="AT606" s="2"/>
      <c r="AU606" s="2"/>
      <c r="AV606" s="2"/>
      <c r="AW606" s="2"/>
      <c r="AX606" s="2"/>
      <c r="AY606" s="2"/>
      <c r="AZ606" s="2"/>
      <c r="BA606" s="2"/>
      <c r="BB606" s="2"/>
      <c r="BC606" s="2"/>
      <c r="BD606" s="2"/>
      <c r="BE606" s="2"/>
      <c r="BF606" s="2"/>
      <c r="BG606" s="2"/>
      <c r="BH606" s="2"/>
      <c r="BI606" s="2"/>
      <c r="BJ606" s="2"/>
      <c r="BK606" s="2"/>
      <c r="BL606" s="2"/>
      <c r="BM606" s="2"/>
      <c r="BN606" s="2"/>
      <c r="BO606" s="2"/>
      <c r="BP606" s="2"/>
      <c r="BQ606" s="2"/>
      <c r="BR606" s="2"/>
      <c r="BS606" s="2"/>
      <c r="BT606" s="2"/>
      <c r="BU606" s="2"/>
      <c r="BV606" s="2"/>
      <c r="BW606" s="2"/>
      <c r="BX606" s="2"/>
      <c r="BY606" s="2"/>
      <c r="BZ606" s="2"/>
      <c r="CA606" s="2"/>
      <c r="CB606" s="2"/>
      <c r="CC606" s="2"/>
      <c r="CD606" s="2"/>
      <c r="CE606" s="2"/>
      <c r="CF606" s="2"/>
    </row>
    <row r="607" spans="1:84" ht="12.65" customHeight="1" x14ac:dyDescent="0.3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  <c r="AH607" s="2"/>
      <c r="AI607" s="2"/>
      <c r="AJ607" s="2"/>
      <c r="AK607" s="2"/>
      <c r="AL607" s="2"/>
      <c r="AM607" s="2"/>
      <c r="AN607" s="2"/>
      <c r="AO607" s="2"/>
      <c r="AP607" s="2"/>
      <c r="AQ607" s="2"/>
      <c r="AR607" s="2"/>
      <c r="AS607" s="2"/>
      <c r="AT607" s="2"/>
      <c r="AU607" s="2"/>
      <c r="AV607" s="2"/>
      <c r="AW607" s="2"/>
      <c r="AX607" s="2"/>
      <c r="AY607" s="2"/>
      <c r="AZ607" s="2"/>
      <c r="BA607" s="2"/>
      <c r="BB607" s="2"/>
      <c r="BC607" s="2"/>
      <c r="BD607" s="2"/>
      <c r="BE607" s="2"/>
      <c r="BF607" s="2"/>
      <c r="BG607" s="2"/>
      <c r="BH607" s="2"/>
      <c r="BI607" s="2"/>
      <c r="BJ607" s="2"/>
      <c r="BK607" s="2"/>
      <c r="BL607" s="2"/>
      <c r="BM607" s="2"/>
      <c r="BN607" s="2"/>
      <c r="BO607" s="2"/>
      <c r="BP607" s="2"/>
      <c r="BQ607" s="2"/>
      <c r="BR607" s="2"/>
      <c r="BS607" s="2"/>
      <c r="BT607" s="2"/>
      <c r="BU607" s="2"/>
      <c r="BV607" s="2"/>
      <c r="BW607" s="2"/>
      <c r="BX607" s="2"/>
      <c r="BY607" s="2"/>
      <c r="BZ607" s="2"/>
      <c r="CA607" s="2"/>
      <c r="CB607" s="2"/>
      <c r="CC607" s="2"/>
      <c r="CD607" s="2"/>
      <c r="CE607" s="2"/>
      <c r="CF607" s="2"/>
    </row>
    <row r="608" spans="1:84" ht="12.65" customHeight="1" x14ac:dyDescent="0.3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  <c r="AH608" s="2"/>
      <c r="AI608" s="2"/>
      <c r="AJ608" s="2"/>
      <c r="AK608" s="2"/>
      <c r="AL608" s="2"/>
      <c r="AM608" s="2"/>
      <c r="AN608" s="2"/>
      <c r="AO608" s="2"/>
      <c r="AP608" s="2"/>
      <c r="AQ608" s="2"/>
      <c r="AR608" s="2"/>
      <c r="AS608" s="2"/>
      <c r="AT608" s="2"/>
      <c r="AU608" s="2"/>
      <c r="AV608" s="2"/>
      <c r="AW608" s="2"/>
      <c r="AX608" s="2"/>
      <c r="AY608" s="2"/>
      <c r="AZ608" s="2"/>
      <c r="BA608" s="2"/>
      <c r="BB608" s="2"/>
      <c r="BC608" s="2"/>
      <c r="BD608" s="2"/>
      <c r="BE608" s="2"/>
      <c r="BF608" s="2"/>
      <c r="BG608" s="2"/>
      <c r="BH608" s="2"/>
      <c r="BI608" s="2"/>
      <c r="BJ608" s="2"/>
      <c r="BK608" s="2"/>
      <c r="BL608" s="2"/>
      <c r="BM608" s="2"/>
      <c r="BN608" s="2"/>
      <c r="BO608" s="2"/>
      <c r="BP608" s="2"/>
      <c r="BQ608" s="2"/>
      <c r="BR608" s="2"/>
      <c r="BS608" s="2"/>
      <c r="BT608" s="2"/>
      <c r="BU608" s="2"/>
      <c r="BV608" s="2"/>
      <c r="BW608" s="2"/>
      <c r="BX608" s="2"/>
      <c r="BY608" s="2"/>
      <c r="BZ608" s="2"/>
      <c r="CA608" s="2"/>
      <c r="CB608" s="2"/>
      <c r="CC608" s="2"/>
      <c r="CD608" s="2"/>
      <c r="CE608" s="2"/>
      <c r="CF608" s="2"/>
    </row>
    <row r="609" spans="1:84" ht="12.65" customHeight="1" x14ac:dyDescent="0.3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  <c r="AH609" s="2"/>
      <c r="AI609" s="2"/>
      <c r="AJ609" s="2"/>
      <c r="AK609" s="2"/>
      <c r="AL609" s="2"/>
      <c r="AM609" s="2"/>
      <c r="AN609" s="2"/>
      <c r="AO609" s="2"/>
      <c r="AP609" s="2"/>
      <c r="AQ609" s="2"/>
      <c r="AR609" s="2"/>
      <c r="AS609" s="2"/>
      <c r="AT609" s="2"/>
      <c r="AU609" s="2"/>
      <c r="AV609" s="2"/>
      <c r="AW609" s="2"/>
      <c r="AX609" s="2"/>
      <c r="AY609" s="2"/>
      <c r="AZ609" s="2"/>
      <c r="BA609" s="2"/>
      <c r="BB609" s="2"/>
      <c r="BC609" s="2"/>
      <c r="BD609" s="2"/>
      <c r="BE609" s="2"/>
      <c r="BF609" s="2"/>
      <c r="BG609" s="2"/>
      <c r="BH609" s="2"/>
      <c r="BI609" s="2"/>
      <c r="BJ609" s="2"/>
      <c r="BK609" s="2"/>
      <c r="BL609" s="2"/>
      <c r="BM609" s="2"/>
      <c r="BN609" s="2"/>
      <c r="BO609" s="2"/>
      <c r="BP609" s="2"/>
      <c r="BQ609" s="2"/>
      <c r="BR609" s="2"/>
      <c r="BS609" s="2"/>
      <c r="BT609" s="2"/>
      <c r="BU609" s="2"/>
      <c r="BV609" s="2"/>
      <c r="BW609" s="2"/>
      <c r="BX609" s="2"/>
      <c r="BY609" s="2"/>
      <c r="BZ609" s="2"/>
      <c r="CA609" s="2"/>
      <c r="CB609" s="2"/>
      <c r="CC609" s="2"/>
      <c r="CD609" s="2"/>
      <c r="CE609" s="2"/>
      <c r="CF609" s="2"/>
    </row>
    <row r="610" spans="1:84" ht="12.65" customHeight="1" x14ac:dyDescent="0.3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  <c r="AH610" s="2"/>
      <c r="AI610" s="2"/>
      <c r="AJ610" s="2"/>
      <c r="AK610" s="2"/>
      <c r="AL610" s="2"/>
      <c r="AM610" s="2"/>
      <c r="AN610" s="2"/>
      <c r="AO610" s="2"/>
      <c r="AP610" s="2"/>
      <c r="AQ610" s="2"/>
      <c r="AR610" s="2"/>
      <c r="AS610" s="2"/>
      <c r="AT610" s="2"/>
      <c r="AU610" s="2"/>
      <c r="AV610" s="2"/>
      <c r="AW610" s="2"/>
      <c r="AX610" s="2"/>
      <c r="AY610" s="2"/>
      <c r="AZ610" s="2"/>
      <c r="BA610" s="2"/>
      <c r="BB610" s="2"/>
      <c r="BC610" s="2"/>
      <c r="BD610" s="2"/>
      <c r="BE610" s="2"/>
      <c r="BF610" s="2"/>
      <c r="BG610" s="2"/>
      <c r="BH610" s="2"/>
      <c r="BI610" s="2"/>
      <c r="BJ610" s="2"/>
      <c r="BK610" s="2"/>
      <c r="BL610" s="2"/>
      <c r="BM610" s="2"/>
      <c r="BN610" s="2"/>
      <c r="BO610" s="2"/>
      <c r="BP610" s="2"/>
      <c r="BQ610" s="2"/>
      <c r="BR610" s="2"/>
      <c r="BS610" s="2"/>
      <c r="BT610" s="2"/>
      <c r="BU610" s="2"/>
      <c r="BV610" s="2"/>
      <c r="BW610" s="2"/>
      <c r="BX610" s="2"/>
      <c r="BY610" s="2"/>
      <c r="BZ610" s="2"/>
      <c r="CA610" s="2"/>
      <c r="CB610" s="2"/>
      <c r="CC610" s="2"/>
      <c r="CD610" s="2"/>
      <c r="CE610" s="2"/>
      <c r="CF610" s="2"/>
    </row>
    <row r="611" spans="1:84" ht="12.65" customHeight="1" x14ac:dyDescent="0.3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  <c r="AH611" s="2"/>
      <c r="AI611" s="2"/>
      <c r="AJ611" s="2"/>
      <c r="AK611" s="2"/>
      <c r="AL611" s="2"/>
      <c r="AM611" s="2"/>
      <c r="AN611" s="2"/>
      <c r="AO611" s="2"/>
      <c r="AP611" s="2"/>
      <c r="AQ611" s="2"/>
      <c r="AR611" s="2"/>
      <c r="AS611" s="2"/>
      <c r="AT611" s="2"/>
      <c r="AU611" s="2"/>
      <c r="AV611" s="2"/>
      <c r="AW611" s="2"/>
      <c r="AX611" s="2"/>
      <c r="AY611" s="2"/>
      <c r="AZ611" s="2"/>
      <c r="BA611" s="2"/>
      <c r="BB611" s="2"/>
      <c r="BC611" s="2"/>
      <c r="BD611" s="2"/>
      <c r="BE611" s="2"/>
      <c r="BF611" s="2"/>
      <c r="BG611" s="2"/>
      <c r="BH611" s="2"/>
      <c r="BI611" s="2"/>
      <c r="BJ611" s="2"/>
      <c r="BK611" s="2"/>
      <c r="BL611" s="2"/>
      <c r="BM611" s="2"/>
      <c r="BN611" s="2"/>
      <c r="BO611" s="2"/>
      <c r="BP611" s="2"/>
      <c r="BQ611" s="2"/>
      <c r="BR611" s="2"/>
      <c r="BS611" s="2"/>
      <c r="BT611" s="2"/>
      <c r="BU611" s="2"/>
      <c r="BV611" s="2"/>
      <c r="BW611" s="2"/>
      <c r="BX611" s="2"/>
      <c r="BY611" s="2"/>
      <c r="BZ611" s="2"/>
      <c r="CA611" s="2"/>
      <c r="CB611" s="2"/>
      <c r="CC611" s="2"/>
      <c r="CD611" s="2"/>
      <c r="CE611" s="2"/>
      <c r="CF611" s="2"/>
    </row>
    <row r="612" spans="1:84" ht="12.65" customHeight="1" x14ac:dyDescent="0.35">
      <c r="A612" s="338"/>
      <c r="B612" s="2"/>
      <c r="C612" s="329" t="s">
        <v>589</v>
      </c>
      <c r="D612" s="2">
        <f>CE76-(BE76+CD76)</f>
        <v>926109</v>
      </c>
      <c r="E612" s="2">
        <f>SUM(C624:D647)+SUM(C668:D713)</f>
        <v>666211958.41495323</v>
      </c>
      <c r="F612" s="2">
        <f>CE64-(AX64+BD64+BE64+BG64+BJ64+BN64+BP64+BQ64+CB64+CC64+CD64)</f>
        <v>104473566.09000002</v>
      </c>
      <c r="G612" s="2">
        <f>CE77-(AX77+AY77+BD77+BE77+BG77+BJ77+BN77+BP77+BQ77+CB77+CC77+CD77)</f>
        <v>198262</v>
      </c>
      <c r="H612" s="328">
        <f>CE60-(AX60+AY60+AZ60+BD60+BE60+BG60+BJ60+BN60+BO60+BP60+BQ60+BR60+CB60+CC60+CD60)</f>
        <v>3411.640043103449</v>
      </c>
      <c r="I612" s="2">
        <f>CE78-(AX78+AY78+AZ78+BD78+BE78+BF78+BG78+BJ78+BN78+BO78+BP78+BQ78+BR78+CB78+CC78+CD78)</f>
        <v>104947</v>
      </c>
      <c r="J612" s="2">
        <f>CE79-(AX79+AY79+AZ79+BA79+BD79+BE79+BF79+BG79+BJ79+BN79+BO79+BP79+BQ79+BR79+CB79+CC79+CD79)</f>
        <v>2375724.7999999998</v>
      </c>
      <c r="K612" s="2">
        <f>CE75-(AW75+AX75+AY75+AZ75+BA75+BB75+BC75+BD75+BE75+BF75+BG75+BH75+BI75+BJ75+BK75+BL75+BM75+BN75+BO75+BP75+BQ75+BR75+BS75+BT75+BU75+BV75+BW75+BX75+CB75+CC75+CD75)</f>
        <v>1904525415.6900003</v>
      </c>
      <c r="L612" s="328">
        <f>CE80-(AW80+AX80+AY80+AZ80+BA80+BB80+BC80+BD80+BE80+BF80+BG80+BH80+BI80+BJ80+BK80+BL80+BM80+BN80+BO80+BP80+BQ80+BR80+BS80+BT80+BU80+BV80+BW80+BX80+BY80+BZ80+CA80+CB80+CC80+CD80)</f>
        <v>939.05448659003832</v>
      </c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2"/>
      <c r="AH612" s="2"/>
      <c r="AI612" s="2"/>
      <c r="AJ612" s="2"/>
      <c r="AK612" s="2"/>
      <c r="AL612" s="2"/>
      <c r="AM612" s="2"/>
      <c r="AN612" s="2"/>
      <c r="AO612" s="2"/>
      <c r="AP612" s="2"/>
      <c r="AQ612" s="2"/>
      <c r="AR612" s="2"/>
      <c r="AS612" s="2"/>
      <c r="AT612" s="2"/>
      <c r="AU612" s="2"/>
      <c r="AV612" s="2"/>
      <c r="AW612" s="2"/>
      <c r="AX612" s="2"/>
      <c r="AY612" s="2"/>
      <c r="AZ612" s="2"/>
      <c r="BA612" s="2"/>
      <c r="BB612" s="2"/>
      <c r="BC612" s="2"/>
      <c r="BD612" s="2"/>
      <c r="BE612" s="2"/>
      <c r="BF612" s="2"/>
      <c r="BG612" s="2"/>
      <c r="BH612" s="2"/>
      <c r="BI612" s="2"/>
      <c r="BJ612" s="2"/>
      <c r="BK612" s="2"/>
      <c r="BL612" s="2"/>
      <c r="BM612" s="2"/>
      <c r="BN612" s="2"/>
      <c r="BO612" s="2"/>
      <c r="BP612" s="2"/>
      <c r="BQ612" s="2"/>
      <c r="BR612" s="2"/>
      <c r="BS612" s="2"/>
      <c r="BT612" s="2"/>
      <c r="BU612" s="2"/>
      <c r="BV612" s="2"/>
      <c r="BW612" s="2"/>
      <c r="BX612" s="2"/>
      <c r="BY612" s="2"/>
      <c r="BZ612" s="2"/>
      <c r="CA612" s="2"/>
      <c r="CB612" s="2"/>
      <c r="CC612" s="2"/>
      <c r="CD612" s="2"/>
      <c r="CE612" s="2"/>
      <c r="CF612" s="2"/>
    </row>
    <row r="613" spans="1:84" ht="12.65" customHeight="1" x14ac:dyDescent="0.35">
      <c r="A613" s="338"/>
      <c r="B613" s="2"/>
      <c r="C613" s="329" t="s">
        <v>590</v>
      </c>
      <c r="D613" s="329" t="s">
        <v>591</v>
      </c>
      <c r="E613" s="332" t="s">
        <v>592</v>
      </c>
      <c r="F613" s="329" t="s">
        <v>593</v>
      </c>
      <c r="G613" s="329" t="s">
        <v>594</v>
      </c>
      <c r="H613" s="329" t="s">
        <v>595</v>
      </c>
      <c r="I613" s="329" t="s">
        <v>596</v>
      </c>
      <c r="J613" s="329" t="s">
        <v>597</v>
      </c>
      <c r="K613" s="329" t="s">
        <v>598</v>
      </c>
      <c r="L613" s="332" t="s">
        <v>599</v>
      </c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  <c r="AH613" s="2"/>
      <c r="AI613" s="2"/>
      <c r="AJ613" s="2"/>
      <c r="AK613" s="2"/>
      <c r="AL613" s="2"/>
      <c r="AM613" s="2"/>
      <c r="AN613" s="2"/>
      <c r="AO613" s="2"/>
      <c r="AP613" s="2"/>
      <c r="AQ613" s="2"/>
      <c r="AR613" s="2"/>
      <c r="AS613" s="2"/>
      <c r="AT613" s="2"/>
      <c r="AU613" s="2"/>
      <c r="AV613" s="2"/>
      <c r="AW613" s="2"/>
      <c r="AX613" s="2"/>
      <c r="AY613" s="2"/>
      <c r="AZ613" s="2"/>
      <c r="BA613" s="2"/>
      <c r="BB613" s="2"/>
      <c r="BC613" s="2"/>
      <c r="BD613" s="2"/>
      <c r="BE613" s="2"/>
      <c r="BF613" s="2"/>
      <c r="BG613" s="2"/>
      <c r="BH613" s="2"/>
      <c r="BI613" s="2"/>
      <c r="BJ613" s="2"/>
      <c r="BK613" s="2"/>
      <c r="BL613" s="2"/>
      <c r="BM613" s="2"/>
      <c r="BN613" s="2"/>
      <c r="BO613" s="2"/>
      <c r="BP613" s="2"/>
      <c r="BQ613" s="2"/>
      <c r="BR613" s="2"/>
      <c r="BS613" s="2"/>
      <c r="BT613" s="2"/>
      <c r="BU613" s="2"/>
      <c r="BV613" s="2"/>
      <c r="BW613" s="2"/>
      <c r="BX613" s="2"/>
      <c r="BY613" s="2"/>
      <c r="BZ613" s="2"/>
      <c r="CA613" s="2"/>
      <c r="CB613" s="2"/>
      <c r="CC613" s="2"/>
      <c r="CD613" s="2"/>
      <c r="CE613" s="2"/>
      <c r="CF613" s="2"/>
    </row>
    <row r="614" spans="1:84" ht="12.65" customHeight="1" x14ac:dyDescent="0.35">
      <c r="A614" s="338">
        <v>8430</v>
      </c>
      <c r="B614" s="332" t="s">
        <v>140</v>
      </c>
      <c r="C614" s="2">
        <f>BE71</f>
        <v>14451946.390000001</v>
      </c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323" t="s">
        <v>600</v>
      </c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  <c r="AH614" s="2"/>
      <c r="AI614" s="2"/>
      <c r="AJ614" s="2"/>
      <c r="AK614" s="2"/>
      <c r="AL614" s="2"/>
      <c r="AM614" s="2"/>
      <c r="AN614" s="2"/>
      <c r="AO614" s="2"/>
      <c r="AP614" s="2"/>
      <c r="AQ614" s="2"/>
      <c r="AR614" s="2"/>
      <c r="AS614" s="2"/>
      <c r="AT614" s="2"/>
      <c r="AU614" s="2"/>
      <c r="AV614" s="2"/>
      <c r="AW614" s="2"/>
      <c r="AX614" s="2"/>
      <c r="AY614" s="2"/>
      <c r="AZ614" s="2"/>
      <c r="BA614" s="2"/>
      <c r="BB614" s="2"/>
      <c r="BC614" s="2"/>
      <c r="BD614" s="2"/>
      <c r="BE614" s="2"/>
      <c r="BF614" s="2"/>
      <c r="BG614" s="2"/>
      <c r="BH614" s="2"/>
      <c r="BI614" s="2"/>
      <c r="BJ614" s="2"/>
      <c r="BK614" s="2"/>
      <c r="BL614" s="2"/>
      <c r="BM614" s="2"/>
      <c r="BN614" s="2"/>
      <c r="BO614" s="2"/>
      <c r="BP614" s="2"/>
      <c r="BQ614" s="2"/>
      <c r="BR614" s="2"/>
      <c r="BS614" s="2"/>
      <c r="BT614" s="2"/>
      <c r="BU614" s="2"/>
      <c r="BV614" s="2"/>
      <c r="BW614" s="2"/>
      <c r="BX614" s="2"/>
      <c r="BY614" s="2"/>
      <c r="BZ614" s="2"/>
      <c r="CA614" s="2"/>
      <c r="CB614" s="2"/>
      <c r="CC614" s="2"/>
      <c r="CD614" s="2"/>
      <c r="CE614" s="2"/>
      <c r="CF614" s="2"/>
    </row>
    <row r="615" spans="1:84" ht="12.65" customHeight="1" x14ac:dyDescent="0.35">
      <c r="A615" s="338"/>
      <c r="B615" s="332" t="s">
        <v>601</v>
      </c>
      <c r="C615" s="339">
        <f>CD69-CD70</f>
        <v>7565236.3699999992</v>
      </c>
      <c r="D615" s="340">
        <f>SUM(C614:C615)</f>
        <v>22017182.759999998</v>
      </c>
      <c r="E615" s="2"/>
      <c r="F615" s="2"/>
      <c r="G615" s="2"/>
      <c r="H615" s="2"/>
      <c r="I615" s="2"/>
      <c r="J615" s="2"/>
      <c r="K615" s="2"/>
      <c r="L615" s="2"/>
      <c r="M615" s="2"/>
      <c r="N615" s="323" t="s">
        <v>602</v>
      </c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  <c r="AH615" s="2"/>
      <c r="AI615" s="2"/>
      <c r="AJ615" s="2"/>
      <c r="AK615" s="2"/>
      <c r="AL615" s="2"/>
      <c r="AM615" s="2"/>
      <c r="AN615" s="2"/>
      <c r="AO615" s="2"/>
      <c r="AP615" s="2"/>
      <c r="AQ615" s="2"/>
      <c r="AR615" s="2"/>
      <c r="AS615" s="2"/>
      <c r="AT615" s="2"/>
      <c r="AU615" s="2"/>
      <c r="AV615" s="2"/>
      <c r="AW615" s="2"/>
      <c r="AX615" s="2"/>
      <c r="AY615" s="2"/>
      <c r="AZ615" s="2"/>
      <c r="BA615" s="2"/>
      <c r="BB615" s="2"/>
      <c r="BC615" s="2"/>
      <c r="BD615" s="2"/>
      <c r="BE615" s="2"/>
      <c r="BF615" s="2"/>
      <c r="BG615" s="2"/>
      <c r="BH615" s="2"/>
      <c r="BI615" s="2"/>
      <c r="BJ615" s="2"/>
      <c r="BK615" s="2"/>
      <c r="BL615" s="2"/>
      <c r="BM615" s="2"/>
      <c r="BN615" s="2"/>
      <c r="BO615" s="2"/>
      <c r="BP615" s="2"/>
      <c r="BQ615" s="2"/>
      <c r="BR615" s="2"/>
      <c r="BS615" s="2"/>
      <c r="BT615" s="2"/>
      <c r="BU615" s="2"/>
      <c r="BV615" s="2"/>
      <c r="BW615" s="2"/>
      <c r="BX615" s="2"/>
      <c r="BY615" s="2"/>
      <c r="BZ615" s="2"/>
      <c r="CA615" s="2"/>
      <c r="CB615" s="2"/>
      <c r="CC615" s="2"/>
      <c r="CD615" s="2"/>
      <c r="CE615" s="2"/>
      <c r="CF615" s="2"/>
    </row>
    <row r="616" spans="1:84" ht="12.65" customHeight="1" x14ac:dyDescent="0.35">
      <c r="A616" s="338">
        <v>8310</v>
      </c>
      <c r="B616" s="341" t="s">
        <v>603</v>
      </c>
      <c r="C616" s="2">
        <f>AX71</f>
        <v>5028771.9899999993</v>
      </c>
      <c r="D616" s="2">
        <f>(D615/D612)*AX76</f>
        <v>0</v>
      </c>
      <c r="E616" s="2"/>
      <c r="F616" s="2"/>
      <c r="G616" s="2"/>
      <c r="H616" s="2"/>
      <c r="I616" s="2"/>
      <c r="J616" s="2"/>
      <c r="K616" s="2"/>
      <c r="L616" s="2"/>
      <c r="M616" s="2"/>
      <c r="N616" s="323" t="s">
        <v>604</v>
      </c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  <c r="AH616" s="2"/>
      <c r="AI616" s="2"/>
      <c r="AJ616" s="2"/>
      <c r="AK616" s="2"/>
      <c r="AL616" s="2"/>
      <c r="AM616" s="2"/>
      <c r="AN616" s="2"/>
      <c r="AO616" s="2"/>
      <c r="AP616" s="2"/>
      <c r="AQ616" s="2"/>
      <c r="AR616" s="2"/>
      <c r="AS616" s="2"/>
      <c r="AT616" s="2"/>
      <c r="AU616" s="2"/>
      <c r="AV616" s="2"/>
      <c r="AW616" s="2"/>
      <c r="AX616" s="2"/>
      <c r="AY616" s="2"/>
      <c r="AZ616" s="2"/>
      <c r="BA616" s="2"/>
      <c r="BB616" s="2"/>
      <c r="BC616" s="2"/>
      <c r="BD616" s="2"/>
      <c r="BE616" s="2"/>
      <c r="BF616" s="2"/>
      <c r="BG616" s="2"/>
      <c r="BH616" s="2"/>
      <c r="BI616" s="2"/>
      <c r="BJ616" s="2"/>
      <c r="BK616" s="2"/>
      <c r="BL616" s="2"/>
      <c r="BM616" s="2"/>
      <c r="BN616" s="2"/>
      <c r="BO616" s="2"/>
      <c r="BP616" s="2"/>
      <c r="BQ616" s="2"/>
      <c r="BR616" s="2"/>
      <c r="BS616" s="2"/>
      <c r="BT616" s="2"/>
      <c r="BU616" s="2"/>
      <c r="BV616" s="2"/>
      <c r="BW616" s="2"/>
      <c r="BX616" s="2"/>
      <c r="BY616" s="2"/>
      <c r="BZ616" s="2"/>
      <c r="CA616" s="2"/>
      <c r="CB616" s="2"/>
      <c r="CC616" s="2"/>
      <c r="CD616" s="2"/>
      <c r="CE616" s="2"/>
      <c r="CF616" s="2"/>
    </row>
    <row r="617" spans="1:84" ht="12.65" customHeight="1" x14ac:dyDescent="0.35">
      <c r="A617" s="338">
        <v>8510</v>
      </c>
      <c r="B617" s="341" t="s">
        <v>145</v>
      </c>
      <c r="C617" s="2">
        <f>BJ71</f>
        <v>1859104.5599999998</v>
      </c>
      <c r="D617" s="2">
        <f>(D615/D612)*BJ76</f>
        <v>108289.91778699915</v>
      </c>
      <c r="E617" s="2"/>
      <c r="F617" s="2"/>
      <c r="G617" s="2"/>
      <c r="H617" s="2"/>
      <c r="I617" s="2"/>
      <c r="J617" s="2"/>
      <c r="K617" s="2"/>
      <c r="L617" s="2"/>
      <c r="M617" s="2"/>
      <c r="N617" s="323" t="s">
        <v>605</v>
      </c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  <c r="AH617" s="2"/>
      <c r="AI617" s="2"/>
      <c r="AJ617" s="2"/>
      <c r="AK617" s="2"/>
      <c r="AL617" s="2"/>
      <c r="AM617" s="2"/>
      <c r="AN617" s="2"/>
      <c r="AO617" s="2"/>
      <c r="AP617" s="2"/>
      <c r="AQ617" s="2"/>
      <c r="AR617" s="2"/>
      <c r="AS617" s="2"/>
      <c r="AT617" s="2"/>
      <c r="AU617" s="2"/>
      <c r="AV617" s="2"/>
      <c r="AW617" s="2"/>
      <c r="AX617" s="2"/>
      <c r="AY617" s="2"/>
      <c r="AZ617" s="2"/>
      <c r="BA617" s="2"/>
      <c r="BB617" s="2"/>
      <c r="BC617" s="2"/>
      <c r="BD617" s="2"/>
      <c r="BE617" s="2"/>
      <c r="BF617" s="2"/>
      <c r="BG617" s="2"/>
      <c r="BH617" s="2"/>
      <c r="BI617" s="2"/>
      <c r="BJ617" s="2"/>
      <c r="BK617" s="2"/>
      <c r="BL617" s="2"/>
      <c r="BM617" s="2"/>
      <c r="BN617" s="2"/>
      <c r="BO617" s="2"/>
      <c r="BP617" s="2"/>
      <c r="BQ617" s="2"/>
      <c r="BR617" s="2"/>
      <c r="BS617" s="2"/>
      <c r="BT617" s="2"/>
      <c r="BU617" s="2"/>
      <c r="BV617" s="2"/>
      <c r="BW617" s="2"/>
      <c r="BX617" s="2"/>
      <c r="BY617" s="2"/>
      <c r="BZ617" s="2"/>
      <c r="CA617" s="2"/>
      <c r="CB617" s="2"/>
      <c r="CC617" s="2"/>
      <c r="CD617" s="2"/>
      <c r="CE617" s="2"/>
      <c r="CF617" s="2"/>
    </row>
    <row r="618" spans="1:84" ht="12.65" customHeight="1" x14ac:dyDescent="0.35">
      <c r="A618" s="338">
        <v>8470</v>
      </c>
      <c r="B618" s="341" t="s">
        <v>606</v>
      </c>
      <c r="C618" s="2">
        <f>BG71</f>
        <v>2620613.54</v>
      </c>
      <c r="D618" s="2">
        <f>(D615/D612)*BG76</f>
        <v>120699.87104381881</v>
      </c>
      <c r="E618" s="2"/>
      <c r="F618" s="2"/>
      <c r="G618" s="2"/>
      <c r="H618" s="2"/>
      <c r="I618" s="2"/>
      <c r="J618" s="2"/>
      <c r="K618" s="2"/>
      <c r="L618" s="2"/>
      <c r="M618" s="2"/>
      <c r="N618" s="323" t="s">
        <v>607</v>
      </c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  <c r="AH618" s="2"/>
      <c r="AI618" s="2"/>
      <c r="AJ618" s="2"/>
      <c r="AK618" s="2"/>
      <c r="AL618" s="2"/>
      <c r="AM618" s="2"/>
      <c r="AN618" s="2"/>
      <c r="AO618" s="2"/>
      <c r="AP618" s="2"/>
      <c r="AQ618" s="2"/>
      <c r="AR618" s="2"/>
      <c r="AS618" s="2"/>
      <c r="AT618" s="2"/>
      <c r="AU618" s="2"/>
      <c r="AV618" s="2"/>
      <c r="AW618" s="2"/>
      <c r="AX618" s="2"/>
      <c r="AY618" s="2"/>
      <c r="AZ618" s="2"/>
      <c r="BA618" s="2"/>
      <c r="BB618" s="2"/>
      <c r="BC618" s="2"/>
      <c r="BD618" s="2"/>
      <c r="BE618" s="2"/>
      <c r="BF618" s="2"/>
      <c r="BG618" s="2"/>
      <c r="BH618" s="2"/>
      <c r="BI618" s="2"/>
      <c r="BJ618" s="2"/>
      <c r="BK618" s="2"/>
      <c r="BL618" s="2"/>
      <c r="BM618" s="2"/>
      <c r="BN618" s="2"/>
      <c r="BO618" s="2"/>
      <c r="BP618" s="2"/>
      <c r="BQ618" s="2"/>
      <c r="BR618" s="2"/>
      <c r="BS618" s="2"/>
      <c r="BT618" s="2"/>
      <c r="BU618" s="2"/>
      <c r="BV618" s="2"/>
      <c r="BW618" s="2"/>
      <c r="BX618" s="2"/>
      <c r="BY618" s="2"/>
      <c r="BZ618" s="2"/>
      <c r="CA618" s="2"/>
      <c r="CB618" s="2"/>
      <c r="CC618" s="2"/>
      <c r="CD618" s="2"/>
      <c r="CE618" s="2"/>
      <c r="CF618" s="2"/>
    </row>
    <row r="619" spans="1:84" ht="12.65" customHeight="1" x14ac:dyDescent="0.35">
      <c r="A619" s="338">
        <v>8610</v>
      </c>
      <c r="B619" s="341" t="s">
        <v>608</v>
      </c>
      <c r="C619" s="2">
        <f>BN71</f>
        <v>10645467.970000001</v>
      </c>
      <c r="D619" s="2">
        <f>(D615/D612)*BN76</f>
        <v>338967.6504515991</v>
      </c>
      <c r="E619" s="2"/>
      <c r="F619" s="2"/>
      <c r="G619" s="2"/>
      <c r="H619" s="2"/>
      <c r="I619" s="2"/>
      <c r="J619" s="2"/>
      <c r="K619" s="2"/>
      <c r="L619" s="2"/>
      <c r="M619" s="2"/>
      <c r="N619" s="323" t="s">
        <v>609</v>
      </c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  <c r="AH619" s="2"/>
      <c r="AI619" s="2"/>
      <c r="AJ619" s="2"/>
      <c r="AK619" s="2"/>
      <c r="AL619" s="2"/>
      <c r="AM619" s="2"/>
      <c r="AN619" s="2"/>
      <c r="AO619" s="2"/>
      <c r="AP619" s="2"/>
      <c r="AQ619" s="2"/>
      <c r="AR619" s="2"/>
      <c r="AS619" s="2"/>
      <c r="AT619" s="2"/>
      <c r="AU619" s="2"/>
      <c r="AV619" s="2"/>
      <c r="AW619" s="2"/>
      <c r="AX619" s="2"/>
      <c r="AY619" s="2"/>
      <c r="AZ619" s="2"/>
      <c r="BA619" s="2"/>
      <c r="BB619" s="2"/>
      <c r="BC619" s="2"/>
      <c r="BD619" s="2"/>
      <c r="BE619" s="2"/>
      <c r="BF619" s="2"/>
      <c r="BG619" s="2"/>
      <c r="BH619" s="2"/>
      <c r="BI619" s="2"/>
      <c r="BJ619" s="2"/>
      <c r="BK619" s="2"/>
      <c r="BL619" s="2"/>
      <c r="BM619" s="2"/>
      <c r="BN619" s="2"/>
      <c r="BO619" s="2"/>
      <c r="BP619" s="2"/>
      <c r="BQ619" s="2"/>
      <c r="BR619" s="2"/>
      <c r="BS619" s="2"/>
      <c r="BT619" s="2"/>
      <c r="BU619" s="2"/>
      <c r="BV619" s="2"/>
      <c r="BW619" s="2"/>
      <c r="BX619" s="2"/>
      <c r="BY619" s="2"/>
      <c r="BZ619" s="2"/>
      <c r="CA619" s="2"/>
      <c r="CB619" s="2"/>
      <c r="CC619" s="2"/>
      <c r="CD619" s="2"/>
      <c r="CE619" s="2"/>
      <c r="CF619" s="2"/>
    </row>
    <row r="620" spans="1:84" ht="12.65" customHeight="1" x14ac:dyDescent="0.35">
      <c r="A620" s="338">
        <v>8790</v>
      </c>
      <c r="B620" s="341" t="s">
        <v>610</v>
      </c>
      <c r="C620" s="2">
        <f>CC71</f>
        <v>7198573.2300000004</v>
      </c>
      <c r="D620" s="2">
        <f>(D615/D612)*CC76</f>
        <v>187242.89626573113</v>
      </c>
      <c r="E620" s="2"/>
      <c r="F620" s="2"/>
      <c r="G620" s="2"/>
      <c r="H620" s="2"/>
      <c r="I620" s="2"/>
      <c r="J620" s="2"/>
      <c r="K620" s="2"/>
      <c r="L620" s="2"/>
      <c r="M620" s="2"/>
      <c r="N620" s="323" t="s">
        <v>611</v>
      </c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  <c r="AH620" s="2"/>
      <c r="AI620" s="2"/>
      <c r="AJ620" s="2"/>
      <c r="AK620" s="2"/>
      <c r="AL620" s="2"/>
      <c r="AM620" s="2"/>
      <c r="AN620" s="2"/>
      <c r="AO620" s="2"/>
      <c r="AP620" s="2"/>
      <c r="AQ620" s="2"/>
      <c r="AR620" s="2"/>
      <c r="AS620" s="2"/>
      <c r="AT620" s="2"/>
      <c r="AU620" s="2"/>
      <c r="AV620" s="2"/>
      <c r="AW620" s="2"/>
      <c r="AX620" s="2"/>
      <c r="AY620" s="2"/>
      <c r="AZ620" s="2"/>
      <c r="BA620" s="2"/>
      <c r="BB620" s="2"/>
      <c r="BC620" s="2"/>
      <c r="BD620" s="2"/>
      <c r="BE620" s="2"/>
      <c r="BF620" s="2"/>
      <c r="BG620" s="2"/>
      <c r="BH620" s="2"/>
      <c r="BI620" s="2"/>
      <c r="BJ620" s="2"/>
      <c r="BK620" s="2"/>
      <c r="BL620" s="2"/>
      <c r="BM620" s="2"/>
      <c r="BN620" s="2"/>
      <c r="BO620" s="2"/>
      <c r="BP620" s="2"/>
      <c r="BQ620" s="2"/>
      <c r="BR620" s="2"/>
      <c r="BS620" s="2"/>
      <c r="BT620" s="2"/>
      <c r="BU620" s="2"/>
      <c r="BV620" s="2"/>
      <c r="BW620" s="2"/>
      <c r="BX620" s="2"/>
      <c r="BY620" s="2"/>
      <c r="BZ620" s="2"/>
      <c r="CA620" s="2"/>
      <c r="CB620" s="2"/>
      <c r="CC620" s="2"/>
      <c r="CD620" s="2"/>
      <c r="CE620" s="2"/>
      <c r="CF620" s="2"/>
    </row>
    <row r="621" spans="1:84" ht="12.65" customHeight="1" x14ac:dyDescent="0.35">
      <c r="A621" s="338">
        <v>8630</v>
      </c>
      <c r="B621" s="341" t="s">
        <v>612</v>
      </c>
      <c r="C621" s="2">
        <f>BP71</f>
        <v>5845316.419999999</v>
      </c>
      <c r="D621" s="2">
        <f>(D615/D612)*BP76</f>
        <v>45027.684805395475</v>
      </c>
      <c r="E621" s="2"/>
      <c r="F621" s="2"/>
      <c r="G621" s="2"/>
      <c r="H621" s="2"/>
      <c r="I621" s="2"/>
      <c r="J621" s="2"/>
      <c r="K621" s="2"/>
      <c r="L621" s="2"/>
      <c r="M621" s="2"/>
      <c r="N621" s="323" t="s">
        <v>613</v>
      </c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  <c r="AH621" s="2"/>
      <c r="AI621" s="2"/>
      <c r="AJ621" s="2"/>
      <c r="AK621" s="2"/>
      <c r="AL621" s="2"/>
      <c r="AM621" s="2"/>
      <c r="AN621" s="2"/>
      <c r="AO621" s="2"/>
      <c r="AP621" s="2"/>
      <c r="AQ621" s="2"/>
      <c r="AR621" s="2"/>
      <c r="AS621" s="2"/>
      <c r="AT621" s="2"/>
      <c r="AU621" s="2"/>
      <c r="AV621" s="2"/>
      <c r="AW621" s="2"/>
      <c r="AX621" s="2"/>
      <c r="AY621" s="2"/>
      <c r="AZ621" s="2"/>
      <c r="BA621" s="2"/>
      <c r="BB621" s="2"/>
      <c r="BC621" s="2"/>
      <c r="BD621" s="2"/>
      <c r="BE621" s="2"/>
      <c r="BF621" s="2"/>
      <c r="BG621" s="2"/>
      <c r="BH621" s="2"/>
      <c r="BI621" s="2"/>
      <c r="BJ621" s="2"/>
      <c r="BK621" s="2"/>
      <c r="BL621" s="2"/>
      <c r="BM621" s="2"/>
      <c r="BN621" s="2"/>
      <c r="BO621" s="2"/>
      <c r="BP621" s="2"/>
      <c r="BQ621" s="2"/>
      <c r="BR621" s="2"/>
      <c r="BS621" s="2"/>
      <c r="BT621" s="2"/>
      <c r="BU621" s="2"/>
      <c r="BV621" s="2"/>
      <c r="BW621" s="2"/>
      <c r="BX621" s="2"/>
      <c r="BY621" s="2"/>
      <c r="BZ621" s="2"/>
      <c r="CA621" s="2"/>
      <c r="CB621" s="2"/>
      <c r="CC621" s="2"/>
      <c r="CD621" s="2"/>
      <c r="CE621" s="2"/>
      <c r="CF621" s="2"/>
    </row>
    <row r="622" spans="1:84" ht="12.65" customHeight="1" x14ac:dyDescent="0.35">
      <c r="A622" s="338">
        <v>8770</v>
      </c>
      <c r="B622" s="332" t="s">
        <v>614</v>
      </c>
      <c r="C622" s="2">
        <f>CB71</f>
        <v>5850458.8099999996</v>
      </c>
      <c r="D622" s="2">
        <f>(D615/D612)*CB76</f>
        <v>95832.41681655182</v>
      </c>
      <c r="E622" s="2"/>
      <c r="F622" s="2"/>
      <c r="G622" s="2"/>
      <c r="H622" s="2"/>
      <c r="I622" s="2"/>
      <c r="J622" s="2"/>
      <c r="K622" s="2"/>
      <c r="L622" s="2"/>
      <c r="M622" s="2"/>
      <c r="N622" s="323" t="s">
        <v>615</v>
      </c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  <c r="AH622" s="2"/>
      <c r="AI622" s="2"/>
      <c r="AJ622" s="2"/>
      <c r="AK622" s="2"/>
      <c r="AL622" s="2"/>
      <c r="AM622" s="2"/>
      <c r="AN622" s="2"/>
      <c r="AO622" s="2"/>
      <c r="AP622" s="2"/>
      <c r="AQ622" s="2"/>
      <c r="AR622" s="2"/>
      <c r="AS622" s="2"/>
      <c r="AT622" s="2"/>
      <c r="AU622" s="2"/>
      <c r="AV622" s="2"/>
      <c r="AW622" s="2"/>
      <c r="AX622" s="2"/>
      <c r="AY622" s="2"/>
      <c r="AZ622" s="2"/>
      <c r="BA622" s="2"/>
      <c r="BB622" s="2"/>
      <c r="BC622" s="2"/>
      <c r="BD622" s="2"/>
      <c r="BE622" s="2"/>
      <c r="BF622" s="2"/>
      <c r="BG622" s="2"/>
      <c r="BH622" s="2"/>
      <c r="BI622" s="2"/>
      <c r="BJ622" s="2"/>
      <c r="BK622" s="2"/>
      <c r="BL622" s="2"/>
      <c r="BM622" s="2"/>
      <c r="BN622" s="2"/>
      <c r="BO622" s="2"/>
      <c r="BP622" s="2"/>
      <c r="BQ622" s="2"/>
      <c r="BR622" s="2"/>
      <c r="BS622" s="2"/>
      <c r="BT622" s="2"/>
      <c r="BU622" s="2"/>
      <c r="BV622" s="2"/>
      <c r="BW622" s="2"/>
      <c r="BX622" s="2"/>
      <c r="BY622" s="2"/>
      <c r="BZ622" s="2"/>
      <c r="CA622" s="2"/>
      <c r="CB622" s="2"/>
      <c r="CC622" s="2"/>
      <c r="CD622" s="2"/>
      <c r="CE622" s="2"/>
      <c r="CF622" s="2"/>
    </row>
    <row r="623" spans="1:84" ht="12.65" customHeight="1" x14ac:dyDescent="0.35">
      <c r="A623" s="338">
        <v>8640</v>
      </c>
      <c r="B623" s="341" t="s">
        <v>616</v>
      </c>
      <c r="C623" s="2">
        <f>BQ71</f>
        <v>655488.51</v>
      </c>
      <c r="D623" s="2">
        <f>(D615/D612)*BQ76</f>
        <v>39868.757876794196</v>
      </c>
      <c r="E623" s="2">
        <f>SUM(C616:D623)</f>
        <v>40639724.225046888</v>
      </c>
      <c r="F623" s="2"/>
      <c r="G623" s="2"/>
      <c r="H623" s="2"/>
      <c r="I623" s="2"/>
      <c r="J623" s="2"/>
      <c r="K623" s="2"/>
      <c r="L623" s="2"/>
      <c r="M623" s="2"/>
      <c r="N623" s="323" t="s">
        <v>617</v>
      </c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  <c r="AH623" s="2"/>
      <c r="AI623" s="2"/>
      <c r="AJ623" s="2"/>
      <c r="AK623" s="2"/>
      <c r="AL623" s="2"/>
      <c r="AM623" s="2"/>
      <c r="AN623" s="2"/>
      <c r="AO623" s="2"/>
      <c r="AP623" s="2"/>
      <c r="AQ623" s="2"/>
      <c r="AR623" s="2"/>
      <c r="AS623" s="2"/>
      <c r="AT623" s="2"/>
      <c r="AU623" s="2"/>
      <c r="AV623" s="2"/>
      <c r="AW623" s="2"/>
      <c r="AX623" s="2"/>
      <c r="AY623" s="2"/>
      <c r="AZ623" s="2"/>
      <c r="BA623" s="2"/>
      <c r="BB623" s="2"/>
      <c r="BC623" s="2"/>
      <c r="BD623" s="2"/>
      <c r="BE623" s="2"/>
      <c r="BF623" s="2"/>
      <c r="BG623" s="2"/>
      <c r="BH623" s="2"/>
      <c r="BI623" s="2"/>
      <c r="BJ623" s="2"/>
      <c r="BK623" s="2"/>
      <c r="BL623" s="2"/>
      <c r="BM623" s="2"/>
      <c r="BN623" s="2"/>
      <c r="BO623" s="2"/>
      <c r="BP623" s="2"/>
      <c r="BQ623" s="2"/>
      <c r="BR623" s="2"/>
      <c r="BS623" s="2"/>
      <c r="BT623" s="2"/>
      <c r="BU623" s="2"/>
      <c r="BV623" s="2"/>
      <c r="BW623" s="2"/>
      <c r="BX623" s="2"/>
      <c r="BY623" s="2"/>
      <c r="BZ623" s="2"/>
      <c r="CA623" s="2"/>
      <c r="CB623" s="2"/>
      <c r="CC623" s="2"/>
      <c r="CD623" s="2"/>
      <c r="CE623" s="2"/>
      <c r="CF623" s="2"/>
    </row>
    <row r="624" spans="1:84" ht="12.65" customHeight="1" x14ac:dyDescent="0.35">
      <c r="A624" s="338">
        <v>8420</v>
      </c>
      <c r="B624" s="341" t="s">
        <v>139</v>
      </c>
      <c r="C624" s="2">
        <f>BD71</f>
        <v>3185816.23</v>
      </c>
      <c r="D624" s="2">
        <f>(D615/D612)*BD76</f>
        <v>215795.2982991419</v>
      </c>
      <c r="E624" s="2">
        <f>(E623/E612)*SUM(C624:D624)</f>
        <v>207502.36120005761</v>
      </c>
      <c r="F624" s="2">
        <f>SUM(C624:E624)</f>
        <v>3609113.8894991991</v>
      </c>
      <c r="G624" s="2"/>
      <c r="H624" s="2"/>
      <c r="I624" s="2"/>
      <c r="J624" s="2"/>
      <c r="K624" s="2"/>
      <c r="L624" s="2"/>
      <c r="M624" s="2"/>
      <c r="N624" s="323" t="s">
        <v>618</v>
      </c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  <c r="AH624" s="2"/>
      <c r="AI624" s="2"/>
      <c r="AJ624" s="2"/>
      <c r="AK624" s="2"/>
      <c r="AL624" s="2"/>
      <c r="AM624" s="2"/>
      <c r="AN624" s="2"/>
      <c r="AO624" s="2"/>
      <c r="AP624" s="2"/>
      <c r="AQ624" s="2"/>
      <c r="AR624" s="2"/>
      <c r="AS624" s="2"/>
      <c r="AT624" s="2"/>
      <c r="AU624" s="2"/>
      <c r="AV624" s="2"/>
      <c r="AW624" s="2"/>
      <c r="AX624" s="2"/>
      <c r="AY624" s="2"/>
      <c r="AZ624" s="2"/>
      <c r="BA624" s="2"/>
      <c r="BB624" s="2"/>
      <c r="BC624" s="2"/>
      <c r="BD624" s="2"/>
      <c r="BE624" s="2"/>
      <c r="BF624" s="2"/>
      <c r="BG624" s="2"/>
      <c r="BH624" s="2"/>
      <c r="BI624" s="2"/>
      <c r="BJ624" s="2"/>
      <c r="BK624" s="2"/>
      <c r="BL624" s="2"/>
      <c r="BM624" s="2"/>
      <c r="BN624" s="2"/>
      <c r="BO624" s="2"/>
      <c r="BP624" s="2"/>
      <c r="BQ624" s="2"/>
      <c r="BR624" s="2"/>
      <c r="BS624" s="2"/>
      <c r="BT624" s="2"/>
      <c r="BU624" s="2"/>
      <c r="BV624" s="2"/>
      <c r="BW624" s="2"/>
      <c r="BX624" s="2"/>
      <c r="BY624" s="2"/>
      <c r="BZ624" s="2"/>
      <c r="CA624" s="2"/>
      <c r="CB624" s="2"/>
      <c r="CC624" s="2"/>
      <c r="CD624" s="2"/>
      <c r="CE624" s="2"/>
      <c r="CF624" s="2"/>
    </row>
    <row r="625" spans="1:84" ht="12.65" customHeight="1" x14ac:dyDescent="0.35">
      <c r="A625" s="338">
        <v>8320</v>
      </c>
      <c r="B625" s="341" t="s">
        <v>135</v>
      </c>
      <c r="C625" s="2">
        <f>AY71</f>
        <v>0</v>
      </c>
      <c r="D625" s="2">
        <f>(D615/D612)*AY76</f>
        <v>0</v>
      </c>
      <c r="E625" s="2">
        <f>(E623/E612)*SUM(C625:D625)</f>
        <v>0</v>
      </c>
      <c r="F625" s="2">
        <f>(F624/F612)*AY64</f>
        <v>0</v>
      </c>
      <c r="G625" s="2">
        <f>SUM(C625:F625)</f>
        <v>0</v>
      </c>
      <c r="H625" s="2"/>
      <c r="I625" s="2"/>
      <c r="J625" s="2"/>
      <c r="K625" s="2"/>
      <c r="L625" s="2"/>
      <c r="M625" s="2"/>
      <c r="N625" s="323" t="s">
        <v>619</v>
      </c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  <c r="AH625" s="2"/>
      <c r="AI625" s="2"/>
      <c r="AJ625" s="2"/>
      <c r="AK625" s="2"/>
      <c r="AL625" s="2"/>
      <c r="AM625" s="2"/>
      <c r="AN625" s="2"/>
      <c r="AO625" s="2"/>
      <c r="AP625" s="2"/>
      <c r="AQ625" s="2"/>
      <c r="AR625" s="2"/>
      <c r="AS625" s="2"/>
      <c r="AT625" s="2"/>
      <c r="AU625" s="2"/>
      <c r="AV625" s="2"/>
      <c r="AW625" s="2"/>
      <c r="AX625" s="2"/>
      <c r="AY625" s="2"/>
      <c r="AZ625" s="2"/>
      <c r="BA625" s="2"/>
      <c r="BB625" s="2"/>
      <c r="BC625" s="2"/>
      <c r="BD625" s="2"/>
      <c r="BE625" s="2"/>
      <c r="BF625" s="2"/>
      <c r="BG625" s="2"/>
      <c r="BH625" s="2"/>
      <c r="BI625" s="2"/>
      <c r="BJ625" s="2"/>
      <c r="BK625" s="2"/>
      <c r="BL625" s="2"/>
      <c r="BM625" s="2"/>
      <c r="BN625" s="2"/>
      <c r="BO625" s="2"/>
      <c r="BP625" s="2"/>
      <c r="BQ625" s="2"/>
      <c r="BR625" s="2"/>
      <c r="BS625" s="2"/>
      <c r="BT625" s="2"/>
      <c r="BU625" s="2"/>
      <c r="BV625" s="2"/>
      <c r="BW625" s="2"/>
      <c r="BX625" s="2"/>
      <c r="BY625" s="2"/>
      <c r="BZ625" s="2"/>
      <c r="CA625" s="2"/>
      <c r="CB625" s="2"/>
      <c r="CC625" s="2"/>
      <c r="CD625" s="2"/>
      <c r="CE625" s="2"/>
      <c r="CF625" s="2"/>
    </row>
    <row r="626" spans="1:84" ht="12.65" customHeight="1" x14ac:dyDescent="0.35">
      <c r="A626" s="338">
        <v>8650</v>
      </c>
      <c r="B626" s="341" t="s">
        <v>152</v>
      </c>
      <c r="C626" s="2">
        <f>BR71</f>
        <v>4815164.0799999991</v>
      </c>
      <c r="D626" s="2">
        <f>(D615/D612)*BR76</f>
        <v>80831.11316702461</v>
      </c>
      <c r="E626" s="2">
        <f>(E623/E612)*SUM(C626:D626)</f>
        <v>298661.54749136523</v>
      </c>
      <c r="F626" s="2">
        <f>(F624/F612)*BR64</f>
        <v>1104.9698668208944</v>
      </c>
      <c r="G626" s="2">
        <f>(G625/G612)*BR77</f>
        <v>0</v>
      </c>
      <c r="H626" s="2"/>
      <c r="I626" s="2"/>
      <c r="J626" s="2"/>
      <c r="K626" s="2"/>
      <c r="L626" s="2"/>
      <c r="M626" s="2"/>
      <c r="N626" s="323" t="s">
        <v>620</v>
      </c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  <c r="AH626" s="2"/>
      <c r="AI626" s="2"/>
      <c r="AJ626" s="2"/>
      <c r="AK626" s="2"/>
      <c r="AL626" s="2"/>
      <c r="AM626" s="2"/>
      <c r="AN626" s="2"/>
      <c r="AO626" s="2"/>
      <c r="AP626" s="2"/>
      <c r="AQ626" s="2"/>
      <c r="AR626" s="2"/>
      <c r="AS626" s="2"/>
      <c r="AT626" s="2"/>
      <c r="AU626" s="2"/>
      <c r="AV626" s="2"/>
      <c r="AW626" s="2"/>
      <c r="AX626" s="2"/>
      <c r="AY626" s="2"/>
      <c r="AZ626" s="2"/>
      <c r="BA626" s="2"/>
      <c r="BB626" s="2"/>
      <c r="BC626" s="2"/>
      <c r="BD626" s="2"/>
      <c r="BE626" s="2"/>
      <c r="BF626" s="2"/>
      <c r="BG626" s="2"/>
      <c r="BH626" s="2"/>
      <c r="BI626" s="2"/>
      <c r="BJ626" s="2"/>
      <c r="BK626" s="2"/>
      <c r="BL626" s="2"/>
      <c r="BM626" s="2"/>
      <c r="BN626" s="2"/>
      <c r="BO626" s="2"/>
      <c r="BP626" s="2"/>
      <c r="BQ626" s="2"/>
      <c r="BR626" s="2"/>
      <c r="BS626" s="2"/>
      <c r="BT626" s="2"/>
      <c r="BU626" s="2"/>
      <c r="BV626" s="2"/>
      <c r="BW626" s="2"/>
      <c r="BX626" s="2"/>
      <c r="BY626" s="2"/>
      <c r="BZ626" s="2"/>
      <c r="CA626" s="2"/>
      <c r="CB626" s="2"/>
      <c r="CC626" s="2"/>
      <c r="CD626" s="2"/>
      <c r="CE626" s="2"/>
      <c r="CF626" s="2"/>
    </row>
    <row r="627" spans="1:84" ht="12.65" customHeight="1" x14ac:dyDescent="0.35">
      <c r="A627" s="338">
        <v>8620</v>
      </c>
      <c r="B627" s="332" t="s">
        <v>621</v>
      </c>
      <c r="C627" s="2">
        <f>BO71</f>
        <v>1282071.1199999999</v>
      </c>
      <c r="D627" s="2">
        <f>(D615/D612)*BO76</f>
        <v>49497.169886395663</v>
      </c>
      <c r="E627" s="2">
        <f>(E623/E612)*SUM(C627:D627)</f>
        <v>81227.254185814076</v>
      </c>
      <c r="F627" s="2">
        <f>(F624/F612)*BO64</f>
        <v>2988.8322646438319</v>
      </c>
      <c r="G627" s="2">
        <f>(G625/G612)*BO77</f>
        <v>0</v>
      </c>
      <c r="H627" s="2"/>
      <c r="I627" s="2"/>
      <c r="J627" s="2"/>
      <c r="K627" s="2"/>
      <c r="L627" s="2"/>
      <c r="M627" s="2"/>
      <c r="N627" s="323" t="s">
        <v>622</v>
      </c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  <c r="AH627" s="2"/>
      <c r="AI627" s="2"/>
      <c r="AJ627" s="2"/>
      <c r="AK627" s="2"/>
      <c r="AL627" s="2"/>
      <c r="AM627" s="2"/>
      <c r="AN627" s="2"/>
      <c r="AO627" s="2"/>
      <c r="AP627" s="2"/>
      <c r="AQ627" s="2"/>
      <c r="AR627" s="2"/>
      <c r="AS627" s="2"/>
      <c r="AT627" s="2"/>
      <c r="AU627" s="2"/>
      <c r="AV627" s="2"/>
      <c r="AW627" s="2"/>
      <c r="AX627" s="2"/>
      <c r="AY627" s="2"/>
      <c r="AZ627" s="2"/>
      <c r="BA627" s="2"/>
      <c r="BB627" s="2"/>
      <c r="BC627" s="2"/>
      <c r="BD627" s="2"/>
      <c r="BE627" s="2"/>
      <c r="BF627" s="2"/>
      <c r="BG627" s="2"/>
      <c r="BH627" s="2"/>
      <c r="BI627" s="2"/>
      <c r="BJ627" s="2"/>
      <c r="BK627" s="2"/>
      <c r="BL627" s="2"/>
      <c r="BM627" s="2"/>
      <c r="BN627" s="2"/>
      <c r="BO627" s="2"/>
      <c r="BP627" s="2"/>
      <c r="BQ627" s="2"/>
      <c r="BR627" s="2"/>
      <c r="BS627" s="2"/>
      <c r="BT627" s="2"/>
      <c r="BU627" s="2"/>
      <c r="BV627" s="2"/>
      <c r="BW627" s="2"/>
      <c r="BX627" s="2"/>
      <c r="BY627" s="2"/>
      <c r="BZ627" s="2"/>
      <c r="CA627" s="2"/>
      <c r="CB627" s="2"/>
      <c r="CC627" s="2"/>
      <c r="CD627" s="2"/>
      <c r="CE627" s="2"/>
      <c r="CF627" s="2"/>
    </row>
    <row r="628" spans="1:84" ht="12.65" customHeight="1" x14ac:dyDescent="0.35">
      <c r="A628" s="338">
        <v>8330</v>
      </c>
      <c r="B628" s="341" t="s">
        <v>136</v>
      </c>
      <c r="C628" s="2">
        <f>AZ71</f>
        <v>4909692.3099999987</v>
      </c>
      <c r="D628" s="2">
        <f>(D615/D612)*AZ76</f>
        <v>560563.76981331571</v>
      </c>
      <c r="E628" s="2">
        <f>(E623/E612)*SUM(C628:D628)</f>
        <v>333692.14664491592</v>
      </c>
      <c r="F628" s="2">
        <f>(F624/F612)*AZ64</f>
        <v>56923.905866831155</v>
      </c>
      <c r="G628" s="2">
        <f>(G625/G612)*AZ77</f>
        <v>0</v>
      </c>
      <c r="H628" s="2">
        <f>SUM(C626:G628)</f>
        <v>12472418.219187126</v>
      </c>
      <c r="I628" s="2"/>
      <c r="J628" s="2"/>
      <c r="K628" s="2"/>
      <c r="L628" s="2"/>
      <c r="M628" s="2"/>
      <c r="N628" s="323" t="s">
        <v>623</v>
      </c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  <c r="AH628" s="2"/>
      <c r="AI628" s="2"/>
      <c r="AJ628" s="2"/>
      <c r="AK628" s="2"/>
      <c r="AL628" s="2"/>
      <c r="AM628" s="2"/>
      <c r="AN628" s="2"/>
      <c r="AO628" s="2"/>
      <c r="AP628" s="2"/>
      <c r="AQ628" s="2"/>
      <c r="AR628" s="2"/>
      <c r="AS628" s="2"/>
      <c r="AT628" s="2"/>
      <c r="AU628" s="2"/>
      <c r="AV628" s="2"/>
      <c r="AW628" s="2"/>
      <c r="AX628" s="2"/>
      <c r="AY628" s="2"/>
      <c r="AZ628" s="2"/>
      <c r="BA628" s="2"/>
      <c r="BB628" s="2"/>
      <c r="BC628" s="2"/>
      <c r="BD628" s="2"/>
      <c r="BE628" s="2"/>
      <c r="BF628" s="2"/>
      <c r="BG628" s="2"/>
      <c r="BH628" s="2"/>
      <c r="BI628" s="2"/>
      <c r="BJ628" s="2"/>
      <c r="BK628" s="2"/>
      <c r="BL628" s="2"/>
      <c r="BM628" s="2"/>
      <c r="BN628" s="2"/>
      <c r="BO628" s="2"/>
      <c r="BP628" s="2"/>
      <c r="BQ628" s="2"/>
      <c r="BR628" s="2"/>
      <c r="BS628" s="2"/>
      <c r="BT628" s="2"/>
      <c r="BU628" s="2"/>
      <c r="BV628" s="2"/>
      <c r="BW628" s="2"/>
      <c r="BX628" s="2"/>
      <c r="BY628" s="2"/>
      <c r="BZ628" s="2"/>
      <c r="CA628" s="2"/>
      <c r="CB628" s="2"/>
      <c r="CC628" s="2"/>
      <c r="CD628" s="2"/>
      <c r="CE628" s="2"/>
      <c r="CF628" s="2"/>
    </row>
    <row r="629" spans="1:84" ht="12.65" customHeight="1" x14ac:dyDescent="0.35">
      <c r="A629" s="338">
        <v>8460</v>
      </c>
      <c r="B629" s="341" t="s">
        <v>141</v>
      </c>
      <c r="C629" s="2">
        <f>BF71</f>
        <v>5982507.4100000001</v>
      </c>
      <c r="D629" s="2">
        <f>(D615/D612)*BF76</f>
        <v>228918.46726037646</v>
      </c>
      <c r="E629" s="2">
        <f>(E623/E612)*SUM(C629:D629)</f>
        <v>378904.38847234566</v>
      </c>
      <c r="F629" s="2">
        <f>(F624/F612)*BF64</f>
        <v>11874.606435139758</v>
      </c>
      <c r="G629" s="2">
        <f>(G625/G612)*BF77</f>
        <v>0</v>
      </c>
      <c r="H629" s="2">
        <f>(H628/H612)*BF60</f>
        <v>351474.59386907466</v>
      </c>
      <c r="I629" s="2">
        <f>SUM(C629:H629)</f>
        <v>6953679.4660369363</v>
      </c>
      <c r="J629" s="2"/>
      <c r="K629" s="2"/>
      <c r="L629" s="2"/>
      <c r="M629" s="2"/>
      <c r="N629" s="323" t="s">
        <v>624</v>
      </c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  <c r="AH629" s="2"/>
      <c r="AI629" s="2"/>
      <c r="AJ629" s="2"/>
      <c r="AK629" s="2"/>
      <c r="AL629" s="2"/>
      <c r="AM629" s="2"/>
      <c r="AN629" s="2"/>
      <c r="AO629" s="2"/>
      <c r="AP629" s="2"/>
      <c r="AQ629" s="2"/>
      <c r="AR629" s="2"/>
      <c r="AS629" s="2"/>
      <c r="AT629" s="2"/>
      <c r="AU629" s="2"/>
      <c r="AV629" s="2"/>
      <c r="AW629" s="2"/>
      <c r="AX629" s="2"/>
      <c r="AY629" s="2"/>
      <c r="AZ629" s="2"/>
      <c r="BA629" s="2"/>
      <c r="BB629" s="2"/>
      <c r="BC629" s="2"/>
      <c r="BD629" s="2"/>
      <c r="BE629" s="2"/>
      <c r="BF629" s="2"/>
      <c r="BG629" s="2"/>
      <c r="BH629" s="2"/>
      <c r="BI629" s="2"/>
      <c r="BJ629" s="2"/>
      <c r="BK629" s="2"/>
      <c r="BL629" s="2"/>
      <c r="BM629" s="2"/>
      <c r="BN629" s="2"/>
      <c r="BO629" s="2"/>
      <c r="BP629" s="2"/>
      <c r="BQ629" s="2"/>
      <c r="BR629" s="2"/>
      <c r="BS629" s="2"/>
      <c r="BT629" s="2"/>
      <c r="BU629" s="2"/>
      <c r="BV629" s="2"/>
      <c r="BW629" s="2"/>
      <c r="BX629" s="2"/>
      <c r="BY629" s="2"/>
      <c r="BZ629" s="2"/>
      <c r="CA629" s="2"/>
      <c r="CB629" s="2"/>
      <c r="CC629" s="2"/>
      <c r="CD629" s="2"/>
      <c r="CE629" s="2"/>
      <c r="CF629" s="2"/>
    </row>
    <row r="630" spans="1:84" ht="12.65" customHeight="1" x14ac:dyDescent="0.35">
      <c r="A630" s="338">
        <v>8350</v>
      </c>
      <c r="B630" s="341" t="s">
        <v>625</v>
      </c>
      <c r="C630" s="2">
        <f>BA71</f>
        <v>368842.56000000006</v>
      </c>
      <c r="D630" s="2">
        <f>(D615/D612)*BA76</f>
        <v>85324.372104838621</v>
      </c>
      <c r="E630" s="2">
        <f>(E623/E612)*SUM(C630:D630)</f>
        <v>27704.724659685668</v>
      </c>
      <c r="F630" s="2">
        <f>(F624/F612)*BA64</f>
        <v>706.32545962544407</v>
      </c>
      <c r="G630" s="2">
        <f>(G625/G612)*BA77</f>
        <v>0</v>
      </c>
      <c r="H630" s="2">
        <f>(H628/H612)*BA60</f>
        <v>18911.840662322305</v>
      </c>
      <c r="I630" s="2">
        <f>(I629/I612)*BA78</f>
        <v>29750.274712479481</v>
      </c>
      <c r="J630" s="2">
        <f>SUM(C630:I630)</f>
        <v>531240.09759895154</v>
      </c>
      <c r="K630" s="2"/>
      <c r="L630" s="2"/>
      <c r="M630" s="2"/>
      <c r="N630" s="323" t="s">
        <v>626</v>
      </c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  <c r="AG630" s="2"/>
      <c r="AH630" s="2"/>
      <c r="AI630" s="2"/>
      <c r="AJ630" s="2"/>
      <c r="AK630" s="2"/>
      <c r="AL630" s="2"/>
      <c r="AM630" s="2"/>
      <c r="AN630" s="2"/>
      <c r="AO630" s="2"/>
      <c r="AP630" s="2"/>
      <c r="AQ630" s="2"/>
      <c r="AR630" s="2"/>
      <c r="AS630" s="2"/>
      <c r="AT630" s="2"/>
      <c r="AU630" s="2"/>
      <c r="AV630" s="2"/>
      <c r="AW630" s="2"/>
      <c r="AX630" s="2"/>
      <c r="AY630" s="2"/>
      <c r="AZ630" s="2"/>
      <c r="BA630" s="2"/>
      <c r="BB630" s="2"/>
      <c r="BC630" s="2"/>
      <c r="BD630" s="2"/>
      <c r="BE630" s="2"/>
      <c r="BF630" s="2"/>
      <c r="BG630" s="2"/>
      <c r="BH630" s="2"/>
      <c r="BI630" s="2"/>
      <c r="BJ630" s="2"/>
      <c r="BK630" s="2"/>
      <c r="BL630" s="2"/>
      <c r="BM630" s="2"/>
      <c r="BN630" s="2"/>
      <c r="BO630" s="2"/>
      <c r="BP630" s="2"/>
      <c r="BQ630" s="2"/>
      <c r="BR630" s="2"/>
      <c r="BS630" s="2"/>
      <c r="BT630" s="2"/>
      <c r="BU630" s="2"/>
      <c r="BV630" s="2"/>
      <c r="BW630" s="2"/>
      <c r="BX630" s="2"/>
      <c r="BY630" s="2"/>
      <c r="BZ630" s="2"/>
      <c r="CA630" s="2"/>
      <c r="CB630" s="2"/>
      <c r="CC630" s="2"/>
      <c r="CD630" s="2"/>
      <c r="CE630" s="2"/>
      <c r="CF630" s="2"/>
    </row>
    <row r="631" spans="1:84" ht="12.65" customHeight="1" x14ac:dyDescent="0.35">
      <c r="A631" s="338">
        <v>8200</v>
      </c>
      <c r="B631" s="341" t="s">
        <v>627</v>
      </c>
      <c r="C631" s="2">
        <f>AW71</f>
        <v>-1520587.2999999998</v>
      </c>
      <c r="D631" s="2">
        <f>(D615/D612)*AW76</f>
        <v>92979.553998892137</v>
      </c>
      <c r="E631" s="2">
        <f>(E623/E612)*SUM(C631:D631)</f>
        <v>-87085.775579683119</v>
      </c>
      <c r="F631" s="2">
        <f>(F624/F612)*AW64</f>
        <v>1332.3190078357673</v>
      </c>
      <c r="G631" s="2">
        <f>(G625/G612)*AW77</f>
        <v>0</v>
      </c>
      <c r="H631" s="2">
        <f>(H628/H612)*AW60</f>
        <v>61623.775432686918</v>
      </c>
      <c r="I631" s="2">
        <f>(I629/I612)*AW78</f>
        <v>32400.633261475425</v>
      </c>
      <c r="J631" s="2">
        <f>(J630/J612)*AW79</f>
        <v>0</v>
      </c>
      <c r="K631" s="2"/>
      <c r="L631" s="2"/>
      <c r="M631" s="2"/>
      <c r="N631" s="323" t="s">
        <v>628</v>
      </c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  <c r="AG631" s="2"/>
      <c r="AH631" s="2"/>
      <c r="AI631" s="2"/>
      <c r="AJ631" s="2"/>
      <c r="AK631" s="2"/>
      <c r="AL631" s="2"/>
      <c r="AM631" s="2"/>
      <c r="AN631" s="2"/>
      <c r="AO631" s="2"/>
      <c r="AP631" s="2"/>
      <c r="AQ631" s="2"/>
      <c r="AR631" s="2"/>
      <c r="AS631" s="2"/>
      <c r="AT631" s="2"/>
      <c r="AU631" s="2"/>
      <c r="AV631" s="2"/>
      <c r="AW631" s="2"/>
      <c r="AX631" s="2"/>
      <c r="AY631" s="2"/>
      <c r="AZ631" s="2"/>
      <c r="BA631" s="2"/>
      <c r="BB631" s="2"/>
      <c r="BC631" s="2"/>
      <c r="BD631" s="2"/>
      <c r="BE631" s="2"/>
      <c r="BF631" s="2"/>
      <c r="BG631" s="2"/>
      <c r="BH631" s="2"/>
      <c r="BI631" s="2"/>
      <c r="BJ631" s="2"/>
      <c r="BK631" s="2"/>
      <c r="BL631" s="2"/>
      <c r="BM631" s="2"/>
      <c r="BN631" s="2"/>
      <c r="BO631" s="2"/>
      <c r="BP631" s="2"/>
      <c r="BQ631" s="2"/>
      <c r="BR631" s="2"/>
      <c r="BS631" s="2"/>
      <c r="BT631" s="2"/>
      <c r="BU631" s="2"/>
      <c r="BV631" s="2"/>
      <c r="BW631" s="2"/>
      <c r="BX631" s="2"/>
      <c r="BY631" s="2"/>
      <c r="BZ631" s="2"/>
      <c r="CA631" s="2"/>
      <c r="CB631" s="2"/>
      <c r="CC631" s="2"/>
      <c r="CD631" s="2"/>
      <c r="CE631" s="2"/>
      <c r="CF631" s="2"/>
    </row>
    <row r="632" spans="1:84" ht="12.65" customHeight="1" x14ac:dyDescent="0.35">
      <c r="A632" s="338">
        <v>8360</v>
      </c>
      <c r="B632" s="341" t="s">
        <v>629</v>
      </c>
      <c r="C632" s="2">
        <f>BB71</f>
        <v>227839.55</v>
      </c>
      <c r="D632" s="2">
        <f>(D615/D612)*BB76</f>
        <v>0</v>
      </c>
      <c r="E632" s="2">
        <f>(E623/E612)*SUM(C632:D632)</f>
        <v>13898.484352620342</v>
      </c>
      <c r="F632" s="2">
        <f>(F624/F612)*BB64</f>
        <v>0</v>
      </c>
      <c r="G632" s="2">
        <f>(G625/G612)*BB77</f>
        <v>0</v>
      </c>
      <c r="H632" s="2">
        <f>(H628/H612)*BB60</f>
        <v>0</v>
      </c>
      <c r="I632" s="2">
        <f>(I629/I612)*BB78</f>
        <v>0</v>
      </c>
      <c r="J632" s="2">
        <f>(J630/J612)*BB79</f>
        <v>0</v>
      </c>
      <c r="K632" s="2"/>
      <c r="L632" s="2"/>
      <c r="M632" s="2"/>
      <c r="N632" s="323" t="s">
        <v>630</v>
      </c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  <c r="AH632" s="2"/>
      <c r="AI632" s="2"/>
      <c r="AJ632" s="2"/>
      <c r="AK632" s="2"/>
      <c r="AL632" s="2"/>
      <c r="AM632" s="2"/>
      <c r="AN632" s="2"/>
      <c r="AO632" s="2"/>
      <c r="AP632" s="2"/>
      <c r="AQ632" s="2"/>
      <c r="AR632" s="2"/>
      <c r="AS632" s="2"/>
      <c r="AT632" s="2"/>
      <c r="AU632" s="2"/>
      <c r="AV632" s="2"/>
      <c r="AW632" s="2"/>
      <c r="AX632" s="2"/>
      <c r="AY632" s="2"/>
      <c r="AZ632" s="2"/>
      <c r="BA632" s="2"/>
      <c r="BB632" s="2"/>
      <c r="BC632" s="2"/>
      <c r="BD632" s="2"/>
      <c r="BE632" s="2"/>
      <c r="BF632" s="2"/>
      <c r="BG632" s="2"/>
      <c r="BH632" s="2"/>
      <c r="BI632" s="2"/>
      <c r="BJ632" s="2"/>
      <c r="BK632" s="2"/>
      <c r="BL632" s="2"/>
      <c r="BM632" s="2"/>
      <c r="BN632" s="2"/>
      <c r="BO632" s="2"/>
      <c r="BP632" s="2"/>
      <c r="BQ632" s="2"/>
      <c r="BR632" s="2"/>
      <c r="BS632" s="2"/>
      <c r="BT632" s="2"/>
      <c r="BU632" s="2"/>
      <c r="BV632" s="2"/>
      <c r="BW632" s="2"/>
      <c r="BX632" s="2"/>
      <c r="BY632" s="2"/>
      <c r="BZ632" s="2"/>
      <c r="CA632" s="2"/>
      <c r="CB632" s="2"/>
      <c r="CC632" s="2"/>
      <c r="CD632" s="2"/>
      <c r="CE632" s="2"/>
      <c r="CF632" s="2"/>
    </row>
    <row r="633" spans="1:84" ht="12.65" customHeight="1" x14ac:dyDescent="0.35">
      <c r="A633" s="338">
        <v>8370</v>
      </c>
      <c r="B633" s="341" t="s">
        <v>631</v>
      </c>
      <c r="C633" s="2">
        <f>BC71</f>
        <v>342608.7</v>
      </c>
      <c r="D633" s="2">
        <f>(D615/D612)*BC76</f>
        <v>0</v>
      </c>
      <c r="E633" s="2">
        <f>(E623/E612)*SUM(C633:D633)</f>
        <v>20899.53941719775</v>
      </c>
      <c r="F633" s="2">
        <f>(F624/F612)*BC64</f>
        <v>22.523805245877558</v>
      </c>
      <c r="G633" s="2">
        <f>(G625/G612)*BC77</f>
        <v>0</v>
      </c>
      <c r="H633" s="2">
        <f>(H628/H612)*BC60</f>
        <v>21421.81807077536</v>
      </c>
      <c r="I633" s="2">
        <f>(I629/I612)*BC78</f>
        <v>0</v>
      </c>
      <c r="J633" s="2">
        <f>(J630/J612)*BC79</f>
        <v>0</v>
      </c>
      <c r="K633" s="2"/>
      <c r="L633" s="2"/>
      <c r="M633" s="2"/>
      <c r="N633" s="323" t="s">
        <v>632</v>
      </c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  <c r="AH633" s="2"/>
      <c r="AI633" s="2"/>
      <c r="AJ633" s="2"/>
      <c r="AK633" s="2"/>
      <c r="AL633" s="2"/>
      <c r="AM633" s="2"/>
      <c r="AN633" s="2"/>
      <c r="AO633" s="2"/>
      <c r="AP633" s="2"/>
      <c r="AQ633" s="2"/>
      <c r="AR633" s="2"/>
      <c r="AS633" s="2"/>
      <c r="AT633" s="2"/>
      <c r="AU633" s="2"/>
      <c r="AV633" s="2"/>
      <c r="AW633" s="2"/>
      <c r="AX633" s="2"/>
      <c r="AY633" s="2"/>
      <c r="AZ633" s="2"/>
      <c r="BA633" s="2"/>
      <c r="BB633" s="2"/>
      <c r="BC633" s="2"/>
      <c r="BD633" s="2"/>
      <c r="BE633" s="2"/>
      <c r="BF633" s="2"/>
      <c r="BG633" s="2"/>
      <c r="BH633" s="2"/>
      <c r="BI633" s="2"/>
      <c r="BJ633" s="2"/>
      <c r="BK633" s="2"/>
      <c r="BL633" s="2"/>
      <c r="BM633" s="2"/>
      <c r="BN633" s="2"/>
      <c r="BO633" s="2"/>
      <c r="BP633" s="2"/>
      <c r="BQ633" s="2"/>
      <c r="BR633" s="2"/>
      <c r="BS633" s="2"/>
      <c r="BT633" s="2"/>
      <c r="BU633" s="2"/>
      <c r="BV633" s="2"/>
      <c r="BW633" s="2"/>
      <c r="BX633" s="2"/>
      <c r="BY633" s="2"/>
      <c r="BZ633" s="2"/>
      <c r="CA633" s="2"/>
      <c r="CB633" s="2"/>
      <c r="CC633" s="2"/>
      <c r="CD633" s="2"/>
      <c r="CE633" s="2"/>
      <c r="CF633" s="2"/>
    </row>
    <row r="634" spans="1:84" ht="12.65" customHeight="1" x14ac:dyDescent="0.35">
      <c r="A634" s="338">
        <v>8490</v>
      </c>
      <c r="B634" s="341" t="s">
        <v>633</v>
      </c>
      <c r="C634" s="2">
        <f>BI71</f>
        <v>12268848.76</v>
      </c>
      <c r="D634" s="2">
        <f>(D615/D612)*BI76</f>
        <v>623112.78709050443</v>
      </c>
      <c r="E634" s="2">
        <f>(E623/E612)*SUM(C634:D634)</f>
        <v>786425.03391891578</v>
      </c>
      <c r="F634" s="2">
        <f>(F624/F612)*BI64</f>
        <v>152169.93039805317</v>
      </c>
      <c r="G634" s="2">
        <f>(G625/G612)*BI77</f>
        <v>0</v>
      </c>
      <c r="H634" s="2">
        <f>(H628/H612)*BI60</f>
        <v>211358.81472418507</v>
      </c>
      <c r="I634" s="2">
        <f>(I629/I612)*BI78</f>
        <v>217196.88309021769</v>
      </c>
      <c r="J634" s="2">
        <f>(J630/J612)*BI79</f>
        <v>6306.1121350434396</v>
      </c>
      <c r="K634" s="2"/>
      <c r="L634" s="2"/>
      <c r="M634" s="2"/>
      <c r="N634" s="323" t="s">
        <v>634</v>
      </c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  <c r="AH634" s="2"/>
      <c r="AI634" s="2"/>
      <c r="AJ634" s="2"/>
      <c r="AK634" s="2"/>
      <c r="AL634" s="2"/>
      <c r="AM634" s="2"/>
      <c r="AN634" s="2"/>
      <c r="AO634" s="2"/>
      <c r="AP634" s="2"/>
      <c r="AQ634" s="2"/>
      <c r="AR634" s="2"/>
      <c r="AS634" s="2"/>
      <c r="AT634" s="2"/>
      <c r="AU634" s="2"/>
      <c r="AV634" s="2"/>
      <c r="AW634" s="2"/>
      <c r="AX634" s="2"/>
      <c r="AY634" s="2"/>
      <c r="AZ634" s="2"/>
      <c r="BA634" s="2"/>
      <c r="BB634" s="2"/>
      <c r="BC634" s="2"/>
      <c r="BD634" s="2"/>
      <c r="BE634" s="2"/>
      <c r="BF634" s="2"/>
      <c r="BG634" s="2"/>
      <c r="BH634" s="2"/>
      <c r="BI634" s="2"/>
      <c r="BJ634" s="2"/>
      <c r="BK634" s="2"/>
      <c r="BL634" s="2"/>
      <c r="BM634" s="2"/>
      <c r="BN634" s="2"/>
      <c r="BO634" s="2"/>
      <c r="BP634" s="2"/>
      <c r="BQ634" s="2"/>
      <c r="BR634" s="2"/>
      <c r="BS634" s="2"/>
      <c r="BT634" s="2"/>
      <c r="BU634" s="2"/>
      <c r="BV634" s="2"/>
      <c r="BW634" s="2"/>
      <c r="BX634" s="2"/>
      <c r="BY634" s="2"/>
      <c r="BZ634" s="2"/>
      <c r="CA634" s="2"/>
      <c r="CB634" s="2"/>
      <c r="CC634" s="2"/>
      <c r="CD634" s="2"/>
      <c r="CE634" s="2"/>
      <c r="CF634" s="2"/>
    </row>
    <row r="635" spans="1:84" ht="12.65" customHeight="1" x14ac:dyDescent="0.35">
      <c r="A635" s="338">
        <v>8530</v>
      </c>
      <c r="B635" s="341" t="s">
        <v>635</v>
      </c>
      <c r="C635" s="2">
        <f>BK71</f>
        <v>9749778.1099999994</v>
      </c>
      <c r="D635" s="2">
        <f>(D615/D612)*BK76</f>
        <v>261845.25894753207</v>
      </c>
      <c r="E635" s="2">
        <f>(E623/E612)*SUM(C635:D635)</f>
        <v>610720.96893469733</v>
      </c>
      <c r="F635" s="2">
        <f>(F624/F612)*BK64</f>
        <v>2764.4806551951924</v>
      </c>
      <c r="G635" s="2">
        <f>(G625/G612)*BK77</f>
        <v>0</v>
      </c>
      <c r="H635" s="2">
        <f>(H628/H612)*BK60</f>
        <v>311363.47228404606</v>
      </c>
      <c r="I635" s="2">
        <f>(I629/I612)*BK78</f>
        <v>91238.593049185394</v>
      </c>
      <c r="J635" s="2">
        <f>(J630/J612)*BK79</f>
        <v>0</v>
      </c>
      <c r="K635" s="2"/>
      <c r="L635" s="2"/>
      <c r="M635" s="2"/>
      <c r="N635" s="323" t="s">
        <v>636</v>
      </c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  <c r="AH635" s="2"/>
      <c r="AI635" s="2"/>
      <c r="AJ635" s="2"/>
      <c r="AK635" s="2"/>
      <c r="AL635" s="2"/>
      <c r="AM635" s="2"/>
      <c r="AN635" s="2"/>
      <c r="AO635" s="2"/>
      <c r="AP635" s="2"/>
      <c r="AQ635" s="2"/>
      <c r="AR635" s="2"/>
      <c r="AS635" s="2"/>
      <c r="AT635" s="2"/>
      <c r="AU635" s="2"/>
      <c r="AV635" s="2"/>
      <c r="AW635" s="2"/>
      <c r="AX635" s="2"/>
      <c r="AY635" s="2"/>
      <c r="AZ635" s="2"/>
      <c r="BA635" s="2"/>
      <c r="BB635" s="2"/>
      <c r="BC635" s="2"/>
      <c r="BD635" s="2"/>
      <c r="BE635" s="2"/>
      <c r="BF635" s="2"/>
      <c r="BG635" s="2"/>
      <c r="BH635" s="2"/>
      <c r="BI635" s="2"/>
      <c r="BJ635" s="2"/>
      <c r="BK635" s="2"/>
      <c r="BL635" s="2"/>
      <c r="BM635" s="2"/>
      <c r="BN635" s="2"/>
      <c r="BO635" s="2"/>
      <c r="BP635" s="2"/>
      <c r="BQ635" s="2"/>
      <c r="BR635" s="2"/>
      <c r="BS635" s="2"/>
      <c r="BT635" s="2"/>
      <c r="BU635" s="2"/>
      <c r="BV635" s="2"/>
      <c r="BW635" s="2"/>
      <c r="BX635" s="2"/>
      <c r="BY635" s="2"/>
      <c r="BZ635" s="2"/>
      <c r="CA635" s="2"/>
      <c r="CB635" s="2"/>
      <c r="CC635" s="2"/>
      <c r="CD635" s="2"/>
      <c r="CE635" s="2"/>
      <c r="CF635" s="2"/>
    </row>
    <row r="636" spans="1:84" ht="12.65" customHeight="1" x14ac:dyDescent="0.35">
      <c r="A636" s="338">
        <v>8480</v>
      </c>
      <c r="B636" s="341" t="s">
        <v>637</v>
      </c>
      <c r="C636" s="2">
        <f>BH71</f>
        <v>35119633.379999995</v>
      </c>
      <c r="D636" s="2">
        <f>(D615/D612)*BH76</f>
        <v>590399.96011467325</v>
      </c>
      <c r="E636" s="2">
        <f>(E623/E612)*SUM(C636:D636)</f>
        <v>2178354.6342552663</v>
      </c>
      <c r="F636" s="2">
        <f>(F624/F612)*BH64</f>
        <v>42172.49407974643</v>
      </c>
      <c r="G636" s="2">
        <f>(G625/G612)*BH77</f>
        <v>0</v>
      </c>
      <c r="H636" s="2">
        <f>(H628/H612)*BH60</f>
        <v>438186.97275682969</v>
      </c>
      <c r="I636" s="2">
        <f>(I629/I612)*BH78</f>
        <v>205734.08236581023</v>
      </c>
      <c r="J636" s="2">
        <f>(J630/J612)*BH79</f>
        <v>0</v>
      </c>
      <c r="K636" s="2"/>
      <c r="L636" s="2"/>
      <c r="M636" s="2"/>
      <c r="N636" s="323" t="s">
        <v>638</v>
      </c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  <c r="AH636" s="2"/>
      <c r="AI636" s="2"/>
      <c r="AJ636" s="2"/>
      <c r="AK636" s="2"/>
      <c r="AL636" s="2"/>
      <c r="AM636" s="2"/>
      <c r="AN636" s="2"/>
      <c r="AO636" s="2"/>
      <c r="AP636" s="2"/>
      <c r="AQ636" s="2"/>
      <c r="AR636" s="2"/>
      <c r="AS636" s="2"/>
      <c r="AT636" s="2"/>
      <c r="AU636" s="2"/>
      <c r="AV636" s="2"/>
      <c r="AW636" s="2"/>
      <c r="AX636" s="2"/>
      <c r="AY636" s="2"/>
      <c r="AZ636" s="2"/>
      <c r="BA636" s="2"/>
      <c r="BB636" s="2"/>
      <c r="BC636" s="2"/>
      <c r="BD636" s="2"/>
      <c r="BE636" s="2"/>
      <c r="BF636" s="2"/>
      <c r="BG636" s="2"/>
      <c r="BH636" s="2"/>
      <c r="BI636" s="2"/>
      <c r="BJ636" s="2"/>
      <c r="BK636" s="2"/>
      <c r="BL636" s="2"/>
      <c r="BM636" s="2"/>
      <c r="BN636" s="2"/>
      <c r="BO636" s="2"/>
      <c r="BP636" s="2"/>
      <c r="BQ636" s="2"/>
      <c r="BR636" s="2"/>
      <c r="BS636" s="2"/>
      <c r="BT636" s="2"/>
      <c r="BU636" s="2"/>
      <c r="BV636" s="2"/>
      <c r="BW636" s="2"/>
      <c r="BX636" s="2"/>
      <c r="BY636" s="2"/>
      <c r="BZ636" s="2"/>
      <c r="CA636" s="2"/>
      <c r="CB636" s="2"/>
      <c r="CC636" s="2"/>
      <c r="CD636" s="2"/>
      <c r="CE636" s="2"/>
      <c r="CF636" s="2"/>
    </row>
    <row r="637" spans="1:84" ht="12.65" customHeight="1" x14ac:dyDescent="0.35">
      <c r="A637" s="338">
        <v>8560</v>
      </c>
      <c r="B637" s="341" t="s">
        <v>147</v>
      </c>
      <c r="C637" s="2">
        <f>BL71</f>
        <v>5318745.74</v>
      </c>
      <c r="D637" s="2">
        <f>(D615/D612)*BL76</f>
        <v>119107.02263729215</v>
      </c>
      <c r="E637" s="2">
        <f>(E623/E612)*SUM(C637:D637)</f>
        <v>331715.50564143801</v>
      </c>
      <c r="F637" s="2">
        <f>(F624/F612)*BL64</f>
        <v>1469.4084902705499</v>
      </c>
      <c r="G637" s="2">
        <f>(G625/G612)*BL77</f>
        <v>0</v>
      </c>
      <c r="H637" s="2">
        <f>(H628/H612)*BL60</f>
        <v>266051.35464599536</v>
      </c>
      <c r="I637" s="2">
        <f>(I629/I612)*BL78</f>
        <v>41544.370255511436</v>
      </c>
      <c r="J637" s="2">
        <f>(J630/J612)*BL79</f>
        <v>0</v>
      </c>
      <c r="K637" s="2"/>
      <c r="L637" s="2"/>
      <c r="M637" s="2"/>
      <c r="N637" s="323" t="s">
        <v>639</v>
      </c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  <c r="AH637" s="2"/>
      <c r="AI637" s="2"/>
      <c r="AJ637" s="2"/>
      <c r="AK637" s="2"/>
      <c r="AL637" s="2"/>
      <c r="AM637" s="2"/>
      <c r="AN637" s="2"/>
      <c r="AO637" s="2"/>
      <c r="AP637" s="2"/>
      <c r="AQ637" s="2"/>
      <c r="AR637" s="2"/>
      <c r="AS637" s="2"/>
      <c r="AT637" s="2"/>
      <c r="AU637" s="2"/>
      <c r="AV637" s="2"/>
      <c r="AW637" s="2"/>
      <c r="AX637" s="2"/>
      <c r="AY637" s="2"/>
      <c r="AZ637" s="2"/>
      <c r="BA637" s="2"/>
      <c r="BB637" s="2"/>
      <c r="BC637" s="2"/>
      <c r="BD637" s="2"/>
      <c r="BE637" s="2"/>
      <c r="BF637" s="2"/>
      <c r="BG637" s="2"/>
      <c r="BH637" s="2"/>
      <c r="BI637" s="2"/>
      <c r="BJ637" s="2"/>
      <c r="BK637" s="2"/>
      <c r="BL637" s="2"/>
      <c r="BM637" s="2"/>
      <c r="BN637" s="2"/>
      <c r="BO637" s="2"/>
      <c r="BP637" s="2"/>
      <c r="BQ637" s="2"/>
      <c r="BR637" s="2"/>
      <c r="BS637" s="2"/>
      <c r="BT637" s="2"/>
      <c r="BU637" s="2"/>
      <c r="BV637" s="2"/>
      <c r="BW637" s="2"/>
      <c r="BX637" s="2"/>
      <c r="BY637" s="2"/>
      <c r="BZ637" s="2"/>
      <c r="CA637" s="2"/>
      <c r="CB637" s="2"/>
      <c r="CC637" s="2"/>
      <c r="CD637" s="2"/>
      <c r="CE637" s="2"/>
      <c r="CF637" s="2"/>
    </row>
    <row r="638" spans="1:84" ht="12.65" customHeight="1" x14ac:dyDescent="0.35">
      <c r="A638" s="338">
        <v>8590</v>
      </c>
      <c r="B638" s="341" t="s">
        <v>640</v>
      </c>
      <c r="C638" s="2">
        <f>BM71</f>
        <v>4833478.4899999993</v>
      </c>
      <c r="D638" s="2">
        <f>(D615/D612)*BM76</f>
        <v>111214.10217510033</v>
      </c>
      <c r="E638" s="2">
        <f>(E623/E612)*SUM(C638:D638)</f>
        <v>301632.1469247255</v>
      </c>
      <c r="F638" s="2">
        <f>(F624/F612)*BM64</f>
        <v>1021.6231509827554</v>
      </c>
      <c r="G638" s="2">
        <f>(G625/G612)*BM77</f>
        <v>0</v>
      </c>
      <c r="H638" s="2">
        <f>(H628/H612)*BM60</f>
        <v>129926.16906922133</v>
      </c>
      <c r="I638" s="2">
        <f>(I629/I612)*BM78</f>
        <v>38761.493779065691</v>
      </c>
      <c r="J638" s="2">
        <f>(J630/J612)*BM79</f>
        <v>0</v>
      </c>
      <c r="K638" s="2"/>
      <c r="L638" s="2"/>
      <c r="M638" s="2"/>
      <c r="N638" s="323" t="s">
        <v>641</v>
      </c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  <c r="AH638" s="2"/>
      <c r="AI638" s="2"/>
      <c r="AJ638" s="2"/>
      <c r="AK638" s="2"/>
      <c r="AL638" s="2"/>
      <c r="AM638" s="2"/>
      <c r="AN638" s="2"/>
      <c r="AO638" s="2"/>
      <c r="AP638" s="2"/>
      <c r="AQ638" s="2"/>
      <c r="AR638" s="2"/>
      <c r="AS638" s="2"/>
      <c r="AT638" s="2"/>
      <c r="AU638" s="2"/>
      <c r="AV638" s="2"/>
      <c r="AW638" s="2"/>
      <c r="AX638" s="2"/>
      <c r="AY638" s="2"/>
      <c r="AZ638" s="2"/>
      <c r="BA638" s="2"/>
      <c r="BB638" s="2"/>
      <c r="BC638" s="2"/>
      <c r="BD638" s="2"/>
      <c r="BE638" s="2"/>
      <c r="BF638" s="2"/>
      <c r="BG638" s="2"/>
      <c r="BH638" s="2"/>
      <c r="BI638" s="2"/>
      <c r="BJ638" s="2"/>
      <c r="BK638" s="2"/>
      <c r="BL638" s="2"/>
      <c r="BM638" s="2"/>
      <c r="BN638" s="2"/>
      <c r="BO638" s="2"/>
      <c r="BP638" s="2"/>
      <c r="BQ638" s="2"/>
      <c r="BR638" s="2"/>
      <c r="BS638" s="2"/>
      <c r="BT638" s="2"/>
      <c r="BU638" s="2"/>
      <c r="BV638" s="2"/>
      <c r="BW638" s="2"/>
      <c r="BX638" s="2"/>
      <c r="BY638" s="2"/>
      <c r="BZ638" s="2"/>
      <c r="CA638" s="2"/>
      <c r="CB638" s="2"/>
      <c r="CC638" s="2"/>
      <c r="CD638" s="2"/>
      <c r="CE638" s="2"/>
      <c r="CF638" s="2"/>
    </row>
    <row r="639" spans="1:84" ht="12.65" customHeight="1" x14ac:dyDescent="0.35">
      <c r="A639" s="338">
        <v>8660</v>
      </c>
      <c r="B639" s="341" t="s">
        <v>642</v>
      </c>
      <c r="C639" s="2">
        <f>BS71</f>
        <v>208586.09000000008</v>
      </c>
      <c r="D639" s="2">
        <f>(D615/D612)*BS76</f>
        <v>121460.63446186139</v>
      </c>
      <c r="E639" s="2">
        <f>(E623/E612)*SUM(C639:D639)</f>
        <v>20133.24392348378</v>
      </c>
      <c r="F639" s="2">
        <f>(F624/F612)*BS64</f>
        <v>9400.5484847906118</v>
      </c>
      <c r="G639" s="2">
        <f>(G625/G612)*BS77</f>
        <v>0</v>
      </c>
      <c r="H639" s="2">
        <f>(H628/H612)*BS60</f>
        <v>16504.149801392414</v>
      </c>
      <c r="I639" s="2">
        <f>(I629/I612)*BS78</f>
        <v>42339.477820210217</v>
      </c>
      <c r="J639" s="2">
        <f>(J630/J612)*BS79</f>
        <v>0</v>
      </c>
      <c r="K639" s="2"/>
      <c r="L639" s="2"/>
      <c r="M639" s="2"/>
      <c r="N639" s="323" t="s">
        <v>643</v>
      </c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  <c r="AH639" s="2"/>
      <c r="AI639" s="2"/>
      <c r="AJ639" s="2"/>
      <c r="AK639" s="2"/>
      <c r="AL639" s="2"/>
      <c r="AM639" s="2"/>
      <c r="AN639" s="2"/>
      <c r="AO639" s="2"/>
      <c r="AP639" s="2"/>
      <c r="AQ639" s="2"/>
      <c r="AR639" s="2"/>
      <c r="AS639" s="2"/>
      <c r="AT639" s="2"/>
      <c r="AU639" s="2"/>
      <c r="AV639" s="2"/>
      <c r="AW639" s="2"/>
      <c r="AX639" s="2"/>
      <c r="AY639" s="2"/>
      <c r="AZ639" s="2"/>
      <c r="BA639" s="2"/>
      <c r="BB639" s="2"/>
      <c r="BC639" s="2"/>
      <c r="BD639" s="2"/>
      <c r="BE639" s="2"/>
      <c r="BF639" s="2"/>
      <c r="BG639" s="2"/>
      <c r="BH639" s="2"/>
      <c r="BI639" s="2"/>
      <c r="BJ639" s="2"/>
      <c r="BK639" s="2"/>
      <c r="BL639" s="2"/>
      <c r="BM639" s="2"/>
      <c r="BN639" s="2"/>
      <c r="BO639" s="2"/>
      <c r="BP639" s="2"/>
      <c r="BQ639" s="2"/>
      <c r="BR639" s="2"/>
      <c r="BS639" s="2"/>
      <c r="BT639" s="2"/>
      <c r="BU639" s="2"/>
      <c r="BV639" s="2"/>
      <c r="BW639" s="2"/>
      <c r="BX639" s="2"/>
      <c r="BY639" s="2"/>
      <c r="BZ639" s="2"/>
      <c r="CA639" s="2"/>
      <c r="CB639" s="2"/>
      <c r="CC639" s="2"/>
      <c r="CD639" s="2"/>
      <c r="CE639" s="2"/>
      <c r="CF639" s="2"/>
    </row>
    <row r="640" spans="1:84" ht="12.65" customHeight="1" x14ac:dyDescent="0.35">
      <c r="A640" s="338">
        <v>8670</v>
      </c>
      <c r="B640" s="341" t="s">
        <v>644</v>
      </c>
      <c r="C640" s="2">
        <f>BT71</f>
        <v>204493.85000000003</v>
      </c>
      <c r="D640" s="2">
        <f>(D615/D612)*BT76</f>
        <v>22513.842402697737</v>
      </c>
      <c r="E640" s="2">
        <f>(E623/E612)*SUM(C640:D640)</f>
        <v>13847.740046815168</v>
      </c>
      <c r="F640" s="2">
        <f>(F624/F612)*BT64</f>
        <v>20.272115635561146</v>
      </c>
      <c r="G640" s="2">
        <f>(G625/G612)*BT77</f>
        <v>0</v>
      </c>
      <c r="H640" s="2">
        <f>(H628/H612)*BT60</f>
        <v>6428.294552711136</v>
      </c>
      <c r="I640" s="2">
        <f>(I629/I612)*BT78</f>
        <v>7818.5577195380374</v>
      </c>
      <c r="J640" s="2">
        <f>(J630/J612)*BT79</f>
        <v>0</v>
      </c>
      <c r="K640" s="2"/>
      <c r="L640" s="2"/>
      <c r="M640" s="2"/>
      <c r="N640" s="323" t="s">
        <v>645</v>
      </c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  <c r="AH640" s="2"/>
      <c r="AI640" s="2"/>
      <c r="AJ640" s="2"/>
      <c r="AK640" s="2"/>
      <c r="AL640" s="2"/>
      <c r="AM640" s="2"/>
      <c r="AN640" s="2"/>
      <c r="AO640" s="2"/>
      <c r="AP640" s="2"/>
      <c r="AQ640" s="2"/>
      <c r="AR640" s="2"/>
      <c r="AS640" s="2"/>
      <c r="AT640" s="2"/>
      <c r="AU640" s="2"/>
      <c r="AV640" s="2"/>
      <c r="AW640" s="2"/>
      <c r="AX640" s="2"/>
      <c r="AY640" s="2"/>
      <c r="AZ640" s="2"/>
      <c r="BA640" s="2"/>
      <c r="BB640" s="2"/>
      <c r="BC640" s="2"/>
      <c r="BD640" s="2"/>
      <c r="BE640" s="2"/>
      <c r="BF640" s="2"/>
      <c r="BG640" s="2"/>
      <c r="BH640" s="2"/>
      <c r="BI640" s="2"/>
      <c r="BJ640" s="2"/>
      <c r="BK640" s="2"/>
      <c r="BL640" s="2"/>
      <c r="BM640" s="2"/>
      <c r="BN640" s="2"/>
      <c r="BO640" s="2"/>
      <c r="BP640" s="2"/>
      <c r="BQ640" s="2"/>
      <c r="BR640" s="2"/>
      <c r="BS640" s="2"/>
      <c r="BT640" s="2"/>
      <c r="BU640" s="2"/>
      <c r="BV640" s="2"/>
      <c r="BW640" s="2"/>
      <c r="BX640" s="2"/>
      <c r="BY640" s="2"/>
      <c r="BZ640" s="2"/>
      <c r="CA640" s="2"/>
      <c r="CB640" s="2"/>
      <c r="CC640" s="2"/>
      <c r="CD640" s="2"/>
      <c r="CE640" s="2"/>
      <c r="CF640" s="2"/>
    </row>
    <row r="641" spans="1:84" ht="12.65" customHeight="1" x14ac:dyDescent="0.35">
      <c r="A641" s="338">
        <v>8680</v>
      </c>
      <c r="B641" s="341" t="s">
        <v>646</v>
      </c>
      <c r="C641" s="2">
        <f>BU71</f>
        <v>278655.23000000004</v>
      </c>
      <c r="D641" s="2">
        <f>(D615/D612)*BU76</f>
        <v>0</v>
      </c>
      <c r="E641" s="2">
        <f>(E623/E612)*SUM(C641:D641)</f>
        <v>16998.301453504551</v>
      </c>
      <c r="F641" s="2">
        <f>(F624/F612)*BU64</f>
        <v>0</v>
      </c>
      <c r="G641" s="2">
        <f>(G625/G612)*BU77</f>
        <v>0</v>
      </c>
      <c r="H641" s="2">
        <f>(H628/H612)*BU60</f>
        <v>0</v>
      </c>
      <c r="I641" s="2">
        <f>(I629/I612)*BU78</f>
        <v>0</v>
      </c>
      <c r="J641" s="2">
        <f>(J630/J612)*BU79</f>
        <v>0</v>
      </c>
      <c r="K641" s="2"/>
      <c r="L641" s="2"/>
      <c r="M641" s="2"/>
      <c r="N641" s="323" t="s">
        <v>647</v>
      </c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  <c r="AH641" s="2"/>
      <c r="AI641" s="2"/>
      <c r="AJ641" s="2"/>
      <c r="AK641" s="2"/>
      <c r="AL641" s="2"/>
      <c r="AM641" s="2"/>
      <c r="AN641" s="2"/>
      <c r="AO641" s="2"/>
      <c r="AP641" s="2"/>
      <c r="AQ641" s="2"/>
      <c r="AR641" s="2"/>
      <c r="AS641" s="2"/>
      <c r="AT641" s="2"/>
      <c r="AU641" s="2"/>
      <c r="AV641" s="2"/>
      <c r="AW641" s="2"/>
      <c r="AX641" s="2"/>
      <c r="AY641" s="2"/>
      <c r="AZ641" s="2"/>
      <c r="BA641" s="2"/>
      <c r="BB641" s="2"/>
      <c r="BC641" s="2"/>
      <c r="BD641" s="2"/>
      <c r="BE641" s="2"/>
      <c r="BF641" s="2"/>
      <c r="BG641" s="2"/>
      <c r="BH641" s="2"/>
      <c r="BI641" s="2"/>
      <c r="BJ641" s="2"/>
      <c r="BK641" s="2"/>
      <c r="BL641" s="2"/>
      <c r="BM641" s="2"/>
      <c r="BN641" s="2"/>
      <c r="BO641" s="2"/>
      <c r="BP641" s="2"/>
      <c r="BQ641" s="2"/>
      <c r="BR641" s="2"/>
      <c r="BS641" s="2"/>
      <c r="BT641" s="2"/>
      <c r="BU641" s="2"/>
      <c r="BV641" s="2"/>
      <c r="BW641" s="2"/>
      <c r="BX641" s="2"/>
      <c r="BY641" s="2"/>
      <c r="BZ641" s="2"/>
      <c r="CA641" s="2"/>
      <c r="CB641" s="2"/>
      <c r="CC641" s="2"/>
      <c r="CD641" s="2"/>
      <c r="CE641" s="2"/>
      <c r="CF641" s="2"/>
    </row>
    <row r="642" spans="1:84" ht="12.65" customHeight="1" x14ac:dyDescent="0.35">
      <c r="A642" s="338">
        <v>8690</v>
      </c>
      <c r="B642" s="341" t="s">
        <v>648</v>
      </c>
      <c r="C642" s="2">
        <f>BV71</f>
        <v>6068270.3199999994</v>
      </c>
      <c r="D642" s="2">
        <f>(D615/D612)*BV76</f>
        <v>408767.69405700621</v>
      </c>
      <c r="E642" s="2">
        <f>(E623/E612)*SUM(C642:D642)</f>
        <v>395107.04568060476</v>
      </c>
      <c r="F642" s="2">
        <f>(F624/F612)*BV64</f>
        <v>423.60817619058594</v>
      </c>
      <c r="G642" s="2">
        <f>(G625/G612)*BV77</f>
        <v>0</v>
      </c>
      <c r="H642" s="2">
        <f>(H628/H612)*BV60</f>
        <v>194296.85131143688</v>
      </c>
      <c r="I642" s="2">
        <f>(I629/I612)*BV78</f>
        <v>142456.77200853205</v>
      </c>
      <c r="J642" s="2">
        <f>(J630/J612)*BV79</f>
        <v>0</v>
      </c>
      <c r="K642" s="2"/>
      <c r="L642" s="2"/>
      <c r="M642" s="2"/>
      <c r="N642" s="323" t="s">
        <v>649</v>
      </c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  <c r="AH642" s="2"/>
      <c r="AI642" s="2"/>
      <c r="AJ642" s="2"/>
      <c r="AK642" s="2"/>
      <c r="AL642" s="2"/>
      <c r="AM642" s="2"/>
      <c r="AN642" s="2"/>
      <c r="AO642" s="2"/>
      <c r="AP642" s="2"/>
      <c r="AQ642" s="2"/>
      <c r="AR642" s="2"/>
      <c r="AS642" s="2"/>
      <c r="AT642" s="2"/>
      <c r="AU642" s="2"/>
      <c r="AV642" s="2"/>
      <c r="AW642" s="2"/>
      <c r="AX642" s="2"/>
      <c r="AY642" s="2"/>
      <c r="AZ642" s="2"/>
      <c r="BA642" s="2"/>
      <c r="BB642" s="2"/>
      <c r="BC642" s="2"/>
      <c r="BD642" s="2"/>
      <c r="BE642" s="2"/>
      <c r="BF642" s="2"/>
      <c r="BG642" s="2"/>
      <c r="BH642" s="2"/>
      <c r="BI642" s="2"/>
      <c r="BJ642" s="2"/>
      <c r="BK642" s="2"/>
      <c r="BL642" s="2"/>
      <c r="BM642" s="2"/>
      <c r="BN642" s="2"/>
      <c r="BO642" s="2"/>
      <c r="BP642" s="2"/>
      <c r="BQ642" s="2"/>
      <c r="BR642" s="2"/>
      <c r="BS642" s="2"/>
      <c r="BT642" s="2"/>
      <c r="BU642" s="2"/>
      <c r="BV642" s="2"/>
      <c r="BW642" s="2"/>
      <c r="BX642" s="2"/>
      <c r="BY642" s="2"/>
      <c r="BZ642" s="2"/>
      <c r="CA642" s="2"/>
      <c r="CB642" s="2"/>
      <c r="CC642" s="2"/>
      <c r="CD642" s="2"/>
      <c r="CE642" s="2"/>
      <c r="CF642" s="2"/>
    </row>
    <row r="643" spans="1:84" ht="12.65" customHeight="1" x14ac:dyDescent="0.35">
      <c r="A643" s="338">
        <v>8700</v>
      </c>
      <c r="B643" s="341" t="s">
        <v>650</v>
      </c>
      <c r="C643" s="2">
        <f>BW71</f>
        <v>3555395.4699999993</v>
      </c>
      <c r="D643" s="2">
        <f>(D615/D612)*BW76</f>
        <v>81924.710580460829</v>
      </c>
      <c r="E643" s="2">
        <f>(E623/E612)*SUM(C643:D643)</f>
        <v>221880.87017933332</v>
      </c>
      <c r="F643" s="2">
        <f>(F624/F612)*BW64</f>
        <v>334.14583267962865</v>
      </c>
      <c r="G643" s="2">
        <f>(G625/G612)*BW77</f>
        <v>0</v>
      </c>
      <c r="H643" s="2">
        <f>(H628/H612)*BW60</f>
        <v>28389.59449652375</v>
      </c>
      <c r="I643" s="2">
        <f>(I629/I612)*BW78</f>
        <v>28557.613365431305</v>
      </c>
      <c r="J643" s="2">
        <f>(J630/J612)*BW79</f>
        <v>0</v>
      </c>
      <c r="K643" s="2"/>
      <c r="L643" s="2"/>
      <c r="M643" s="2"/>
      <c r="N643" s="323" t="s">
        <v>651</v>
      </c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  <c r="AH643" s="2"/>
      <c r="AI643" s="2"/>
      <c r="AJ643" s="2"/>
      <c r="AK643" s="2"/>
      <c r="AL643" s="2"/>
      <c r="AM643" s="2"/>
      <c r="AN643" s="2"/>
      <c r="AO643" s="2"/>
      <c r="AP643" s="2"/>
      <c r="AQ643" s="2"/>
      <c r="AR643" s="2"/>
      <c r="AS643" s="2"/>
      <c r="AT643" s="2"/>
      <c r="AU643" s="2"/>
      <c r="AV643" s="2"/>
      <c r="AW643" s="2"/>
      <c r="AX643" s="2"/>
      <c r="AY643" s="2"/>
      <c r="AZ643" s="2"/>
      <c r="BA643" s="2"/>
      <c r="BB643" s="2"/>
      <c r="BC643" s="2"/>
      <c r="BD643" s="2"/>
      <c r="BE643" s="2"/>
      <c r="BF643" s="2"/>
      <c r="BG643" s="2"/>
      <c r="BH643" s="2"/>
      <c r="BI643" s="2"/>
      <c r="BJ643" s="2"/>
      <c r="BK643" s="2"/>
      <c r="BL643" s="2"/>
      <c r="BM643" s="2"/>
      <c r="BN643" s="2"/>
      <c r="BO643" s="2"/>
      <c r="BP643" s="2"/>
      <c r="BQ643" s="2"/>
      <c r="BR643" s="2"/>
      <c r="BS643" s="2"/>
      <c r="BT643" s="2"/>
      <c r="BU643" s="2"/>
      <c r="BV643" s="2"/>
      <c r="BW643" s="2"/>
      <c r="BX643" s="2"/>
      <c r="BY643" s="2"/>
      <c r="BZ643" s="2"/>
      <c r="CA643" s="2"/>
      <c r="CB643" s="2"/>
      <c r="CC643" s="2"/>
      <c r="CD643" s="2"/>
      <c r="CE643" s="2"/>
      <c r="CF643" s="2"/>
    </row>
    <row r="644" spans="1:84" ht="12.65" customHeight="1" x14ac:dyDescent="0.35">
      <c r="A644" s="338">
        <v>8710</v>
      </c>
      <c r="B644" s="341" t="s">
        <v>652</v>
      </c>
      <c r="C644" s="2">
        <f>BX71</f>
        <v>7126403.6299999999</v>
      </c>
      <c r="D644" s="2">
        <f>(D615/D612)*BX76</f>
        <v>84373.417832285399</v>
      </c>
      <c r="E644" s="2">
        <f>(E623/E612)*SUM(C644:D644)</f>
        <v>439866.00205947965</v>
      </c>
      <c r="F644" s="2">
        <f>(F624/F612)*BX64</f>
        <v>1075.9359218532595</v>
      </c>
      <c r="G644" s="2">
        <f>(G625/G612)*BX77</f>
        <v>0</v>
      </c>
      <c r="H644" s="2">
        <f>(H628/H612)*BX60</f>
        <v>187486.25159522553</v>
      </c>
      <c r="I644" s="2">
        <f>(I629/I612)*BX78</f>
        <v>29418.979893854987</v>
      </c>
      <c r="J644" s="2">
        <f>(J630/J612)*BX79</f>
        <v>0</v>
      </c>
      <c r="K644" s="2">
        <f>SUM(C631:J644)</f>
        <v>94533261.123110041</v>
      </c>
      <c r="L644" s="2"/>
      <c r="M644" s="2"/>
      <c r="N644" s="323" t="s">
        <v>653</v>
      </c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  <c r="AG644" s="2"/>
      <c r="AH644" s="2"/>
      <c r="AI644" s="2"/>
      <c r="AJ644" s="2"/>
      <c r="AK644" s="2"/>
      <c r="AL644" s="2"/>
      <c r="AM644" s="2"/>
      <c r="AN644" s="2"/>
      <c r="AO644" s="2"/>
      <c r="AP644" s="2"/>
      <c r="AQ644" s="2"/>
      <c r="AR644" s="2"/>
      <c r="AS644" s="2"/>
      <c r="AT644" s="2"/>
      <c r="AU644" s="2"/>
      <c r="AV644" s="2"/>
      <c r="AW644" s="2"/>
      <c r="AX644" s="2"/>
      <c r="AY644" s="2"/>
      <c r="AZ644" s="2"/>
      <c r="BA644" s="2"/>
      <c r="BB644" s="2"/>
      <c r="BC644" s="2"/>
      <c r="BD644" s="2"/>
      <c r="BE644" s="2"/>
      <c r="BF644" s="2"/>
      <c r="BG644" s="2"/>
      <c r="BH644" s="2"/>
      <c r="BI644" s="2"/>
      <c r="BJ644" s="2"/>
      <c r="BK644" s="2"/>
      <c r="BL644" s="2"/>
      <c r="BM644" s="2"/>
      <c r="BN644" s="2"/>
      <c r="BO644" s="2"/>
      <c r="BP644" s="2"/>
      <c r="BQ644" s="2"/>
      <c r="BR644" s="2"/>
      <c r="BS644" s="2"/>
      <c r="BT644" s="2"/>
      <c r="BU644" s="2"/>
      <c r="BV644" s="2"/>
      <c r="BW644" s="2"/>
      <c r="BX644" s="2"/>
      <c r="BY644" s="2"/>
      <c r="BZ644" s="2"/>
      <c r="CA644" s="2"/>
      <c r="CB644" s="2"/>
      <c r="CC644" s="2"/>
      <c r="CD644" s="2"/>
      <c r="CE644" s="2"/>
      <c r="CF644" s="2"/>
    </row>
    <row r="645" spans="1:84" ht="12.65" customHeight="1" x14ac:dyDescent="0.35">
      <c r="A645" s="338">
        <v>8720</v>
      </c>
      <c r="B645" s="341" t="s">
        <v>654</v>
      </c>
      <c r="C645" s="2">
        <f>BY71</f>
        <v>1880918.0799999998</v>
      </c>
      <c r="D645" s="2">
        <f>(D615/D612)*BY76</f>
        <v>31357.717137442785</v>
      </c>
      <c r="E645" s="2">
        <f>(E623/E612)*SUM(C645:D645)</f>
        <v>116651.10488679132</v>
      </c>
      <c r="F645" s="2">
        <f>(F624/F612)*BY64</f>
        <v>220.0713955376506</v>
      </c>
      <c r="G645" s="2">
        <f>(G625/G612)*BY77</f>
        <v>0</v>
      </c>
      <c r="H645" s="2">
        <f>(H628/H612)*BY60</f>
        <v>44118.225973807399</v>
      </c>
      <c r="I645" s="2">
        <f>(I629/I612)*BY78</f>
        <v>10932.729014608272</v>
      </c>
      <c r="J645" s="2">
        <f>(J630/J612)*BY79</f>
        <v>0</v>
      </c>
      <c r="K645" s="2">
        <v>0</v>
      </c>
      <c r="L645" s="2"/>
      <c r="M645" s="2"/>
      <c r="N645" s="323" t="s">
        <v>655</v>
      </c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  <c r="AH645" s="2"/>
      <c r="AI645" s="2"/>
      <c r="AJ645" s="2"/>
      <c r="AK645" s="2"/>
      <c r="AL645" s="2"/>
      <c r="AM645" s="2"/>
      <c r="AN645" s="2"/>
      <c r="AO645" s="2"/>
      <c r="AP645" s="2"/>
      <c r="AQ645" s="2"/>
      <c r="AR645" s="2"/>
      <c r="AS645" s="2"/>
      <c r="AT645" s="2"/>
      <c r="AU645" s="2"/>
      <c r="AV645" s="2"/>
      <c r="AW645" s="2"/>
      <c r="AX645" s="2"/>
      <c r="AY645" s="2"/>
      <c r="AZ645" s="2"/>
      <c r="BA645" s="2"/>
      <c r="BB645" s="2"/>
      <c r="BC645" s="2"/>
      <c r="BD645" s="2"/>
      <c r="BE645" s="2"/>
      <c r="BF645" s="2"/>
      <c r="BG645" s="2"/>
      <c r="BH645" s="2"/>
      <c r="BI645" s="2"/>
      <c r="BJ645" s="2"/>
      <c r="BK645" s="2"/>
      <c r="BL645" s="2"/>
      <c r="BM645" s="2"/>
      <c r="BN645" s="2"/>
      <c r="BO645" s="2"/>
      <c r="BP645" s="2"/>
      <c r="BQ645" s="2"/>
      <c r="BR645" s="2"/>
      <c r="BS645" s="2"/>
      <c r="BT645" s="2"/>
      <c r="BU645" s="2"/>
      <c r="BV645" s="2"/>
      <c r="BW645" s="2"/>
      <c r="BX645" s="2"/>
      <c r="BY645" s="2"/>
      <c r="BZ645" s="2"/>
      <c r="CA645" s="2"/>
      <c r="CB645" s="2"/>
      <c r="CC645" s="2"/>
      <c r="CD645" s="2"/>
      <c r="CE645" s="2"/>
      <c r="CF645" s="2"/>
    </row>
    <row r="646" spans="1:84" ht="12.65" customHeight="1" x14ac:dyDescent="0.35">
      <c r="A646" s="338">
        <v>8730</v>
      </c>
      <c r="B646" s="341" t="s">
        <v>656</v>
      </c>
      <c r="C646" s="2">
        <f>BZ71</f>
        <v>5449476.1699999999</v>
      </c>
      <c r="D646" s="2">
        <f>(D615/D612)*BZ76</f>
        <v>0</v>
      </c>
      <c r="E646" s="2">
        <f>(E623/E612)*SUM(C646:D646)</f>
        <v>332424.54735677992</v>
      </c>
      <c r="F646" s="2">
        <f>(F624/F612)*BZ64</f>
        <v>484.03001104833072</v>
      </c>
      <c r="G646" s="2">
        <f>(G625/G612)*BZ77</f>
        <v>0</v>
      </c>
      <c r="H646" s="2">
        <f>(H628/H612)*BZ60</f>
        <v>164817.82279232051</v>
      </c>
      <c r="I646" s="2">
        <f>(I629/I612)*BZ78</f>
        <v>0</v>
      </c>
      <c r="J646" s="2">
        <f>(J630/J612)*BZ79</f>
        <v>0</v>
      </c>
      <c r="K646" s="2">
        <v>0</v>
      </c>
      <c r="L646" s="2"/>
      <c r="M646" s="2"/>
      <c r="N646" s="323" t="s">
        <v>657</v>
      </c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  <c r="AH646" s="2"/>
      <c r="AI646" s="2"/>
      <c r="AJ646" s="2"/>
      <c r="AK646" s="2"/>
      <c r="AL646" s="2"/>
      <c r="AM646" s="2"/>
      <c r="AN646" s="2"/>
      <c r="AO646" s="2"/>
      <c r="AP646" s="2"/>
      <c r="AQ646" s="2"/>
      <c r="AR646" s="2"/>
      <c r="AS646" s="2"/>
      <c r="AT646" s="2"/>
      <c r="AU646" s="2"/>
      <c r="AV646" s="2"/>
      <c r="AW646" s="2"/>
      <c r="AX646" s="2"/>
      <c r="AY646" s="2"/>
      <c r="AZ646" s="2"/>
      <c r="BA646" s="2"/>
      <c r="BB646" s="2"/>
      <c r="BC646" s="2"/>
      <c r="BD646" s="2"/>
      <c r="BE646" s="2"/>
      <c r="BF646" s="2"/>
      <c r="BG646" s="2"/>
      <c r="BH646" s="2"/>
      <c r="BI646" s="2"/>
      <c r="BJ646" s="2"/>
      <c r="BK646" s="2"/>
      <c r="BL646" s="2"/>
      <c r="BM646" s="2"/>
      <c r="BN646" s="2"/>
      <c r="BO646" s="2"/>
      <c r="BP646" s="2"/>
      <c r="BQ646" s="2"/>
      <c r="BR646" s="2"/>
      <c r="BS646" s="2"/>
      <c r="BT646" s="2"/>
      <c r="BU646" s="2"/>
      <c r="BV646" s="2"/>
      <c r="BW646" s="2"/>
      <c r="BX646" s="2"/>
      <c r="BY646" s="2"/>
      <c r="BZ646" s="2"/>
      <c r="CA646" s="2"/>
      <c r="CB646" s="2"/>
      <c r="CC646" s="2"/>
      <c r="CD646" s="2"/>
      <c r="CE646" s="2"/>
      <c r="CF646" s="2"/>
    </row>
    <row r="647" spans="1:84" ht="12.65" customHeight="1" x14ac:dyDescent="0.35">
      <c r="A647" s="338">
        <v>8740</v>
      </c>
      <c r="B647" s="341" t="s">
        <v>658</v>
      </c>
      <c r="C647" s="2">
        <f>CA71</f>
        <v>2703403.01</v>
      </c>
      <c r="D647" s="2">
        <f>(D615/D612)*CA76</f>
        <v>132444.15630985121</v>
      </c>
      <c r="E647" s="2">
        <f>(E623/E612)*SUM(C647:D647)</f>
        <v>172990.06018656641</v>
      </c>
      <c r="F647" s="2">
        <f>(F624/F612)*CA64</f>
        <v>7722.2517373784149</v>
      </c>
      <c r="G647" s="2">
        <f>(G625/G612)*CA77</f>
        <v>0</v>
      </c>
      <c r="H647" s="2">
        <f>(H628/H612)*CA60</f>
        <v>54040.301224731753</v>
      </c>
      <c r="I647" s="2">
        <f>(I629/I612)*CA78</f>
        <v>46182.497716254336</v>
      </c>
      <c r="J647" s="2">
        <f>(J630/J612)*CA79</f>
        <v>0</v>
      </c>
      <c r="K647" s="2">
        <v>0</v>
      </c>
      <c r="L647" s="2">
        <f>SUM(C645:K647)</f>
        <v>11148182.775743116</v>
      </c>
      <c r="M647" s="2"/>
      <c r="N647" s="323" t="s">
        <v>659</v>
      </c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  <c r="AH647" s="2"/>
      <c r="AI647" s="2"/>
      <c r="AJ647" s="2"/>
      <c r="AK647" s="2"/>
      <c r="AL647" s="2"/>
      <c r="AM647" s="2"/>
      <c r="AN647" s="2"/>
      <c r="AO647" s="2"/>
      <c r="AP647" s="2"/>
      <c r="AQ647" s="2"/>
      <c r="AR647" s="2"/>
      <c r="AS647" s="2"/>
      <c r="AT647" s="2"/>
      <c r="AU647" s="2"/>
      <c r="AV647" s="2"/>
      <c r="AW647" s="2"/>
      <c r="AX647" s="2"/>
      <c r="AY647" s="2"/>
      <c r="AZ647" s="2"/>
      <c r="BA647" s="2"/>
      <c r="BB647" s="2"/>
      <c r="BC647" s="2"/>
      <c r="BD647" s="2"/>
      <c r="BE647" s="2"/>
      <c r="BF647" s="2"/>
      <c r="BG647" s="2"/>
      <c r="BH647" s="2"/>
      <c r="BI647" s="2"/>
      <c r="BJ647" s="2"/>
      <c r="BK647" s="2"/>
      <c r="BL647" s="2"/>
      <c r="BM647" s="2"/>
      <c r="BN647" s="2"/>
      <c r="BO647" s="2"/>
      <c r="BP647" s="2"/>
      <c r="BQ647" s="2"/>
      <c r="BR647" s="2"/>
      <c r="BS647" s="2"/>
      <c r="BT647" s="2"/>
      <c r="BU647" s="2"/>
      <c r="BV647" s="2"/>
      <c r="BW647" s="2"/>
      <c r="BX647" s="2"/>
      <c r="BY647" s="2"/>
      <c r="BZ647" s="2"/>
      <c r="CA647" s="2"/>
      <c r="CB647" s="2"/>
      <c r="CC647" s="2"/>
      <c r="CD647" s="2"/>
      <c r="CE647" s="2"/>
      <c r="CF647" s="2"/>
    </row>
    <row r="648" spans="1:84" ht="12.65" customHeight="1" x14ac:dyDescent="0.35">
      <c r="A648" s="338"/>
      <c r="B648" s="338"/>
      <c r="C648" s="2">
        <f>SUM(C614:C647)</f>
        <v>176081018.77999997</v>
      </c>
      <c r="D648" s="2"/>
      <c r="E648" s="2"/>
      <c r="F648" s="2"/>
      <c r="G648" s="2"/>
      <c r="H648" s="2"/>
      <c r="I648" s="2"/>
      <c r="J648" s="2"/>
      <c r="K648" s="2"/>
      <c r="L648" s="340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  <c r="AH648" s="2"/>
      <c r="AI648" s="2"/>
      <c r="AJ648" s="2"/>
      <c r="AK648" s="2"/>
      <c r="AL648" s="2"/>
      <c r="AM648" s="2"/>
      <c r="AN648" s="2"/>
      <c r="AO648" s="2"/>
      <c r="AP648" s="2"/>
      <c r="AQ648" s="2"/>
      <c r="AR648" s="2"/>
      <c r="AS648" s="2"/>
      <c r="AT648" s="2"/>
      <c r="AU648" s="2"/>
      <c r="AV648" s="2"/>
      <c r="AW648" s="2"/>
      <c r="AX648" s="2"/>
      <c r="AY648" s="2"/>
      <c r="AZ648" s="2"/>
      <c r="BA648" s="2"/>
      <c r="BB648" s="2"/>
      <c r="BC648" s="2"/>
      <c r="BD648" s="2"/>
      <c r="BE648" s="2"/>
      <c r="BF648" s="2"/>
      <c r="BG648" s="2"/>
      <c r="BH648" s="2"/>
      <c r="BI648" s="2"/>
      <c r="BJ648" s="2"/>
      <c r="BK648" s="2"/>
      <c r="BL648" s="2"/>
      <c r="BM648" s="2"/>
      <c r="BN648" s="2"/>
      <c r="BO648" s="2"/>
      <c r="BP648" s="2"/>
      <c r="BQ648" s="2"/>
      <c r="BR648" s="2"/>
      <c r="BS648" s="2"/>
      <c r="BT648" s="2"/>
      <c r="BU648" s="2"/>
      <c r="BV648" s="2"/>
      <c r="BW648" s="2"/>
      <c r="BX648" s="2"/>
      <c r="BY648" s="2"/>
      <c r="BZ648" s="2"/>
      <c r="CA648" s="2"/>
      <c r="CB648" s="2"/>
      <c r="CC648" s="2"/>
      <c r="CD648" s="2"/>
      <c r="CE648" s="2"/>
      <c r="CF648" s="2"/>
    </row>
    <row r="649" spans="1:84" ht="12.65" customHeight="1" x14ac:dyDescent="0.3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  <c r="AH649" s="2"/>
      <c r="AI649" s="2"/>
      <c r="AJ649" s="2"/>
      <c r="AK649" s="2"/>
      <c r="AL649" s="2"/>
      <c r="AM649" s="2"/>
      <c r="AN649" s="2"/>
      <c r="AO649" s="2"/>
      <c r="AP649" s="2"/>
      <c r="AQ649" s="2"/>
      <c r="AR649" s="2"/>
      <c r="AS649" s="2"/>
      <c r="AT649" s="2"/>
      <c r="AU649" s="2"/>
      <c r="AV649" s="2"/>
      <c r="AW649" s="2"/>
      <c r="AX649" s="2"/>
      <c r="AY649" s="2"/>
      <c r="AZ649" s="2"/>
      <c r="BA649" s="2"/>
      <c r="BB649" s="2"/>
      <c r="BC649" s="2"/>
      <c r="BD649" s="2"/>
      <c r="BE649" s="2"/>
      <c r="BF649" s="2"/>
      <c r="BG649" s="2"/>
      <c r="BH649" s="2"/>
      <c r="BI649" s="2"/>
      <c r="BJ649" s="2"/>
      <c r="BK649" s="2"/>
      <c r="BL649" s="2"/>
      <c r="BM649" s="2"/>
      <c r="BN649" s="2"/>
      <c r="BO649" s="2"/>
      <c r="BP649" s="2"/>
      <c r="BQ649" s="2"/>
      <c r="BR649" s="2"/>
      <c r="BS649" s="2"/>
      <c r="BT649" s="2"/>
      <c r="BU649" s="2"/>
      <c r="BV649" s="2"/>
      <c r="BW649" s="2"/>
      <c r="BX649" s="2"/>
      <c r="BY649" s="2"/>
      <c r="BZ649" s="2"/>
      <c r="CA649" s="2"/>
      <c r="CB649" s="2"/>
      <c r="CC649" s="2"/>
      <c r="CD649" s="2"/>
      <c r="CE649" s="2"/>
      <c r="CF649" s="2"/>
    </row>
    <row r="650" spans="1:84" ht="12.65" customHeight="1" x14ac:dyDescent="0.3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  <c r="AH650" s="2"/>
      <c r="AI650" s="2"/>
      <c r="AJ650" s="2"/>
      <c r="AK650" s="2"/>
      <c r="AL650" s="2"/>
      <c r="AM650" s="2"/>
      <c r="AN650" s="2"/>
      <c r="AO650" s="2"/>
      <c r="AP650" s="2"/>
      <c r="AQ650" s="2"/>
      <c r="AR650" s="2"/>
      <c r="AS650" s="2"/>
      <c r="AT650" s="2"/>
      <c r="AU650" s="2"/>
      <c r="AV650" s="2"/>
      <c r="AW650" s="2"/>
      <c r="AX650" s="2"/>
      <c r="AY650" s="2"/>
      <c r="AZ650" s="2"/>
      <c r="BA650" s="2"/>
      <c r="BB650" s="2"/>
      <c r="BC650" s="2"/>
      <c r="BD650" s="2"/>
      <c r="BE650" s="2"/>
      <c r="BF650" s="2"/>
      <c r="BG650" s="2"/>
      <c r="BH650" s="2"/>
      <c r="BI650" s="2"/>
      <c r="BJ650" s="2"/>
      <c r="BK650" s="2"/>
      <c r="BL650" s="2"/>
      <c r="BM650" s="2"/>
      <c r="BN650" s="2"/>
      <c r="BO650" s="2"/>
      <c r="BP650" s="2"/>
      <c r="BQ650" s="2"/>
      <c r="BR650" s="2"/>
      <c r="BS650" s="2"/>
      <c r="BT650" s="2"/>
      <c r="BU650" s="2"/>
      <c r="BV650" s="2"/>
      <c r="BW650" s="2"/>
      <c r="BX650" s="2"/>
      <c r="BY650" s="2"/>
      <c r="BZ650" s="2"/>
      <c r="CA650" s="2"/>
      <c r="CB650" s="2"/>
      <c r="CC650" s="2"/>
      <c r="CD650" s="2"/>
      <c r="CE650" s="2"/>
      <c r="CF650" s="2"/>
    </row>
    <row r="651" spans="1:84" ht="12.65" customHeight="1" x14ac:dyDescent="0.3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  <c r="AH651" s="2"/>
      <c r="AI651" s="2"/>
      <c r="AJ651" s="2"/>
      <c r="AK651" s="2"/>
      <c r="AL651" s="2"/>
      <c r="AM651" s="2"/>
      <c r="AN651" s="2"/>
      <c r="AO651" s="2"/>
      <c r="AP651" s="2"/>
      <c r="AQ651" s="2"/>
      <c r="AR651" s="2"/>
      <c r="AS651" s="2"/>
      <c r="AT651" s="2"/>
      <c r="AU651" s="2"/>
      <c r="AV651" s="2"/>
      <c r="AW651" s="2"/>
      <c r="AX651" s="2"/>
      <c r="AY651" s="2"/>
      <c r="AZ651" s="2"/>
      <c r="BA651" s="2"/>
      <c r="BB651" s="2"/>
      <c r="BC651" s="2"/>
      <c r="BD651" s="2"/>
      <c r="BE651" s="2"/>
      <c r="BF651" s="2"/>
      <c r="BG651" s="2"/>
      <c r="BH651" s="2"/>
      <c r="BI651" s="2"/>
      <c r="BJ651" s="2"/>
      <c r="BK651" s="2"/>
      <c r="BL651" s="2"/>
      <c r="BM651" s="2"/>
      <c r="BN651" s="2"/>
      <c r="BO651" s="2"/>
      <c r="BP651" s="2"/>
      <c r="BQ651" s="2"/>
      <c r="BR651" s="2"/>
      <c r="BS651" s="2"/>
      <c r="BT651" s="2"/>
      <c r="BU651" s="2"/>
      <c r="BV651" s="2"/>
      <c r="BW651" s="2"/>
      <c r="BX651" s="2"/>
      <c r="BY651" s="2"/>
      <c r="BZ651" s="2"/>
      <c r="CA651" s="2"/>
      <c r="CB651" s="2"/>
      <c r="CC651" s="2"/>
      <c r="CD651" s="2"/>
      <c r="CE651" s="2"/>
      <c r="CF651" s="2"/>
    </row>
    <row r="652" spans="1:84" ht="12.65" customHeight="1" x14ac:dyDescent="0.3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  <c r="AH652" s="2"/>
      <c r="AI652" s="2"/>
      <c r="AJ652" s="2"/>
      <c r="AK652" s="2"/>
      <c r="AL652" s="2"/>
      <c r="AM652" s="2"/>
      <c r="AN652" s="2"/>
      <c r="AO652" s="2"/>
      <c r="AP652" s="2"/>
      <c r="AQ652" s="2"/>
      <c r="AR652" s="2"/>
      <c r="AS652" s="2"/>
      <c r="AT652" s="2"/>
      <c r="AU652" s="2"/>
      <c r="AV652" s="2"/>
      <c r="AW652" s="2"/>
      <c r="AX652" s="2"/>
      <c r="AY652" s="2"/>
      <c r="AZ652" s="2"/>
      <c r="BA652" s="2"/>
      <c r="BB652" s="2"/>
      <c r="BC652" s="2"/>
      <c r="BD652" s="2"/>
      <c r="BE652" s="2"/>
      <c r="BF652" s="2"/>
      <c r="BG652" s="2"/>
      <c r="BH652" s="2"/>
      <c r="BI652" s="2"/>
      <c r="BJ652" s="2"/>
      <c r="BK652" s="2"/>
      <c r="BL652" s="2"/>
      <c r="BM652" s="2"/>
      <c r="BN652" s="2"/>
      <c r="BO652" s="2"/>
      <c r="BP652" s="2"/>
      <c r="BQ652" s="2"/>
      <c r="BR652" s="2"/>
      <c r="BS652" s="2"/>
      <c r="BT652" s="2"/>
      <c r="BU652" s="2"/>
      <c r="BV652" s="2"/>
      <c r="BW652" s="2"/>
      <c r="BX652" s="2"/>
      <c r="BY652" s="2"/>
      <c r="BZ652" s="2"/>
      <c r="CA652" s="2"/>
      <c r="CB652" s="2"/>
      <c r="CC652" s="2"/>
      <c r="CD652" s="2"/>
      <c r="CE652" s="2"/>
      <c r="CF652" s="2"/>
    </row>
    <row r="653" spans="1:84" ht="12.65" customHeight="1" x14ac:dyDescent="0.3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  <c r="AH653" s="2"/>
      <c r="AI653" s="2"/>
      <c r="AJ653" s="2"/>
      <c r="AK653" s="2"/>
      <c r="AL653" s="2"/>
      <c r="AM653" s="2"/>
      <c r="AN653" s="2"/>
      <c r="AO653" s="2"/>
      <c r="AP653" s="2"/>
      <c r="AQ653" s="2"/>
      <c r="AR653" s="2"/>
      <c r="AS653" s="2"/>
      <c r="AT653" s="2"/>
      <c r="AU653" s="2"/>
      <c r="AV653" s="2"/>
      <c r="AW653" s="2"/>
      <c r="AX653" s="2"/>
      <c r="AY653" s="2"/>
      <c r="AZ653" s="2"/>
      <c r="BA653" s="2"/>
      <c r="BB653" s="2"/>
      <c r="BC653" s="2"/>
      <c r="BD653" s="2"/>
      <c r="BE653" s="2"/>
      <c r="BF653" s="2"/>
      <c r="BG653" s="2"/>
      <c r="BH653" s="2"/>
      <c r="BI653" s="2"/>
      <c r="BJ653" s="2"/>
      <c r="BK653" s="2"/>
      <c r="BL653" s="2"/>
      <c r="BM653" s="2"/>
      <c r="BN653" s="2"/>
      <c r="BO653" s="2"/>
      <c r="BP653" s="2"/>
      <c r="BQ653" s="2"/>
      <c r="BR653" s="2"/>
      <c r="BS653" s="2"/>
      <c r="BT653" s="2"/>
      <c r="BU653" s="2"/>
      <c r="BV653" s="2"/>
      <c r="BW653" s="2"/>
      <c r="BX653" s="2"/>
      <c r="BY653" s="2"/>
      <c r="BZ653" s="2"/>
      <c r="CA653" s="2"/>
      <c r="CB653" s="2"/>
      <c r="CC653" s="2"/>
      <c r="CD653" s="2"/>
      <c r="CE653" s="2"/>
      <c r="CF653" s="2"/>
    </row>
    <row r="654" spans="1:84" ht="12.65" customHeight="1" x14ac:dyDescent="0.3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/>
      <c r="AH654" s="2"/>
      <c r="AI654" s="2"/>
      <c r="AJ654" s="2"/>
      <c r="AK654" s="2"/>
      <c r="AL654" s="2"/>
      <c r="AM654" s="2"/>
      <c r="AN654" s="2"/>
      <c r="AO654" s="2"/>
      <c r="AP654" s="2"/>
      <c r="AQ654" s="2"/>
      <c r="AR654" s="2"/>
      <c r="AS654" s="2"/>
      <c r="AT654" s="2"/>
      <c r="AU654" s="2"/>
      <c r="AV654" s="2"/>
      <c r="AW654" s="2"/>
      <c r="AX654" s="2"/>
      <c r="AY654" s="2"/>
      <c r="AZ654" s="2"/>
      <c r="BA654" s="2"/>
      <c r="BB654" s="2"/>
      <c r="BC654" s="2"/>
      <c r="BD654" s="2"/>
      <c r="BE654" s="2"/>
      <c r="BF654" s="2"/>
      <c r="BG654" s="2"/>
      <c r="BH654" s="2"/>
      <c r="BI654" s="2"/>
      <c r="BJ654" s="2"/>
      <c r="BK654" s="2"/>
      <c r="BL654" s="2"/>
      <c r="BM654" s="2"/>
      <c r="BN654" s="2"/>
      <c r="BO654" s="2"/>
      <c r="BP654" s="2"/>
      <c r="BQ654" s="2"/>
      <c r="BR654" s="2"/>
      <c r="BS654" s="2"/>
      <c r="BT654" s="2"/>
      <c r="BU654" s="2"/>
      <c r="BV654" s="2"/>
      <c r="BW654" s="2"/>
      <c r="BX654" s="2"/>
      <c r="BY654" s="2"/>
      <c r="BZ654" s="2"/>
      <c r="CA654" s="2"/>
      <c r="CB654" s="2"/>
      <c r="CC654" s="2"/>
      <c r="CD654" s="2"/>
      <c r="CE654" s="2"/>
      <c r="CF654" s="2"/>
    </row>
    <row r="655" spans="1:84" ht="12.65" customHeight="1" x14ac:dyDescent="0.3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  <c r="AH655" s="2"/>
      <c r="AI655" s="2"/>
      <c r="AJ655" s="2"/>
      <c r="AK655" s="2"/>
      <c r="AL655" s="2"/>
      <c r="AM655" s="2"/>
      <c r="AN655" s="2"/>
      <c r="AO655" s="2"/>
      <c r="AP655" s="2"/>
      <c r="AQ655" s="2"/>
      <c r="AR655" s="2"/>
      <c r="AS655" s="2"/>
      <c r="AT655" s="2"/>
      <c r="AU655" s="2"/>
      <c r="AV655" s="2"/>
      <c r="AW655" s="2"/>
      <c r="AX655" s="2"/>
      <c r="AY655" s="2"/>
      <c r="AZ655" s="2"/>
      <c r="BA655" s="2"/>
      <c r="BB655" s="2"/>
      <c r="BC655" s="2"/>
      <c r="BD655" s="2"/>
      <c r="BE655" s="2"/>
      <c r="BF655" s="2"/>
      <c r="BG655" s="2"/>
      <c r="BH655" s="2"/>
      <c r="BI655" s="2"/>
      <c r="BJ655" s="2"/>
      <c r="BK655" s="2"/>
      <c r="BL655" s="2"/>
      <c r="BM655" s="2"/>
      <c r="BN655" s="2"/>
      <c r="BO655" s="2"/>
      <c r="BP655" s="2"/>
      <c r="BQ655" s="2"/>
      <c r="BR655" s="2"/>
      <c r="BS655" s="2"/>
      <c r="BT655" s="2"/>
      <c r="BU655" s="2"/>
      <c r="BV655" s="2"/>
      <c r="BW655" s="2"/>
      <c r="BX655" s="2"/>
      <c r="BY655" s="2"/>
      <c r="BZ655" s="2"/>
      <c r="CA655" s="2"/>
      <c r="CB655" s="2"/>
      <c r="CC655" s="2"/>
      <c r="CD655" s="2"/>
      <c r="CE655" s="2"/>
      <c r="CF655" s="2"/>
    </row>
    <row r="656" spans="1:84" ht="12.65" customHeight="1" x14ac:dyDescent="0.3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  <c r="AH656" s="2"/>
      <c r="AI656" s="2"/>
      <c r="AJ656" s="2"/>
      <c r="AK656" s="2"/>
      <c r="AL656" s="2"/>
      <c r="AM656" s="2"/>
      <c r="AN656" s="2"/>
      <c r="AO656" s="2"/>
      <c r="AP656" s="2"/>
      <c r="AQ656" s="2"/>
      <c r="AR656" s="2"/>
      <c r="AS656" s="2"/>
      <c r="AT656" s="2"/>
      <c r="AU656" s="2"/>
      <c r="AV656" s="2"/>
      <c r="AW656" s="2"/>
      <c r="AX656" s="2"/>
      <c r="AY656" s="2"/>
      <c r="AZ656" s="2"/>
      <c r="BA656" s="2"/>
      <c r="BB656" s="2"/>
      <c r="BC656" s="2"/>
      <c r="BD656" s="2"/>
      <c r="BE656" s="2"/>
      <c r="BF656" s="2"/>
      <c r="BG656" s="2"/>
      <c r="BH656" s="2"/>
      <c r="BI656" s="2"/>
      <c r="BJ656" s="2"/>
      <c r="BK656" s="2"/>
      <c r="BL656" s="2"/>
      <c r="BM656" s="2"/>
      <c r="BN656" s="2"/>
      <c r="BO656" s="2"/>
      <c r="BP656" s="2"/>
      <c r="BQ656" s="2"/>
      <c r="BR656" s="2"/>
      <c r="BS656" s="2"/>
      <c r="BT656" s="2"/>
      <c r="BU656" s="2"/>
      <c r="BV656" s="2"/>
      <c r="BW656" s="2"/>
      <c r="BX656" s="2"/>
      <c r="BY656" s="2"/>
      <c r="BZ656" s="2"/>
      <c r="CA656" s="2"/>
      <c r="CB656" s="2"/>
      <c r="CC656" s="2"/>
      <c r="CD656" s="2"/>
      <c r="CE656" s="2"/>
      <c r="CF656" s="2"/>
    </row>
    <row r="657" spans="1:84" ht="12.65" customHeight="1" x14ac:dyDescent="0.3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  <c r="AH657" s="2"/>
      <c r="AI657" s="2"/>
      <c r="AJ657" s="2"/>
      <c r="AK657" s="2"/>
      <c r="AL657" s="2"/>
      <c r="AM657" s="2"/>
      <c r="AN657" s="2"/>
      <c r="AO657" s="2"/>
      <c r="AP657" s="2"/>
      <c r="AQ657" s="2"/>
      <c r="AR657" s="2"/>
      <c r="AS657" s="2"/>
      <c r="AT657" s="2"/>
      <c r="AU657" s="2"/>
      <c r="AV657" s="2"/>
      <c r="AW657" s="2"/>
      <c r="AX657" s="2"/>
      <c r="AY657" s="2"/>
      <c r="AZ657" s="2"/>
      <c r="BA657" s="2"/>
      <c r="BB657" s="2"/>
      <c r="BC657" s="2"/>
      <c r="BD657" s="2"/>
      <c r="BE657" s="2"/>
      <c r="BF657" s="2"/>
      <c r="BG657" s="2"/>
      <c r="BH657" s="2"/>
      <c r="BI657" s="2"/>
      <c r="BJ657" s="2"/>
      <c r="BK657" s="2"/>
      <c r="BL657" s="2"/>
      <c r="BM657" s="2"/>
      <c r="BN657" s="2"/>
      <c r="BO657" s="2"/>
      <c r="BP657" s="2"/>
      <c r="BQ657" s="2"/>
      <c r="BR657" s="2"/>
      <c r="BS657" s="2"/>
      <c r="BT657" s="2"/>
      <c r="BU657" s="2"/>
      <c r="BV657" s="2"/>
      <c r="BW657" s="2"/>
      <c r="BX657" s="2"/>
      <c r="BY657" s="2"/>
      <c r="BZ657" s="2"/>
      <c r="CA657" s="2"/>
      <c r="CB657" s="2"/>
      <c r="CC657" s="2"/>
      <c r="CD657" s="2"/>
      <c r="CE657" s="2"/>
      <c r="CF657" s="2"/>
    </row>
    <row r="658" spans="1:84" ht="12.65" customHeight="1" x14ac:dyDescent="0.3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  <c r="AG658" s="2"/>
      <c r="AH658" s="2"/>
      <c r="AI658" s="2"/>
      <c r="AJ658" s="2"/>
      <c r="AK658" s="2"/>
      <c r="AL658" s="2"/>
      <c r="AM658" s="2"/>
      <c r="AN658" s="2"/>
      <c r="AO658" s="2"/>
      <c r="AP658" s="2"/>
      <c r="AQ658" s="2"/>
      <c r="AR658" s="2"/>
      <c r="AS658" s="2"/>
      <c r="AT658" s="2"/>
      <c r="AU658" s="2"/>
      <c r="AV658" s="2"/>
      <c r="AW658" s="2"/>
      <c r="AX658" s="2"/>
      <c r="AY658" s="2"/>
      <c r="AZ658" s="2"/>
      <c r="BA658" s="2"/>
      <c r="BB658" s="2"/>
      <c r="BC658" s="2"/>
      <c r="BD658" s="2"/>
      <c r="BE658" s="2"/>
      <c r="BF658" s="2"/>
      <c r="BG658" s="2"/>
      <c r="BH658" s="2"/>
      <c r="BI658" s="2"/>
      <c r="BJ658" s="2"/>
      <c r="BK658" s="2"/>
      <c r="BL658" s="2"/>
      <c r="BM658" s="2"/>
      <c r="BN658" s="2"/>
      <c r="BO658" s="2"/>
      <c r="BP658" s="2"/>
      <c r="BQ658" s="2"/>
      <c r="BR658" s="2"/>
      <c r="BS658" s="2"/>
      <c r="BT658" s="2"/>
      <c r="BU658" s="2"/>
      <c r="BV658" s="2"/>
      <c r="BW658" s="2"/>
      <c r="BX658" s="2"/>
      <c r="BY658" s="2"/>
      <c r="BZ658" s="2"/>
      <c r="CA658" s="2"/>
      <c r="CB658" s="2"/>
      <c r="CC658" s="2"/>
      <c r="CD658" s="2"/>
      <c r="CE658" s="2"/>
      <c r="CF658" s="2"/>
    </row>
    <row r="659" spans="1:84" ht="12.65" customHeight="1" x14ac:dyDescent="0.3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  <c r="AG659" s="2"/>
      <c r="AH659" s="2"/>
      <c r="AI659" s="2"/>
      <c r="AJ659" s="2"/>
      <c r="AK659" s="2"/>
      <c r="AL659" s="2"/>
      <c r="AM659" s="2"/>
      <c r="AN659" s="2"/>
      <c r="AO659" s="2"/>
      <c r="AP659" s="2"/>
      <c r="AQ659" s="2"/>
      <c r="AR659" s="2"/>
      <c r="AS659" s="2"/>
      <c r="AT659" s="2"/>
      <c r="AU659" s="2"/>
      <c r="AV659" s="2"/>
      <c r="AW659" s="2"/>
      <c r="AX659" s="2"/>
      <c r="AY659" s="2"/>
      <c r="AZ659" s="2"/>
      <c r="BA659" s="2"/>
      <c r="BB659" s="2"/>
      <c r="BC659" s="2"/>
      <c r="BD659" s="2"/>
      <c r="BE659" s="2"/>
      <c r="BF659" s="2"/>
      <c r="BG659" s="2"/>
      <c r="BH659" s="2"/>
      <c r="BI659" s="2"/>
      <c r="BJ659" s="2"/>
      <c r="BK659" s="2"/>
      <c r="BL659" s="2"/>
      <c r="BM659" s="2"/>
      <c r="BN659" s="2"/>
      <c r="BO659" s="2"/>
      <c r="BP659" s="2"/>
      <c r="BQ659" s="2"/>
      <c r="BR659" s="2"/>
      <c r="BS659" s="2"/>
      <c r="BT659" s="2"/>
      <c r="BU659" s="2"/>
      <c r="BV659" s="2"/>
      <c r="BW659" s="2"/>
      <c r="BX659" s="2"/>
      <c r="BY659" s="2"/>
      <c r="BZ659" s="2"/>
      <c r="CA659" s="2"/>
      <c r="CB659" s="2"/>
      <c r="CC659" s="2"/>
      <c r="CD659" s="2"/>
      <c r="CE659" s="2"/>
      <c r="CF659" s="2"/>
    </row>
    <row r="660" spans="1:84" ht="12.65" customHeight="1" x14ac:dyDescent="0.3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  <c r="AH660" s="2"/>
      <c r="AI660" s="2"/>
      <c r="AJ660" s="2"/>
      <c r="AK660" s="2"/>
      <c r="AL660" s="2"/>
      <c r="AM660" s="2"/>
      <c r="AN660" s="2"/>
      <c r="AO660" s="2"/>
      <c r="AP660" s="2"/>
      <c r="AQ660" s="2"/>
      <c r="AR660" s="2"/>
      <c r="AS660" s="2"/>
      <c r="AT660" s="2"/>
      <c r="AU660" s="2"/>
      <c r="AV660" s="2"/>
      <c r="AW660" s="2"/>
      <c r="AX660" s="2"/>
      <c r="AY660" s="2"/>
      <c r="AZ660" s="2"/>
      <c r="BA660" s="2"/>
      <c r="BB660" s="2"/>
      <c r="BC660" s="2"/>
      <c r="BD660" s="2"/>
      <c r="BE660" s="2"/>
      <c r="BF660" s="2"/>
      <c r="BG660" s="2"/>
      <c r="BH660" s="2"/>
      <c r="BI660" s="2"/>
      <c r="BJ660" s="2"/>
      <c r="BK660" s="2"/>
      <c r="BL660" s="2"/>
      <c r="BM660" s="2"/>
      <c r="BN660" s="2"/>
      <c r="BO660" s="2"/>
      <c r="BP660" s="2"/>
      <c r="BQ660" s="2"/>
      <c r="BR660" s="2"/>
      <c r="BS660" s="2"/>
      <c r="BT660" s="2"/>
      <c r="BU660" s="2"/>
      <c r="BV660" s="2"/>
      <c r="BW660" s="2"/>
      <c r="BX660" s="2"/>
      <c r="BY660" s="2"/>
      <c r="BZ660" s="2"/>
      <c r="CA660" s="2"/>
      <c r="CB660" s="2"/>
      <c r="CC660" s="2"/>
      <c r="CD660" s="2"/>
      <c r="CE660" s="2"/>
      <c r="CF660" s="2"/>
    </row>
    <row r="661" spans="1:84" ht="12.65" customHeight="1" x14ac:dyDescent="0.3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  <c r="AH661" s="2"/>
      <c r="AI661" s="2"/>
      <c r="AJ661" s="2"/>
      <c r="AK661" s="2"/>
      <c r="AL661" s="2"/>
      <c r="AM661" s="2"/>
      <c r="AN661" s="2"/>
      <c r="AO661" s="2"/>
      <c r="AP661" s="2"/>
      <c r="AQ661" s="2"/>
      <c r="AR661" s="2"/>
      <c r="AS661" s="2"/>
      <c r="AT661" s="2"/>
      <c r="AU661" s="2"/>
      <c r="AV661" s="2"/>
      <c r="AW661" s="2"/>
      <c r="AX661" s="2"/>
      <c r="AY661" s="2"/>
      <c r="AZ661" s="2"/>
      <c r="BA661" s="2"/>
      <c r="BB661" s="2"/>
      <c r="BC661" s="2"/>
      <c r="BD661" s="2"/>
      <c r="BE661" s="2"/>
      <c r="BF661" s="2"/>
      <c r="BG661" s="2"/>
      <c r="BH661" s="2"/>
      <c r="BI661" s="2"/>
      <c r="BJ661" s="2"/>
      <c r="BK661" s="2"/>
      <c r="BL661" s="2"/>
      <c r="BM661" s="2"/>
      <c r="BN661" s="2"/>
      <c r="BO661" s="2"/>
      <c r="BP661" s="2"/>
      <c r="BQ661" s="2"/>
      <c r="BR661" s="2"/>
      <c r="BS661" s="2"/>
      <c r="BT661" s="2"/>
      <c r="BU661" s="2"/>
      <c r="BV661" s="2"/>
      <c r="BW661" s="2"/>
      <c r="BX661" s="2"/>
      <c r="BY661" s="2"/>
      <c r="BZ661" s="2"/>
      <c r="CA661" s="2"/>
      <c r="CB661" s="2"/>
      <c r="CC661" s="2"/>
      <c r="CD661" s="2"/>
      <c r="CE661" s="2"/>
      <c r="CF661" s="2"/>
    </row>
    <row r="662" spans="1:84" ht="12.65" customHeight="1" x14ac:dyDescent="0.3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  <c r="AH662" s="2"/>
      <c r="AI662" s="2"/>
      <c r="AJ662" s="2"/>
      <c r="AK662" s="2"/>
      <c r="AL662" s="2"/>
      <c r="AM662" s="2"/>
      <c r="AN662" s="2"/>
      <c r="AO662" s="2"/>
      <c r="AP662" s="2"/>
      <c r="AQ662" s="2"/>
      <c r="AR662" s="2"/>
      <c r="AS662" s="2"/>
      <c r="AT662" s="2"/>
      <c r="AU662" s="2"/>
      <c r="AV662" s="2"/>
      <c r="AW662" s="2"/>
      <c r="AX662" s="2"/>
      <c r="AY662" s="2"/>
      <c r="AZ662" s="2"/>
      <c r="BA662" s="2"/>
      <c r="BB662" s="2"/>
      <c r="BC662" s="2"/>
      <c r="BD662" s="2"/>
      <c r="BE662" s="2"/>
      <c r="BF662" s="2"/>
      <c r="BG662" s="2"/>
      <c r="BH662" s="2"/>
      <c r="BI662" s="2"/>
      <c r="BJ662" s="2"/>
      <c r="BK662" s="2"/>
      <c r="BL662" s="2"/>
      <c r="BM662" s="2"/>
      <c r="BN662" s="2"/>
      <c r="BO662" s="2"/>
      <c r="BP662" s="2"/>
      <c r="BQ662" s="2"/>
      <c r="BR662" s="2"/>
      <c r="BS662" s="2"/>
      <c r="BT662" s="2"/>
      <c r="BU662" s="2"/>
      <c r="BV662" s="2"/>
      <c r="BW662" s="2"/>
      <c r="BX662" s="2"/>
      <c r="BY662" s="2"/>
      <c r="BZ662" s="2"/>
      <c r="CA662" s="2"/>
      <c r="CB662" s="2"/>
      <c r="CC662" s="2"/>
      <c r="CD662" s="2"/>
      <c r="CE662" s="2"/>
      <c r="CF662" s="2"/>
    </row>
    <row r="663" spans="1:84" ht="12.65" customHeight="1" x14ac:dyDescent="0.3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  <c r="AH663" s="2"/>
      <c r="AI663" s="2"/>
      <c r="AJ663" s="2"/>
      <c r="AK663" s="2"/>
      <c r="AL663" s="2"/>
      <c r="AM663" s="2"/>
      <c r="AN663" s="2"/>
      <c r="AO663" s="2"/>
      <c r="AP663" s="2"/>
      <c r="AQ663" s="2"/>
      <c r="AR663" s="2"/>
      <c r="AS663" s="2"/>
      <c r="AT663" s="2"/>
      <c r="AU663" s="2"/>
      <c r="AV663" s="2"/>
      <c r="AW663" s="2"/>
      <c r="AX663" s="2"/>
      <c r="AY663" s="2"/>
      <c r="AZ663" s="2"/>
      <c r="BA663" s="2"/>
      <c r="BB663" s="2"/>
      <c r="BC663" s="2"/>
      <c r="BD663" s="2"/>
      <c r="BE663" s="2"/>
      <c r="BF663" s="2"/>
      <c r="BG663" s="2"/>
      <c r="BH663" s="2"/>
      <c r="BI663" s="2"/>
      <c r="BJ663" s="2"/>
      <c r="BK663" s="2"/>
      <c r="BL663" s="2"/>
      <c r="BM663" s="2"/>
      <c r="BN663" s="2"/>
      <c r="BO663" s="2"/>
      <c r="BP663" s="2"/>
      <c r="BQ663" s="2"/>
      <c r="BR663" s="2"/>
      <c r="BS663" s="2"/>
      <c r="BT663" s="2"/>
      <c r="BU663" s="2"/>
      <c r="BV663" s="2"/>
      <c r="BW663" s="2"/>
      <c r="BX663" s="2"/>
      <c r="BY663" s="2"/>
      <c r="BZ663" s="2"/>
      <c r="CA663" s="2"/>
      <c r="CB663" s="2"/>
      <c r="CC663" s="2"/>
      <c r="CD663" s="2"/>
      <c r="CE663" s="2"/>
      <c r="CF663" s="2"/>
    </row>
    <row r="664" spans="1:84" ht="12.65" customHeight="1" x14ac:dyDescent="0.3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  <c r="AG664" s="2"/>
      <c r="AH664" s="2"/>
      <c r="AI664" s="2"/>
      <c r="AJ664" s="2"/>
      <c r="AK664" s="2"/>
      <c r="AL664" s="2"/>
      <c r="AM664" s="2"/>
      <c r="AN664" s="2"/>
      <c r="AO664" s="2"/>
      <c r="AP664" s="2"/>
      <c r="AQ664" s="2"/>
      <c r="AR664" s="2"/>
      <c r="AS664" s="2"/>
      <c r="AT664" s="2"/>
      <c r="AU664" s="2"/>
      <c r="AV664" s="2"/>
      <c r="AW664" s="2"/>
      <c r="AX664" s="2"/>
      <c r="AY664" s="2"/>
      <c r="AZ664" s="2"/>
      <c r="BA664" s="2"/>
      <c r="BB664" s="2"/>
      <c r="BC664" s="2"/>
      <c r="BD664" s="2"/>
      <c r="BE664" s="2"/>
      <c r="BF664" s="2"/>
      <c r="BG664" s="2"/>
      <c r="BH664" s="2"/>
      <c r="BI664" s="2"/>
      <c r="BJ664" s="2"/>
      <c r="BK664" s="2"/>
      <c r="BL664" s="2"/>
      <c r="BM664" s="2"/>
      <c r="BN664" s="2"/>
      <c r="BO664" s="2"/>
      <c r="BP664" s="2"/>
      <c r="BQ664" s="2"/>
      <c r="BR664" s="2"/>
      <c r="BS664" s="2"/>
      <c r="BT664" s="2"/>
      <c r="BU664" s="2"/>
      <c r="BV664" s="2"/>
      <c r="BW664" s="2"/>
      <c r="BX664" s="2"/>
      <c r="BY664" s="2"/>
      <c r="BZ664" s="2"/>
      <c r="CA664" s="2"/>
      <c r="CB664" s="2"/>
      <c r="CC664" s="2"/>
      <c r="CD664" s="2"/>
      <c r="CE664" s="2"/>
      <c r="CF664" s="2"/>
    </row>
    <row r="665" spans="1:84" ht="12.65" customHeight="1" x14ac:dyDescent="0.3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  <c r="AG665" s="2"/>
      <c r="AH665" s="2"/>
      <c r="AI665" s="2"/>
      <c r="AJ665" s="2"/>
      <c r="AK665" s="2"/>
      <c r="AL665" s="2"/>
      <c r="AM665" s="2"/>
      <c r="AN665" s="2"/>
      <c r="AO665" s="2"/>
      <c r="AP665" s="2"/>
      <c r="AQ665" s="2"/>
      <c r="AR665" s="2"/>
      <c r="AS665" s="2"/>
      <c r="AT665" s="2"/>
      <c r="AU665" s="2"/>
      <c r="AV665" s="2"/>
      <c r="AW665" s="2"/>
      <c r="AX665" s="2"/>
      <c r="AY665" s="2"/>
      <c r="AZ665" s="2"/>
      <c r="BA665" s="2"/>
      <c r="BB665" s="2"/>
      <c r="BC665" s="2"/>
      <c r="BD665" s="2"/>
      <c r="BE665" s="2"/>
      <c r="BF665" s="2"/>
      <c r="BG665" s="2"/>
      <c r="BH665" s="2"/>
      <c r="BI665" s="2"/>
      <c r="BJ665" s="2"/>
      <c r="BK665" s="2"/>
      <c r="BL665" s="2"/>
      <c r="BM665" s="2"/>
      <c r="BN665" s="2"/>
      <c r="BO665" s="2"/>
      <c r="BP665" s="2"/>
      <c r="BQ665" s="2"/>
      <c r="BR665" s="2"/>
      <c r="BS665" s="2"/>
      <c r="BT665" s="2"/>
      <c r="BU665" s="2"/>
      <c r="BV665" s="2"/>
      <c r="BW665" s="2"/>
      <c r="BX665" s="2"/>
      <c r="BY665" s="2"/>
      <c r="BZ665" s="2"/>
      <c r="CA665" s="2"/>
      <c r="CB665" s="2"/>
      <c r="CC665" s="2"/>
      <c r="CD665" s="2"/>
      <c r="CE665" s="2"/>
      <c r="CF665" s="2"/>
    </row>
    <row r="666" spans="1:84" ht="12.65" customHeight="1" x14ac:dyDescent="0.35">
      <c r="A666" s="2"/>
      <c r="B666" s="2"/>
      <c r="C666" s="329" t="s">
        <v>660</v>
      </c>
      <c r="D666" s="2"/>
      <c r="E666" s="2"/>
      <c r="F666" s="2"/>
      <c r="G666" s="2"/>
      <c r="H666" s="2"/>
      <c r="I666" s="2"/>
      <c r="J666" s="2"/>
      <c r="K666" s="2"/>
      <c r="L666" s="2"/>
      <c r="M666" s="329" t="s">
        <v>661</v>
      </c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  <c r="AG666" s="2"/>
      <c r="AH666" s="2"/>
      <c r="AI666" s="2"/>
      <c r="AJ666" s="2"/>
      <c r="AK666" s="2"/>
      <c r="AL666" s="2"/>
      <c r="AM666" s="2"/>
      <c r="AN666" s="2"/>
      <c r="AO666" s="2"/>
      <c r="AP666" s="2"/>
      <c r="AQ666" s="2"/>
      <c r="AR666" s="2"/>
      <c r="AS666" s="2"/>
      <c r="AT666" s="2"/>
      <c r="AU666" s="2"/>
      <c r="AV666" s="2"/>
      <c r="AW666" s="2"/>
      <c r="AX666" s="2"/>
      <c r="AY666" s="2"/>
      <c r="AZ666" s="2"/>
      <c r="BA666" s="2"/>
      <c r="BB666" s="2"/>
      <c r="BC666" s="2"/>
      <c r="BD666" s="2"/>
      <c r="BE666" s="2"/>
      <c r="BF666" s="2"/>
      <c r="BG666" s="2"/>
      <c r="BH666" s="2"/>
      <c r="BI666" s="2"/>
      <c r="BJ666" s="2"/>
      <c r="BK666" s="2"/>
      <c r="BL666" s="2"/>
      <c r="BM666" s="2"/>
      <c r="BN666" s="2"/>
      <c r="BO666" s="2"/>
      <c r="BP666" s="2"/>
      <c r="BQ666" s="2"/>
      <c r="BR666" s="2"/>
      <c r="BS666" s="2"/>
      <c r="BT666" s="2"/>
      <c r="BU666" s="2"/>
      <c r="BV666" s="2"/>
      <c r="BW666" s="2"/>
      <c r="BX666" s="2"/>
      <c r="BY666" s="2"/>
      <c r="BZ666" s="2"/>
      <c r="CA666" s="2"/>
      <c r="CB666" s="2"/>
      <c r="CC666" s="2"/>
      <c r="CD666" s="2"/>
      <c r="CE666" s="2"/>
      <c r="CF666" s="2"/>
    </row>
    <row r="667" spans="1:84" ht="12.65" customHeight="1" x14ac:dyDescent="0.35">
      <c r="A667" s="2"/>
      <c r="B667" s="2"/>
      <c r="C667" s="329" t="s">
        <v>590</v>
      </c>
      <c r="D667" s="329" t="s">
        <v>591</v>
      </c>
      <c r="E667" s="332" t="s">
        <v>592</v>
      </c>
      <c r="F667" s="329" t="s">
        <v>593</v>
      </c>
      <c r="G667" s="329" t="s">
        <v>594</v>
      </c>
      <c r="H667" s="329" t="s">
        <v>595</v>
      </c>
      <c r="I667" s="329" t="s">
        <v>596</v>
      </c>
      <c r="J667" s="329" t="s">
        <v>597</v>
      </c>
      <c r="K667" s="329" t="s">
        <v>598</v>
      </c>
      <c r="L667" s="332" t="s">
        <v>599</v>
      </c>
      <c r="M667" s="329" t="s">
        <v>662</v>
      </c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  <c r="AF667" s="2"/>
      <c r="AG667" s="2"/>
      <c r="AH667" s="2"/>
      <c r="AI667" s="2"/>
      <c r="AJ667" s="2"/>
      <c r="AK667" s="2"/>
      <c r="AL667" s="2"/>
      <c r="AM667" s="2"/>
      <c r="AN667" s="2"/>
      <c r="AO667" s="2"/>
      <c r="AP667" s="2"/>
      <c r="AQ667" s="2"/>
      <c r="AR667" s="2"/>
      <c r="AS667" s="2"/>
      <c r="AT667" s="2"/>
      <c r="AU667" s="2"/>
      <c r="AV667" s="2"/>
      <c r="AW667" s="2"/>
      <c r="AX667" s="2"/>
      <c r="AY667" s="2"/>
      <c r="AZ667" s="2"/>
      <c r="BA667" s="2"/>
      <c r="BB667" s="2"/>
      <c r="BC667" s="2"/>
      <c r="BD667" s="2"/>
      <c r="BE667" s="2"/>
      <c r="BF667" s="2"/>
      <c r="BG667" s="2"/>
      <c r="BH667" s="2"/>
      <c r="BI667" s="2"/>
      <c r="BJ667" s="2"/>
      <c r="BK667" s="2"/>
      <c r="BL667" s="2"/>
      <c r="BM667" s="2"/>
      <c r="BN667" s="2"/>
      <c r="BO667" s="2"/>
      <c r="BP667" s="2"/>
      <c r="BQ667" s="2"/>
      <c r="BR667" s="2"/>
      <c r="BS667" s="2"/>
      <c r="BT667" s="2"/>
      <c r="BU667" s="2"/>
      <c r="BV667" s="2"/>
      <c r="BW667" s="2"/>
      <c r="BX667" s="2"/>
      <c r="BY667" s="2"/>
      <c r="BZ667" s="2"/>
      <c r="CA667" s="2"/>
      <c r="CB667" s="2"/>
      <c r="CC667" s="2"/>
      <c r="CD667" s="2"/>
      <c r="CE667" s="2"/>
      <c r="CF667" s="2"/>
    </row>
    <row r="668" spans="1:84" ht="12.65" customHeight="1" x14ac:dyDescent="0.35">
      <c r="A668" s="338">
        <v>6010</v>
      </c>
      <c r="B668" s="332" t="s">
        <v>283</v>
      </c>
      <c r="C668" s="2">
        <f>C71</f>
        <v>21552545.400000002</v>
      </c>
      <c r="D668" s="2">
        <f>(D615/D612)*C76</f>
        <v>760359.26247674949</v>
      </c>
      <c r="E668" s="2">
        <f>(E623/E612)*SUM(C668:D668)</f>
        <v>1361113.8027306611</v>
      </c>
      <c r="F668" s="2">
        <f>(F624/F612)*C64</f>
        <v>53299.288416923497</v>
      </c>
      <c r="G668" s="2">
        <f>(G625/G612)*C77</f>
        <v>0</v>
      </c>
      <c r="H668" s="2">
        <f>(H628/H612)*C60</f>
        <v>508631.13324132207</v>
      </c>
      <c r="I668" s="2">
        <f>(I629/I612)*C78</f>
        <v>264969.59593586961</v>
      </c>
      <c r="J668" s="2">
        <f>(J630/J612)*C79</f>
        <v>45713.541558520345</v>
      </c>
      <c r="K668" s="2">
        <f>(K644/K612)*C75</f>
        <v>3848415.9638105505</v>
      </c>
      <c r="L668" s="2">
        <f>(L647/L612)*C80</f>
        <v>1166910.1436181858</v>
      </c>
      <c r="M668" s="2">
        <f t="shared" ref="M668:M713" si="21">ROUND(SUM(D668:L668),0)</f>
        <v>8009413</v>
      </c>
      <c r="N668" s="332" t="s">
        <v>663</v>
      </c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  <c r="AG668" s="2"/>
      <c r="AH668" s="2"/>
      <c r="AI668" s="2"/>
      <c r="AJ668" s="2"/>
      <c r="AK668" s="2"/>
      <c r="AL668" s="2"/>
      <c r="AM668" s="2"/>
      <c r="AN668" s="2"/>
      <c r="AO668" s="2"/>
      <c r="AP668" s="2"/>
      <c r="AQ668" s="2"/>
      <c r="AR668" s="2"/>
      <c r="AS668" s="2"/>
      <c r="AT668" s="2"/>
      <c r="AU668" s="2"/>
      <c r="AV668" s="2"/>
      <c r="AW668" s="2"/>
      <c r="AX668" s="2"/>
      <c r="AY668" s="2"/>
      <c r="AZ668" s="2"/>
      <c r="BA668" s="2"/>
      <c r="BB668" s="2"/>
      <c r="BC668" s="2"/>
      <c r="BD668" s="2"/>
      <c r="BE668" s="2"/>
      <c r="BF668" s="2"/>
      <c r="BG668" s="2"/>
      <c r="BH668" s="2"/>
      <c r="BI668" s="2"/>
      <c r="BJ668" s="2"/>
      <c r="BK668" s="2"/>
      <c r="BL668" s="2"/>
      <c r="BM668" s="2"/>
      <c r="BN668" s="2"/>
      <c r="BO668" s="2"/>
      <c r="BP668" s="2"/>
      <c r="BQ668" s="2"/>
      <c r="BR668" s="2"/>
      <c r="BS668" s="2"/>
      <c r="BT668" s="2"/>
      <c r="BU668" s="2"/>
      <c r="BV668" s="2"/>
      <c r="BW668" s="2"/>
      <c r="BX668" s="2"/>
      <c r="BY668" s="2"/>
      <c r="BZ668" s="2"/>
      <c r="CA668" s="2"/>
      <c r="CB668" s="2"/>
      <c r="CC668" s="2"/>
      <c r="CD668" s="2"/>
      <c r="CE668" s="2"/>
      <c r="CF668" s="2"/>
    </row>
    <row r="669" spans="1:84" ht="12.65" customHeight="1" x14ac:dyDescent="0.35">
      <c r="A669" s="338">
        <v>6030</v>
      </c>
      <c r="B669" s="332" t="s">
        <v>284</v>
      </c>
      <c r="C669" s="2">
        <f>D71</f>
        <v>10539740.489999998</v>
      </c>
      <c r="D669" s="2">
        <f>(D615/D612)*D76</f>
        <v>579321.34283942811</v>
      </c>
      <c r="E669" s="2">
        <f>(E623/E612)*SUM(C669:D669)</f>
        <v>678276.03635776497</v>
      </c>
      <c r="F669" s="2">
        <f>(F624/F612)*D64</f>
        <v>21575.730955450985</v>
      </c>
      <c r="G669" s="2">
        <f>(G625/G612)*D77</f>
        <v>0</v>
      </c>
      <c r="H669" s="2">
        <f>(H628/H612)*D60</f>
        <v>233463.56445982531</v>
      </c>
      <c r="I669" s="2">
        <f>(I629/I612)*D78</f>
        <v>201891.0624697661</v>
      </c>
      <c r="J669" s="2">
        <f>(J630/J612)*D79</f>
        <v>45440.106813997336</v>
      </c>
      <c r="K669" s="2">
        <f>(K644/K612)*D75</f>
        <v>2201376.5589145436</v>
      </c>
      <c r="L669" s="2">
        <f>(L647/L612)*D80</f>
        <v>492497.61552463414</v>
      </c>
      <c r="M669" s="2">
        <f t="shared" si="21"/>
        <v>4453842</v>
      </c>
      <c r="N669" s="332" t="s">
        <v>664</v>
      </c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  <c r="AH669" s="2"/>
      <c r="AI669" s="2"/>
      <c r="AJ669" s="2"/>
      <c r="AK669" s="2"/>
      <c r="AL669" s="2"/>
      <c r="AM669" s="2"/>
      <c r="AN669" s="2"/>
      <c r="AO669" s="2"/>
      <c r="AP669" s="2"/>
      <c r="AQ669" s="2"/>
      <c r="AR669" s="2"/>
      <c r="AS669" s="2"/>
      <c r="AT669" s="2"/>
      <c r="AU669" s="2"/>
      <c r="AV669" s="2"/>
      <c r="AW669" s="2"/>
      <c r="AX669" s="2"/>
      <c r="AY669" s="2"/>
      <c r="AZ669" s="2"/>
      <c r="BA669" s="2"/>
      <c r="BB669" s="2"/>
      <c r="BC669" s="2"/>
      <c r="BD669" s="2"/>
      <c r="BE669" s="2"/>
      <c r="BF669" s="2"/>
      <c r="BG669" s="2"/>
      <c r="BH669" s="2"/>
      <c r="BI669" s="2"/>
      <c r="BJ669" s="2"/>
      <c r="BK669" s="2"/>
      <c r="BL669" s="2"/>
      <c r="BM669" s="2"/>
      <c r="BN669" s="2"/>
      <c r="BO669" s="2"/>
      <c r="BP669" s="2"/>
      <c r="BQ669" s="2"/>
      <c r="BR669" s="2"/>
      <c r="BS669" s="2"/>
      <c r="BT669" s="2"/>
      <c r="BU669" s="2"/>
      <c r="BV669" s="2"/>
      <c r="BW669" s="2"/>
      <c r="BX669" s="2"/>
      <c r="BY669" s="2"/>
      <c r="BZ669" s="2"/>
      <c r="CA669" s="2"/>
      <c r="CB669" s="2"/>
      <c r="CC669" s="2"/>
      <c r="CD669" s="2"/>
      <c r="CE669" s="2"/>
      <c r="CF669" s="2"/>
    </row>
    <row r="670" spans="1:84" ht="12.65" customHeight="1" x14ac:dyDescent="0.35">
      <c r="A670" s="338">
        <v>6070</v>
      </c>
      <c r="B670" s="332" t="s">
        <v>665</v>
      </c>
      <c r="C670" s="2">
        <f>E71</f>
        <v>33958631.68</v>
      </c>
      <c r="D670" s="2">
        <f>(D615/D612)*E76</f>
        <v>2674130.9621333126</v>
      </c>
      <c r="E670" s="2">
        <f>(E623/E612)*SUM(C670:D670)</f>
        <v>2234642.2224541125</v>
      </c>
      <c r="F670" s="2">
        <f>(F624/F612)*E64</f>
        <v>62357.13927764089</v>
      </c>
      <c r="G670" s="2">
        <f>(G625/G612)*E77</f>
        <v>0</v>
      </c>
      <c r="H670" s="2">
        <f>(H628/H612)*E60</f>
        <v>981112.4637126571</v>
      </c>
      <c r="I670" s="2">
        <f>(I629/I612)*E78</f>
        <v>931998.58375442401</v>
      </c>
      <c r="J670" s="2">
        <f>(J630/J612)*E79</f>
        <v>123256.1409472667</v>
      </c>
      <c r="K670" s="2">
        <f>(K644/K612)*E75</f>
        <v>6618612.8233908024</v>
      </c>
      <c r="L670" s="2">
        <f>(L647/L612)*E80</f>
        <v>1954748.2777863413</v>
      </c>
      <c r="M670" s="2">
        <f t="shared" si="21"/>
        <v>15580859</v>
      </c>
      <c r="N670" s="332" t="s">
        <v>666</v>
      </c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  <c r="AH670" s="2"/>
      <c r="AI670" s="2"/>
      <c r="AJ670" s="2"/>
      <c r="AK670" s="2"/>
      <c r="AL670" s="2"/>
      <c r="AM670" s="2"/>
      <c r="AN670" s="2"/>
      <c r="AO670" s="2"/>
      <c r="AP670" s="2"/>
      <c r="AQ670" s="2"/>
      <c r="AR670" s="2"/>
      <c r="AS670" s="2"/>
      <c r="AT670" s="2"/>
      <c r="AU670" s="2"/>
      <c r="AV670" s="2"/>
      <c r="AW670" s="2"/>
      <c r="AX670" s="2"/>
      <c r="AY670" s="2"/>
      <c r="AZ670" s="2"/>
      <c r="BA670" s="2"/>
      <c r="BB670" s="2"/>
      <c r="BC670" s="2"/>
      <c r="BD670" s="2"/>
      <c r="BE670" s="2"/>
      <c r="BF670" s="2"/>
      <c r="BG670" s="2"/>
      <c r="BH670" s="2"/>
      <c r="BI670" s="2"/>
      <c r="BJ670" s="2"/>
      <c r="BK670" s="2"/>
      <c r="BL670" s="2"/>
      <c r="BM670" s="2"/>
      <c r="BN670" s="2"/>
      <c r="BO670" s="2"/>
      <c r="BP670" s="2"/>
      <c r="BQ670" s="2"/>
      <c r="BR670" s="2"/>
      <c r="BS670" s="2"/>
      <c r="BT670" s="2"/>
      <c r="BU670" s="2"/>
      <c r="BV670" s="2"/>
      <c r="BW670" s="2"/>
      <c r="BX670" s="2"/>
      <c r="BY670" s="2"/>
      <c r="BZ670" s="2"/>
      <c r="CA670" s="2"/>
      <c r="CB670" s="2"/>
      <c r="CC670" s="2"/>
      <c r="CD670" s="2"/>
      <c r="CE670" s="2"/>
      <c r="CF670" s="2"/>
    </row>
    <row r="671" spans="1:84" ht="12.65" customHeight="1" x14ac:dyDescent="0.35">
      <c r="A671" s="338">
        <v>6100</v>
      </c>
      <c r="B671" s="332" t="s">
        <v>667</v>
      </c>
      <c r="C671" s="2">
        <f>F71</f>
        <v>879057.72000000009</v>
      </c>
      <c r="D671" s="2">
        <f>(D615/D612)*F76</f>
        <v>0</v>
      </c>
      <c r="E671" s="2">
        <f>(E623/E612)*SUM(C671:D671)</f>
        <v>53623.569597421149</v>
      </c>
      <c r="F671" s="2">
        <f>(F624/F612)*F64</f>
        <v>861.53347791200247</v>
      </c>
      <c r="G671" s="2">
        <f>(G625/G612)*F77</f>
        <v>0</v>
      </c>
      <c r="H671" s="2">
        <f>(H628/H612)*F60</f>
        <v>24254.623168929207</v>
      </c>
      <c r="I671" s="2">
        <f>(I629/I612)*F78</f>
        <v>0</v>
      </c>
      <c r="J671" s="2">
        <f>(J630/J612)*F79</f>
        <v>0</v>
      </c>
      <c r="K671" s="2">
        <f>(K644/K612)*F75</f>
        <v>0</v>
      </c>
      <c r="L671" s="2">
        <f>(L647/L612)*F80</f>
        <v>1825.9577334606806</v>
      </c>
      <c r="M671" s="2">
        <f t="shared" si="21"/>
        <v>80566</v>
      </c>
      <c r="N671" s="332" t="s">
        <v>668</v>
      </c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  <c r="AH671" s="2"/>
      <c r="AI671" s="2"/>
      <c r="AJ671" s="2"/>
      <c r="AK671" s="2"/>
      <c r="AL671" s="2"/>
      <c r="AM671" s="2"/>
      <c r="AN671" s="2"/>
      <c r="AO671" s="2"/>
      <c r="AP671" s="2"/>
      <c r="AQ671" s="2"/>
      <c r="AR671" s="2"/>
      <c r="AS671" s="2"/>
      <c r="AT671" s="2"/>
      <c r="AU671" s="2"/>
      <c r="AV671" s="2"/>
      <c r="AW671" s="2"/>
      <c r="AX671" s="2"/>
      <c r="AY671" s="2"/>
      <c r="AZ671" s="2"/>
      <c r="BA671" s="2"/>
      <c r="BB671" s="2"/>
      <c r="BC671" s="2"/>
      <c r="BD671" s="2"/>
      <c r="BE671" s="2"/>
      <c r="BF671" s="2"/>
      <c r="BG671" s="2"/>
      <c r="BH671" s="2"/>
      <c r="BI671" s="2"/>
      <c r="BJ671" s="2"/>
      <c r="BK671" s="2"/>
      <c r="BL671" s="2"/>
      <c r="BM671" s="2"/>
      <c r="BN671" s="2"/>
      <c r="BO671" s="2"/>
      <c r="BP671" s="2"/>
      <c r="BQ671" s="2"/>
      <c r="BR671" s="2"/>
      <c r="BS671" s="2"/>
      <c r="BT671" s="2"/>
      <c r="BU671" s="2"/>
      <c r="BV671" s="2"/>
      <c r="BW671" s="2"/>
      <c r="BX671" s="2"/>
      <c r="BY671" s="2"/>
      <c r="BZ671" s="2"/>
      <c r="CA671" s="2"/>
      <c r="CB671" s="2"/>
      <c r="CC671" s="2"/>
      <c r="CD671" s="2"/>
      <c r="CE671" s="2"/>
      <c r="CF671" s="2"/>
    </row>
    <row r="672" spans="1:84" ht="12.65" customHeight="1" x14ac:dyDescent="0.35">
      <c r="A672" s="338">
        <v>6120</v>
      </c>
      <c r="B672" s="332" t="s">
        <v>669</v>
      </c>
      <c r="C672" s="2">
        <f>G71</f>
        <v>2482060.7999999998</v>
      </c>
      <c r="D672" s="2">
        <f>(D615/D612)*G76</f>
        <v>216223.22772179084</v>
      </c>
      <c r="E672" s="2">
        <f>(E623/E612)*SUM(C672:D672)</f>
        <v>164598.54462588564</v>
      </c>
      <c r="F672" s="2">
        <f>(F624/F612)*G64</f>
        <v>2836.1464289048217</v>
      </c>
      <c r="G672" s="2">
        <f>(G625/G612)*G77</f>
        <v>0</v>
      </c>
      <c r="H672" s="2">
        <f>(H628/H612)*G60</f>
        <v>63447.792149790715</v>
      </c>
      <c r="I672" s="2">
        <f>(I629/I612)*G78</f>
        <v>75336.441755209729</v>
      </c>
      <c r="J672" s="2">
        <f>(J630/J612)*G79</f>
        <v>8489.5986206067719</v>
      </c>
      <c r="K672" s="2">
        <f>(K644/K612)*G75</f>
        <v>705152.81671346573</v>
      </c>
      <c r="L672" s="2">
        <f>(L647/L612)*G80</f>
        <v>130586.36792869227</v>
      </c>
      <c r="M672" s="2">
        <f t="shared" si="21"/>
        <v>1366671</v>
      </c>
      <c r="N672" s="332" t="s">
        <v>670</v>
      </c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  <c r="AF672" s="2"/>
      <c r="AG672" s="2"/>
      <c r="AH672" s="2"/>
      <c r="AI672" s="2"/>
      <c r="AJ672" s="2"/>
      <c r="AK672" s="2"/>
      <c r="AL672" s="2"/>
      <c r="AM672" s="2"/>
      <c r="AN672" s="2"/>
      <c r="AO672" s="2"/>
      <c r="AP672" s="2"/>
      <c r="AQ672" s="2"/>
      <c r="AR672" s="2"/>
      <c r="AS672" s="2"/>
      <c r="AT672" s="2"/>
      <c r="AU672" s="2"/>
      <c r="AV672" s="2"/>
      <c r="AW672" s="2"/>
      <c r="AX672" s="2"/>
      <c r="AY672" s="2"/>
      <c r="AZ672" s="2"/>
      <c r="BA672" s="2"/>
      <c r="BB672" s="2"/>
      <c r="BC672" s="2"/>
      <c r="BD672" s="2"/>
      <c r="BE672" s="2"/>
      <c r="BF672" s="2"/>
      <c r="BG672" s="2"/>
      <c r="BH672" s="2"/>
      <c r="BI672" s="2"/>
      <c r="BJ672" s="2"/>
      <c r="BK672" s="2"/>
      <c r="BL672" s="2"/>
      <c r="BM672" s="2"/>
      <c r="BN672" s="2"/>
      <c r="BO672" s="2"/>
      <c r="BP672" s="2"/>
      <c r="BQ672" s="2"/>
      <c r="BR672" s="2"/>
      <c r="BS672" s="2"/>
      <c r="BT672" s="2"/>
      <c r="BU672" s="2"/>
      <c r="BV672" s="2"/>
      <c r="BW672" s="2"/>
      <c r="BX672" s="2"/>
      <c r="BY672" s="2"/>
      <c r="BZ672" s="2"/>
      <c r="CA672" s="2"/>
      <c r="CB672" s="2"/>
      <c r="CC672" s="2"/>
      <c r="CD672" s="2"/>
      <c r="CE672" s="2"/>
      <c r="CF672" s="2"/>
    </row>
    <row r="673" spans="1:84" ht="12.65" customHeight="1" x14ac:dyDescent="0.35">
      <c r="A673" s="338">
        <v>6140</v>
      </c>
      <c r="B673" s="332" t="s">
        <v>671</v>
      </c>
      <c r="C673" s="2">
        <f>H71</f>
        <v>0</v>
      </c>
      <c r="D673" s="2">
        <f>(D615/D612)*H76</f>
        <v>0</v>
      </c>
      <c r="E673" s="2">
        <f>(E623/E612)*SUM(C673:D673)</f>
        <v>0</v>
      </c>
      <c r="F673" s="2">
        <f>(F624/F612)*H64</f>
        <v>0</v>
      </c>
      <c r="G673" s="2">
        <f>(G625/G612)*H77</f>
        <v>0</v>
      </c>
      <c r="H673" s="2">
        <f>(H628/H612)*H60</f>
        <v>0</v>
      </c>
      <c r="I673" s="2">
        <f>(I629/I612)*H78</f>
        <v>0</v>
      </c>
      <c r="J673" s="2">
        <f>(J630/J612)*H79</f>
        <v>0</v>
      </c>
      <c r="K673" s="2">
        <f>(K644/K612)*H75</f>
        <v>0</v>
      </c>
      <c r="L673" s="2">
        <f>(L647/L612)*H80</f>
        <v>0</v>
      </c>
      <c r="M673" s="2">
        <f t="shared" si="21"/>
        <v>0</v>
      </c>
      <c r="N673" s="332" t="s">
        <v>672</v>
      </c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  <c r="AF673" s="2"/>
      <c r="AG673" s="2"/>
      <c r="AH673" s="2"/>
      <c r="AI673" s="2"/>
      <c r="AJ673" s="2"/>
      <c r="AK673" s="2"/>
      <c r="AL673" s="2"/>
      <c r="AM673" s="2"/>
      <c r="AN673" s="2"/>
      <c r="AO673" s="2"/>
      <c r="AP673" s="2"/>
      <c r="AQ673" s="2"/>
      <c r="AR673" s="2"/>
      <c r="AS673" s="2"/>
      <c r="AT673" s="2"/>
      <c r="AU673" s="2"/>
      <c r="AV673" s="2"/>
      <c r="AW673" s="2"/>
      <c r="AX673" s="2"/>
      <c r="AY673" s="2"/>
      <c r="AZ673" s="2"/>
      <c r="BA673" s="2"/>
      <c r="BB673" s="2"/>
      <c r="BC673" s="2"/>
      <c r="BD673" s="2"/>
      <c r="BE673" s="2"/>
      <c r="BF673" s="2"/>
      <c r="BG673" s="2"/>
      <c r="BH673" s="2"/>
      <c r="BI673" s="2"/>
      <c r="BJ673" s="2"/>
      <c r="BK673" s="2"/>
      <c r="BL673" s="2"/>
      <c r="BM673" s="2"/>
      <c r="BN673" s="2"/>
      <c r="BO673" s="2"/>
      <c r="BP673" s="2"/>
      <c r="BQ673" s="2"/>
      <c r="BR673" s="2"/>
      <c r="BS673" s="2"/>
      <c r="BT673" s="2"/>
      <c r="BU673" s="2"/>
      <c r="BV673" s="2"/>
      <c r="BW673" s="2"/>
      <c r="BX673" s="2"/>
      <c r="BY673" s="2"/>
      <c r="BZ673" s="2"/>
      <c r="CA673" s="2"/>
      <c r="CB673" s="2"/>
      <c r="CC673" s="2"/>
      <c r="CD673" s="2"/>
      <c r="CE673" s="2"/>
      <c r="CF673" s="2"/>
    </row>
    <row r="674" spans="1:84" ht="12.65" customHeight="1" x14ac:dyDescent="0.35">
      <c r="A674" s="338">
        <v>6150</v>
      </c>
      <c r="B674" s="332" t="s">
        <v>673</v>
      </c>
      <c r="C674" s="2">
        <f>I71</f>
        <v>0</v>
      </c>
      <c r="D674" s="2">
        <f>(D615/D612)*I76</f>
        <v>0</v>
      </c>
      <c r="E674" s="2">
        <f>(E623/E612)*SUM(C674:D674)</f>
        <v>0</v>
      </c>
      <c r="F674" s="2">
        <f>(F624/F612)*I64</f>
        <v>0</v>
      </c>
      <c r="G674" s="2">
        <f>(G625/G612)*I77</f>
        <v>0</v>
      </c>
      <c r="H674" s="2">
        <f>(H628/H612)*I60</f>
        <v>0</v>
      </c>
      <c r="I674" s="2">
        <f>(I629/I612)*I78</f>
        <v>0</v>
      </c>
      <c r="J674" s="2">
        <f>(J630/J612)*I79</f>
        <v>0</v>
      </c>
      <c r="K674" s="2">
        <f>(K644/K612)*I75</f>
        <v>0</v>
      </c>
      <c r="L674" s="2">
        <f>(L647/L612)*I80</f>
        <v>0</v>
      </c>
      <c r="M674" s="2">
        <f t="shared" si="21"/>
        <v>0</v>
      </c>
      <c r="N674" s="332" t="s">
        <v>674</v>
      </c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  <c r="AH674" s="2"/>
      <c r="AI674" s="2"/>
      <c r="AJ674" s="2"/>
      <c r="AK674" s="2"/>
      <c r="AL674" s="2"/>
      <c r="AM674" s="2"/>
      <c r="AN674" s="2"/>
      <c r="AO674" s="2"/>
      <c r="AP674" s="2"/>
      <c r="AQ674" s="2"/>
      <c r="AR674" s="2"/>
      <c r="AS674" s="2"/>
      <c r="AT674" s="2"/>
      <c r="AU674" s="2"/>
      <c r="AV674" s="2"/>
      <c r="AW674" s="2"/>
      <c r="AX674" s="2"/>
      <c r="AY674" s="2"/>
      <c r="AZ674" s="2"/>
      <c r="BA674" s="2"/>
      <c r="BB674" s="2"/>
      <c r="BC674" s="2"/>
      <c r="BD674" s="2"/>
      <c r="BE674" s="2"/>
      <c r="BF674" s="2"/>
      <c r="BG674" s="2"/>
      <c r="BH674" s="2"/>
      <c r="BI674" s="2"/>
      <c r="BJ674" s="2"/>
      <c r="BK674" s="2"/>
      <c r="BL674" s="2"/>
      <c r="BM674" s="2"/>
      <c r="BN674" s="2"/>
      <c r="BO674" s="2"/>
      <c r="BP674" s="2"/>
      <c r="BQ674" s="2"/>
      <c r="BR674" s="2"/>
      <c r="BS674" s="2"/>
      <c r="BT674" s="2"/>
      <c r="BU674" s="2"/>
      <c r="BV674" s="2"/>
      <c r="BW674" s="2"/>
      <c r="BX674" s="2"/>
      <c r="BY674" s="2"/>
      <c r="BZ674" s="2"/>
      <c r="CA674" s="2"/>
      <c r="CB674" s="2"/>
      <c r="CC674" s="2"/>
      <c r="CD674" s="2"/>
      <c r="CE674" s="2"/>
      <c r="CF674" s="2"/>
    </row>
    <row r="675" spans="1:84" ht="12.65" customHeight="1" x14ac:dyDescent="0.35">
      <c r="A675" s="338">
        <v>6170</v>
      </c>
      <c r="B675" s="332" t="s">
        <v>99</v>
      </c>
      <c r="C675" s="2">
        <f>J71</f>
        <v>0</v>
      </c>
      <c r="D675" s="2">
        <f>(D615/D612)*J76</f>
        <v>0</v>
      </c>
      <c r="E675" s="2">
        <f>(E623/E612)*SUM(C675:D675)</f>
        <v>0</v>
      </c>
      <c r="F675" s="2">
        <f>(F624/F612)*J64</f>
        <v>0</v>
      </c>
      <c r="G675" s="2">
        <f>(G625/G612)*J77</f>
        <v>0</v>
      </c>
      <c r="H675" s="2">
        <f>(H628/H612)*J60</f>
        <v>0</v>
      </c>
      <c r="I675" s="2">
        <f>(I629/I612)*J78</f>
        <v>0</v>
      </c>
      <c r="J675" s="2">
        <f>(J630/J612)*J79</f>
        <v>0</v>
      </c>
      <c r="K675" s="2">
        <f>(K644/K612)*J75</f>
        <v>0</v>
      </c>
      <c r="L675" s="2">
        <f>(L647/L612)*J80</f>
        <v>0</v>
      </c>
      <c r="M675" s="2">
        <f t="shared" si="21"/>
        <v>0</v>
      </c>
      <c r="N675" s="332" t="s">
        <v>675</v>
      </c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  <c r="AH675" s="2"/>
      <c r="AI675" s="2"/>
      <c r="AJ675" s="2"/>
      <c r="AK675" s="2"/>
      <c r="AL675" s="2"/>
      <c r="AM675" s="2"/>
      <c r="AN675" s="2"/>
      <c r="AO675" s="2"/>
      <c r="AP675" s="2"/>
      <c r="AQ675" s="2"/>
      <c r="AR675" s="2"/>
      <c r="AS675" s="2"/>
      <c r="AT675" s="2"/>
      <c r="AU675" s="2"/>
      <c r="AV675" s="2"/>
      <c r="AW675" s="2"/>
      <c r="AX675" s="2"/>
      <c r="AY675" s="2"/>
      <c r="AZ675" s="2"/>
      <c r="BA675" s="2"/>
      <c r="BB675" s="2"/>
      <c r="BC675" s="2"/>
      <c r="BD675" s="2"/>
      <c r="BE675" s="2"/>
      <c r="BF675" s="2"/>
      <c r="BG675" s="2"/>
      <c r="BH675" s="2"/>
      <c r="BI675" s="2"/>
      <c r="BJ675" s="2"/>
      <c r="BK675" s="2"/>
      <c r="BL675" s="2"/>
      <c r="BM675" s="2"/>
      <c r="BN675" s="2"/>
      <c r="BO675" s="2"/>
      <c r="BP675" s="2"/>
      <c r="BQ675" s="2"/>
      <c r="BR675" s="2"/>
      <c r="BS675" s="2"/>
      <c r="BT675" s="2"/>
      <c r="BU675" s="2"/>
      <c r="BV675" s="2"/>
      <c r="BW675" s="2"/>
      <c r="BX675" s="2"/>
      <c r="BY675" s="2"/>
      <c r="BZ675" s="2"/>
      <c r="CA675" s="2"/>
      <c r="CB675" s="2"/>
      <c r="CC675" s="2"/>
      <c r="CD675" s="2"/>
      <c r="CE675" s="2"/>
      <c r="CF675" s="2"/>
    </row>
    <row r="676" spans="1:84" ht="12.65" customHeight="1" x14ac:dyDescent="0.35">
      <c r="A676" s="338">
        <v>6200</v>
      </c>
      <c r="B676" s="332" t="s">
        <v>288</v>
      </c>
      <c r="C676" s="2">
        <f>K71</f>
        <v>0</v>
      </c>
      <c r="D676" s="2">
        <f>(D615/D612)*K76</f>
        <v>0</v>
      </c>
      <c r="E676" s="2">
        <f>(E623/E612)*SUM(C676:D676)</f>
        <v>0</v>
      </c>
      <c r="F676" s="2">
        <f>(F624/F612)*K64</f>
        <v>0</v>
      </c>
      <c r="G676" s="2">
        <f>(G625/G612)*K77</f>
        <v>0</v>
      </c>
      <c r="H676" s="2">
        <f>(H628/H612)*K60</f>
        <v>0</v>
      </c>
      <c r="I676" s="2">
        <f>(I629/I612)*K78</f>
        <v>0</v>
      </c>
      <c r="J676" s="2">
        <f>(J630/J612)*K79</f>
        <v>0</v>
      </c>
      <c r="K676" s="2">
        <f>(K644/K612)*K75</f>
        <v>0</v>
      </c>
      <c r="L676" s="2">
        <f>(L647/L612)*K80</f>
        <v>0</v>
      </c>
      <c r="M676" s="2">
        <f t="shared" si="21"/>
        <v>0</v>
      </c>
      <c r="N676" s="332" t="s">
        <v>676</v>
      </c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  <c r="AH676" s="2"/>
      <c r="AI676" s="2"/>
      <c r="AJ676" s="2"/>
      <c r="AK676" s="2"/>
      <c r="AL676" s="2"/>
      <c r="AM676" s="2"/>
      <c r="AN676" s="2"/>
      <c r="AO676" s="2"/>
      <c r="AP676" s="2"/>
      <c r="AQ676" s="2"/>
      <c r="AR676" s="2"/>
      <c r="AS676" s="2"/>
      <c r="AT676" s="2"/>
      <c r="AU676" s="2"/>
      <c r="AV676" s="2"/>
      <c r="AW676" s="2"/>
      <c r="AX676" s="2"/>
      <c r="AY676" s="2"/>
      <c r="AZ676" s="2"/>
      <c r="BA676" s="2"/>
      <c r="BB676" s="2"/>
      <c r="BC676" s="2"/>
      <c r="BD676" s="2"/>
      <c r="BE676" s="2"/>
      <c r="BF676" s="2"/>
      <c r="BG676" s="2"/>
      <c r="BH676" s="2"/>
      <c r="BI676" s="2"/>
      <c r="BJ676" s="2"/>
      <c r="BK676" s="2"/>
      <c r="BL676" s="2"/>
      <c r="BM676" s="2"/>
      <c r="BN676" s="2"/>
      <c r="BO676" s="2"/>
      <c r="BP676" s="2"/>
      <c r="BQ676" s="2"/>
      <c r="BR676" s="2"/>
      <c r="BS676" s="2"/>
      <c r="BT676" s="2"/>
      <c r="BU676" s="2"/>
      <c r="BV676" s="2"/>
      <c r="BW676" s="2"/>
      <c r="BX676" s="2"/>
      <c r="BY676" s="2"/>
      <c r="BZ676" s="2"/>
      <c r="CA676" s="2"/>
      <c r="CB676" s="2"/>
      <c r="CC676" s="2"/>
      <c r="CD676" s="2"/>
      <c r="CE676" s="2"/>
      <c r="CF676" s="2"/>
    </row>
    <row r="677" spans="1:84" ht="12.65" customHeight="1" x14ac:dyDescent="0.35">
      <c r="A677" s="338">
        <v>6210</v>
      </c>
      <c r="B677" s="332" t="s">
        <v>289</v>
      </c>
      <c r="C677" s="2">
        <f>L71</f>
        <v>0</v>
      </c>
      <c r="D677" s="2">
        <f>(D615/D612)*L76</f>
        <v>0</v>
      </c>
      <c r="E677" s="2">
        <f>(E623/E612)*SUM(C677:D677)</f>
        <v>0</v>
      </c>
      <c r="F677" s="2">
        <f>(F624/F612)*L64</f>
        <v>0</v>
      </c>
      <c r="G677" s="2">
        <f>(G625/G612)*L77</f>
        <v>0</v>
      </c>
      <c r="H677" s="2">
        <f>(H628/H612)*L60</f>
        <v>0</v>
      </c>
      <c r="I677" s="2">
        <f>(I629/I612)*L78</f>
        <v>0</v>
      </c>
      <c r="J677" s="2">
        <f>(J630/J612)*L79</f>
        <v>0</v>
      </c>
      <c r="K677" s="2">
        <f>(K644/K612)*L75</f>
        <v>0</v>
      </c>
      <c r="L677" s="2">
        <f>(L647/L612)*L80</f>
        <v>0</v>
      </c>
      <c r="M677" s="2">
        <f t="shared" si="21"/>
        <v>0</v>
      </c>
      <c r="N677" s="332" t="s">
        <v>677</v>
      </c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  <c r="AH677" s="2"/>
      <c r="AI677" s="2"/>
      <c r="AJ677" s="2"/>
      <c r="AK677" s="2"/>
      <c r="AL677" s="2"/>
      <c r="AM677" s="2"/>
      <c r="AN677" s="2"/>
      <c r="AO677" s="2"/>
      <c r="AP677" s="2"/>
      <c r="AQ677" s="2"/>
      <c r="AR677" s="2"/>
      <c r="AS677" s="2"/>
      <c r="AT677" s="2"/>
      <c r="AU677" s="2"/>
      <c r="AV677" s="2"/>
      <c r="AW677" s="2"/>
      <c r="AX677" s="2"/>
      <c r="AY677" s="2"/>
      <c r="AZ677" s="2"/>
      <c r="BA677" s="2"/>
      <c r="BB677" s="2"/>
      <c r="BC677" s="2"/>
      <c r="BD677" s="2"/>
      <c r="BE677" s="2"/>
      <c r="BF677" s="2"/>
      <c r="BG677" s="2"/>
      <c r="BH677" s="2"/>
      <c r="BI677" s="2"/>
      <c r="BJ677" s="2"/>
      <c r="BK677" s="2"/>
      <c r="BL677" s="2"/>
      <c r="BM677" s="2"/>
      <c r="BN677" s="2"/>
      <c r="BO677" s="2"/>
      <c r="BP677" s="2"/>
      <c r="BQ677" s="2"/>
      <c r="BR677" s="2"/>
      <c r="BS677" s="2"/>
      <c r="BT677" s="2"/>
      <c r="BU677" s="2"/>
      <c r="BV677" s="2"/>
      <c r="BW677" s="2"/>
      <c r="BX677" s="2"/>
      <c r="BY677" s="2"/>
      <c r="BZ677" s="2"/>
      <c r="CA677" s="2"/>
      <c r="CB677" s="2"/>
      <c r="CC677" s="2"/>
      <c r="CD677" s="2"/>
      <c r="CE677" s="2"/>
      <c r="CF677" s="2"/>
    </row>
    <row r="678" spans="1:84" ht="12.65" customHeight="1" x14ac:dyDescent="0.35">
      <c r="A678" s="338">
        <v>6330</v>
      </c>
      <c r="B678" s="332" t="s">
        <v>678</v>
      </c>
      <c r="C678" s="2">
        <f>M71</f>
        <v>6488093.5299999993</v>
      </c>
      <c r="D678" s="2">
        <f>(D615/D612)*M76</f>
        <v>487839.54181980737</v>
      </c>
      <c r="E678" s="2">
        <f>(E623/E612)*SUM(C678:D678)</f>
        <v>425540.23936412419</v>
      </c>
      <c r="F678" s="2">
        <f>(F624/F612)*M64</f>
        <v>4753.0960202682454</v>
      </c>
      <c r="G678" s="2">
        <f>(G625/G612)*M77</f>
        <v>0</v>
      </c>
      <c r="H678" s="2">
        <f>(H628/H612)*M60</f>
        <v>174603.03156909414</v>
      </c>
      <c r="I678" s="2">
        <f>(I629/I612)*M78</f>
        <v>170020.50091808985</v>
      </c>
      <c r="J678" s="2">
        <f>(J630/J612)*M79</f>
        <v>5965.007987761579</v>
      </c>
      <c r="K678" s="2">
        <f>(K644/K612)*M75</f>
        <v>330592.11354160652</v>
      </c>
      <c r="L678" s="2">
        <f>(L647/L612)*M80</f>
        <v>212622.33061533331</v>
      </c>
      <c r="M678" s="2">
        <f t="shared" si="21"/>
        <v>1811936</v>
      </c>
      <c r="N678" s="332" t="s">
        <v>679</v>
      </c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G678" s="2"/>
      <c r="AH678" s="2"/>
      <c r="AI678" s="2"/>
      <c r="AJ678" s="2"/>
      <c r="AK678" s="2"/>
      <c r="AL678" s="2"/>
      <c r="AM678" s="2"/>
      <c r="AN678" s="2"/>
      <c r="AO678" s="2"/>
      <c r="AP678" s="2"/>
      <c r="AQ678" s="2"/>
      <c r="AR678" s="2"/>
      <c r="AS678" s="2"/>
      <c r="AT678" s="2"/>
      <c r="AU678" s="2"/>
      <c r="AV678" s="2"/>
      <c r="AW678" s="2"/>
      <c r="AX678" s="2"/>
      <c r="AY678" s="2"/>
      <c r="AZ678" s="2"/>
      <c r="BA678" s="2"/>
      <c r="BB678" s="2"/>
      <c r="BC678" s="2"/>
      <c r="BD678" s="2"/>
      <c r="BE678" s="2"/>
      <c r="BF678" s="2"/>
      <c r="BG678" s="2"/>
      <c r="BH678" s="2"/>
      <c r="BI678" s="2"/>
      <c r="BJ678" s="2"/>
      <c r="BK678" s="2"/>
      <c r="BL678" s="2"/>
      <c r="BM678" s="2"/>
      <c r="BN678" s="2"/>
      <c r="BO678" s="2"/>
      <c r="BP678" s="2"/>
      <c r="BQ678" s="2"/>
      <c r="BR678" s="2"/>
      <c r="BS678" s="2"/>
      <c r="BT678" s="2"/>
      <c r="BU678" s="2"/>
      <c r="BV678" s="2"/>
      <c r="BW678" s="2"/>
      <c r="BX678" s="2"/>
      <c r="BY678" s="2"/>
      <c r="BZ678" s="2"/>
      <c r="CA678" s="2"/>
      <c r="CB678" s="2"/>
      <c r="CC678" s="2"/>
      <c r="CD678" s="2"/>
      <c r="CE678" s="2"/>
      <c r="CF678" s="2"/>
    </row>
    <row r="679" spans="1:84" ht="12.65" customHeight="1" x14ac:dyDescent="0.35">
      <c r="A679" s="338">
        <v>6400</v>
      </c>
      <c r="B679" s="332" t="s">
        <v>680</v>
      </c>
      <c r="C679" s="2">
        <f>N71</f>
        <v>18217973.169999998</v>
      </c>
      <c r="D679" s="2">
        <f>(D615/D612)*N76</f>
        <v>120176.84619391453</v>
      </c>
      <c r="E679" s="2">
        <f>(E623/E612)*SUM(C679:D679)</f>
        <v>1118649.0275989203</v>
      </c>
      <c r="F679" s="2">
        <f>(F624/F612)*N64</f>
        <v>513.80288882917</v>
      </c>
      <c r="G679" s="2">
        <f>(G625/G612)*N77</f>
        <v>0</v>
      </c>
      <c r="H679" s="2">
        <f>(H628/H612)*N60</f>
        <v>173634.18081469595</v>
      </c>
      <c r="I679" s="2">
        <f>(I629/I612)*N78</f>
        <v>41875.665074135926</v>
      </c>
      <c r="J679" s="2">
        <f>(J630/J612)*N79</f>
        <v>0</v>
      </c>
      <c r="K679" s="2">
        <f>(K644/K612)*N75</f>
        <v>919661.44598473457</v>
      </c>
      <c r="L679" s="2">
        <f>(L647/L612)*N80</f>
        <v>0</v>
      </c>
      <c r="M679" s="2">
        <f t="shared" si="21"/>
        <v>2374511</v>
      </c>
      <c r="N679" s="332" t="s">
        <v>681</v>
      </c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  <c r="AG679" s="2"/>
      <c r="AH679" s="2"/>
      <c r="AI679" s="2"/>
      <c r="AJ679" s="2"/>
      <c r="AK679" s="2"/>
      <c r="AL679" s="2"/>
      <c r="AM679" s="2"/>
      <c r="AN679" s="2"/>
      <c r="AO679" s="2"/>
      <c r="AP679" s="2"/>
      <c r="AQ679" s="2"/>
      <c r="AR679" s="2"/>
      <c r="AS679" s="2"/>
      <c r="AT679" s="2"/>
      <c r="AU679" s="2"/>
      <c r="AV679" s="2"/>
      <c r="AW679" s="2"/>
      <c r="AX679" s="2"/>
      <c r="AY679" s="2"/>
      <c r="AZ679" s="2"/>
      <c r="BA679" s="2"/>
      <c r="BB679" s="2"/>
      <c r="BC679" s="2"/>
      <c r="BD679" s="2"/>
      <c r="BE679" s="2"/>
      <c r="BF679" s="2"/>
      <c r="BG679" s="2"/>
      <c r="BH679" s="2"/>
      <c r="BI679" s="2"/>
      <c r="BJ679" s="2"/>
      <c r="BK679" s="2"/>
      <c r="BL679" s="2"/>
      <c r="BM679" s="2"/>
      <c r="BN679" s="2"/>
      <c r="BO679" s="2"/>
      <c r="BP679" s="2"/>
      <c r="BQ679" s="2"/>
      <c r="BR679" s="2"/>
      <c r="BS679" s="2"/>
      <c r="BT679" s="2"/>
      <c r="BU679" s="2"/>
      <c r="BV679" s="2"/>
      <c r="BW679" s="2"/>
      <c r="BX679" s="2"/>
      <c r="BY679" s="2"/>
      <c r="BZ679" s="2"/>
      <c r="CA679" s="2"/>
      <c r="CB679" s="2"/>
      <c r="CC679" s="2"/>
      <c r="CD679" s="2"/>
      <c r="CE679" s="2"/>
      <c r="CF679" s="2"/>
    </row>
    <row r="680" spans="1:84" ht="12.65" customHeight="1" x14ac:dyDescent="0.35">
      <c r="A680" s="338">
        <v>7010</v>
      </c>
      <c r="B680" s="332" t="s">
        <v>682</v>
      </c>
      <c r="C680" s="2">
        <f>O71</f>
        <v>26227738.5</v>
      </c>
      <c r="D680" s="2">
        <f>(D615/D612)*O76</f>
        <v>1293226.4891019524</v>
      </c>
      <c r="E680" s="2">
        <f>(E623/E612)*SUM(C680:D680)</f>
        <v>1678811.6956430338</v>
      </c>
      <c r="F680" s="2">
        <f>(F624/F612)*O64</f>
        <v>61774.618746297929</v>
      </c>
      <c r="G680" s="2">
        <f>(G625/G612)*O77</f>
        <v>0</v>
      </c>
      <c r="H680" s="2">
        <f>(H628/H612)*O60</f>
        <v>621046.69280164083</v>
      </c>
      <c r="I680" s="2">
        <f>(I629/I612)*O78</f>
        <v>450693.47125676041</v>
      </c>
      <c r="J680" s="2">
        <f>(J630/J612)*O79</f>
        <v>73807.884308415407</v>
      </c>
      <c r="K680" s="2">
        <f>(K644/K612)*O75</f>
        <v>5410835.1999221165</v>
      </c>
      <c r="L680" s="2">
        <f>(L647/L612)*O80</f>
        <v>1499945.5028724594</v>
      </c>
      <c r="M680" s="2">
        <f t="shared" si="21"/>
        <v>11090142</v>
      </c>
      <c r="N680" s="332" t="s">
        <v>683</v>
      </c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  <c r="AG680" s="2"/>
      <c r="AH680" s="2"/>
      <c r="AI680" s="2"/>
      <c r="AJ680" s="2"/>
      <c r="AK680" s="2"/>
      <c r="AL680" s="2"/>
      <c r="AM680" s="2"/>
      <c r="AN680" s="2"/>
      <c r="AO680" s="2"/>
      <c r="AP680" s="2"/>
      <c r="AQ680" s="2"/>
      <c r="AR680" s="2"/>
      <c r="AS680" s="2"/>
      <c r="AT680" s="2"/>
      <c r="AU680" s="2"/>
      <c r="AV680" s="2"/>
      <c r="AW680" s="2"/>
      <c r="AX680" s="2"/>
      <c r="AY680" s="2"/>
      <c r="AZ680" s="2"/>
      <c r="BA680" s="2"/>
      <c r="BB680" s="2"/>
      <c r="BC680" s="2"/>
      <c r="BD680" s="2"/>
      <c r="BE680" s="2"/>
      <c r="BF680" s="2"/>
      <c r="BG680" s="2"/>
      <c r="BH680" s="2"/>
      <c r="BI680" s="2"/>
      <c r="BJ680" s="2"/>
      <c r="BK680" s="2"/>
      <c r="BL680" s="2"/>
      <c r="BM680" s="2"/>
      <c r="BN680" s="2"/>
      <c r="BO680" s="2"/>
      <c r="BP680" s="2"/>
      <c r="BQ680" s="2"/>
      <c r="BR680" s="2"/>
      <c r="BS680" s="2"/>
      <c r="BT680" s="2"/>
      <c r="BU680" s="2"/>
      <c r="BV680" s="2"/>
      <c r="BW680" s="2"/>
      <c r="BX680" s="2"/>
      <c r="BY680" s="2"/>
      <c r="BZ680" s="2"/>
      <c r="CA680" s="2"/>
      <c r="CB680" s="2"/>
      <c r="CC680" s="2"/>
      <c r="CD680" s="2"/>
      <c r="CE680" s="2"/>
      <c r="CF680" s="2"/>
    </row>
    <row r="681" spans="1:84" ht="12.65" customHeight="1" x14ac:dyDescent="0.35">
      <c r="A681" s="338">
        <v>7020</v>
      </c>
      <c r="B681" s="332" t="s">
        <v>684</v>
      </c>
      <c r="C681" s="2">
        <f>P71</f>
        <v>53477336.250000015</v>
      </c>
      <c r="D681" s="2">
        <f>(D615/D612)*P76</f>
        <v>1710909.3794641451</v>
      </c>
      <c r="E681" s="2">
        <f>(E623/E612)*SUM(C681:D681)</f>
        <v>3366548.8205611166</v>
      </c>
      <c r="F681" s="2">
        <f>(F624/F612)*P64</f>
        <v>1260806.4754569519</v>
      </c>
      <c r="G681" s="2">
        <f>(G625/G612)*P77</f>
        <v>0</v>
      </c>
      <c r="H681" s="2">
        <f>(H628/H612)*P60</f>
        <v>382919.05787358386</v>
      </c>
      <c r="I681" s="2">
        <f>(I629/I612)*P78</f>
        <v>596463.19145153742</v>
      </c>
      <c r="J681" s="2">
        <f>(J630/J612)*P79</f>
        <v>37133.022380244714</v>
      </c>
      <c r="K681" s="2">
        <f>(K644/K612)*P75</f>
        <v>13149651.55676637</v>
      </c>
      <c r="L681" s="2">
        <f>(L647/L612)*P80</f>
        <v>552805.96046221501</v>
      </c>
      <c r="M681" s="2">
        <f t="shared" si="21"/>
        <v>21057237</v>
      </c>
      <c r="N681" s="332" t="s">
        <v>685</v>
      </c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  <c r="AG681" s="2"/>
      <c r="AH681" s="2"/>
      <c r="AI681" s="2"/>
      <c r="AJ681" s="2"/>
      <c r="AK681" s="2"/>
      <c r="AL681" s="2"/>
      <c r="AM681" s="2"/>
      <c r="AN681" s="2"/>
      <c r="AO681" s="2"/>
      <c r="AP681" s="2"/>
      <c r="AQ681" s="2"/>
      <c r="AR681" s="2"/>
      <c r="AS681" s="2"/>
      <c r="AT681" s="2"/>
      <c r="AU681" s="2"/>
      <c r="AV681" s="2"/>
      <c r="AW681" s="2"/>
      <c r="AX681" s="2"/>
      <c r="AY681" s="2"/>
      <c r="AZ681" s="2"/>
      <c r="BA681" s="2"/>
      <c r="BB681" s="2"/>
      <c r="BC681" s="2"/>
      <c r="BD681" s="2"/>
      <c r="BE681" s="2"/>
      <c r="BF681" s="2"/>
      <c r="BG681" s="2"/>
      <c r="BH681" s="2"/>
      <c r="BI681" s="2"/>
      <c r="BJ681" s="2"/>
      <c r="BK681" s="2"/>
      <c r="BL681" s="2"/>
      <c r="BM681" s="2"/>
      <c r="BN681" s="2"/>
      <c r="BO681" s="2"/>
      <c r="BP681" s="2"/>
      <c r="BQ681" s="2"/>
      <c r="BR681" s="2"/>
      <c r="BS681" s="2"/>
      <c r="BT681" s="2"/>
      <c r="BU681" s="2"/>
      <c r="BV681" s="2"/>
      <c r="BW681" s="2"/>
      <c r="BX681" s="2"/>
      <c r="BY681" s="2"/>
      <c r="BZ681" s="2"/>
      <c r="CA681" s="2"/>
      <c r="CB681" s="2"/>
      <c r="CC681" s="2"/>
      <c r="CD681" s="2"/>
      <c r="CE681" s="2"/>
      <c r="CF681" s="2"/>
    </row>
    <row r="682" spans="1:84" ht="12.65" customHeight="1" x14ac:dyDescent="0.35">
      <c r="A682" s="338">
        <v>7030</v>
      </c>
      <c r="B682" s="332" t="s">
        <v>686</v>
      </c>
      <c r="C682" s="2">
        <f>Q71</f>
        <v>7578328.2399999993</v>
      </c>
      <c r="D682" s="2">
        <f>(D615/D612)*Q76</f>
        <v>121698.3730299997</v>
      </c>
      <c r="E682" s="2">
        <f>(E623/E612)*SUM(C682:D682)</f>
        <v>469710.80918987794</v>
      </c>
      <c r="F682" s="2">
        <f>(F624/F612)*Q64</f>
        <v>10878.909842189261</v>
      </c>
      <c r="G682" s="2">
        <f>(G625/G612)*Q77</f>
        <v>0</v>
      </c>
      <c r="H682" s="2">
        <f>(H628/H612)*Q60</f>
        <v>178228.53114731703</v>
      </c>
      <c r="I682" s="2">
        <f>(I629/I612)*Q78</f>
        <v>42405.736783935121</v>
      </c>
      <c r="J682" s="2">
        <f>(J630/J612)*Q79</f>
        <v>0</v>
      </c>
      <c r="K682" s="2">
        <f>(K644/K612)*Q75</f>
        <v>1197016.4456067977</v>
      </c>
      <c r="L682" s="2">
        <f>(L647/L612)*Q80</f>
        <v>462864.16651534539</v>
      </c>
      <c r="M682" s="2">
        <f t="shared" si="21"/>
        <v>2482803</v>
      </c>
      <c r="N682" s="332" t="s">
        <v>687</v>
      </c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  <c r="AH682" s="2"/>
      <c r="AI682" s="2"/>
      <c r="AJ682" s="2"/>
      <c r="AK682" s="2"/>
      <c r="AL682" s="2"/>
      <c r="AM682" s="2"/>
      <c r="AN682" s="2"/>
      <c r="AO682" s="2"/>
      <c r="AP682" s="2"/>
      <c r="AQ682" s="2"/>
      <c r="AR682" s="2"/>
      <c r="AS682" s="2"/>
      <c r="AT682" s="2"/>
      <c r="AU682" s="2"/>
      <c r="AV682" s="2"/>
      <c r="AW682" s="2"/>
      <c r="AX682" s="2"/>
      <c r="AY682" s="2"/>
      <c r="AZ682" s="2"/>
      <c r="BA682" s="2"/>
      <c r="BB682" s="2"/>
      <c r="BC682" s="2"/>
      <c r="BD682" s="2"/>
      <c r="BE682" s="2"/>
      <c r="BF682" s="2"/>
      <c r="BG682" s="2"/>
      <c r="BH682" s="2"/>
      <c r="BI682" s="2"/>
      <c r="BJ682" s="2"/>
      <c r="BK682" s="2"/>
      <c r="BL682" s="2"/>
      <c r="BM682" s="2"/>
      <c r="BN682" s="2"/>
      <c r="BO682" s="2"/>
      <c r="BP682" s="2"/>
      <c r="BQ682" s="2"/>
      <c r="BR682" s="2"/>
      <c r="BS682" s="2"/>
      <c r="BT682" s="2"/>
      <c r="BU682" s="2"/>
      <c r="BV682" s="2"/>
      <c r="BW682" s="2"/>
      <c r="BX682" s="2"/>
      <c r="BY682" s="2"/>
      <c r="BZ682" s="2"/>
      <c r="CA682" s="2"/>
      <c r="CB682" s="2"/>
      <c r="CC682" s="2"/>
      <c r="CD682" s="2"/>
      <c r="CE682" s="2"/>
      <c r="CF682" s="2"/>
    </row>
    <row r="683" spans="1:84" ht="12.65" customHeight="1" x14ac:dyDescent="0.35">
      <c r="A683" s="338">
        <v>7040</v>
      </c>
      <c r="B683" s="332" t="s">
        <v>107</v>
      </c>
      <c r="C683" s="2">
        <f>R71</f>
        <v>1294192.3599999999</v>
      </c>
      <c r="D683" s="2">
        <f>(D615/D612)*R76</f>
        <v>15476.78078580383</v>
      </c>
      <c r="E683" s="2">
        <f>(E623/E612)*SUM(C683:D683)</f>
        <v>79891.379965950691</v>
      </c>
      <c r="F683" s="2">
        <f>(F624/F612)*R64</f>
        <v>14427.322557081692</v>
      </c>
      <c r="G683" s="2">
        <f>(G625/G612)*R77</f>
        <v>0</v>
      </c>
      <c r="H683" s="2">
        <f>(H628/H612)*R60</f>
        <v>26608.859591381148</v>
      </c>
      <c r="I683" s="2">
        <f>(I629/I612)*R78</f>
        <v>5366.9760617167885</v>
      </c>
      <c r="J683" s="2">
        <f>(J630/J612)*R79</f>
        <v>0</v>
      </c>
      <c r="K683" s="2">
        <f>(K644/K612)*R75</f>
        <v>2058557.4630450616</v>
      </c>
      <c r="L683" s="2">
        <f>(L647/L612)*R80</f>
        <v>0</v>
      </c>
      <c r="M683" s="2">
        <f t="shared" si="21"/>
        <v>2200329</v>
      </c>
      <c r="N683" s="332" t="s">
        <v>688</v>
      </c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  <c r="AH683" s="2"/>
      <c r="AI683" s="2"/>
      <c r="AJ683" s="2"/>
      <c r="AK683" s="2"/>
      <c r="AL683" s="2"/>
      <c r="AM683" s="2"/>
      <c r="AN683" s="2"/>
      <c r="AO683" s="2"/>
      <c r="AP683" s="2"/>
      <c r="AQ683" s="2"/>
      <c r="AR683" s="2"/>
      <c r="AS683" s="2"/>
      <c r="AT683" s="2"/>
      <c r="AU683" s="2"/>
      <c r="AV683" s="2"/>
      <c r="AW683" s="2"/>
      <c r="AX683" s="2"/>
      <c r="AY683" s="2"/>
      <c r="AZ683" s="2"/>
      <c r="BA683" s="2"/>
      <c r="BB683" s="2"/>
      <c r="BC683" s="2"/>
      <c r="BD683" s="2"/>
      <c r="BE683" s="2"/>
      <c r="BF683" s="2"/>
      <c r="BG683" s="2"/>
      <c r="BH683" s="2"/>
      <c r="BI683" s="2"/>
      <c r="BJ683" s="2"/>
      <c r="BK683" s="2"/>
      <c r="BL683" s="2"/>
      <c r="BM683" s="2"/>
      <c r="BN683" s="2"/>
      <c r="BO683" s="2"/>
      <c r="BP683" s="2"/>
      <c r="BQ683" s="2"/>
      <c r="BR683" s="2"/>
      <c r="BS683" s="2"/>
      <c r="BT683" s="2"/>
      <c r="BU683" s="2"/>
      <c r="BV683" s="2"/>
      <c r="BW683" s="2"/>
      <c r="BX683" s="2"/>
      <c r="BY683" s="2"/>
      <c r="BZ683" s="2"/>
      <c r="CA683" s="2"/>
      <c r="CB683" s="2"/>
      <c r="CC683" s="2"/>
      <c r="CD683" s="2"/>
      <c r="CE683" s="2"/>
      <c r="CF683" s="2"/>
    </row>
    <row r="684" spans="1:84" ht="12.65" customHeight="1" x14ac:dyDescent="0.35">
      <c r="A684" s="338">
        <v>7050</v>
      </c>
      <c r="B684" s="332" t="s">
        <v>689</v>
      </c>
      <c r="C684" s="2">
        <f>S71</f>
        <v>2899012.1500000004</v>
      </c>
      <c r="D684" s="2">
        <f>(D615/D612)*S76</f>
        <v>244157.50947804199</v>
      </c>
      <c r="E684" s="2">
        <f>(E623/E612)*SUM(C684:D684)</f>
        <v>191737.09889212201</v>
      </c>
      <c r="F684" s="2">
        <f>(F624/F612)*S64</f>
        <v>24496.668111021056</v>
      </c>
      <c r="G684" s="2">
        <f>(G625/G612)*S77</f>
        <v>0</v>
      </c>
      <c r="H684" s="2">
        <f>(H628/H612)*S60</f>
        <v>72947.081837031088</v>
      </c>
      <c r="I684" s="2">
        <f>(I629/I612)*S78</f>
        <v>85076.509422769828</v>
      </c>
      <c r="J684" s="2">
        <f>(J630/J612)*S79</f>
        <v>4767.5981071943006</v>
      </c>
      <c r="K684" s="2">
        <f>(K644/K612)*S75</f>
        <v>0</v>
      </c>
      <c r="L684" s="2">
        <f>(L647/L612)*S80</f>
        <v>0</v>
      </c>
      <c r="M684" s="2">
        <f t="shared" si="21"/>
        <v>623182</v>
      </c>
      <c r="N684" s="332" t="s">
        <v>690</v>
      </c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  <c r="AH684" s="2"/>
      <c r="AI684" s="2"/>
      <c r="AJ684" s="2"/>
      <c r="AK684" s="2"/>
      <c r="AL684" s="2"/>
      <c r="AM684" s="2"/>
      <c r="AN684" s="2"/>
      <c r="AO684" s="2"/>
      <c r="AP684" s="2"/>
      <c r="AQ684" s="2"/>
      <c r="AR684" s="2"/>
      <c r="AS684" s="2"/>
      <c r="AT684" s="2"/>
      <c r="AU684" s="2"/>
      <c r="AV684" s="2"/>
      <c r="AW684" s="2"/>
      <c r="AX684" s="2"/>
      <c r="AY684" s="2"/>
      <c r="AZ684" s="2"/>
      <c r="BA684" s="2"/>
      <c r="BB684" s="2"/>
      <c r="BC684" s="2"/>
      <c r="BD684" s="2"/>
      <c r="BE684" s="2"/>
      <c r="BF684" s="2"/>
      <c r="BG684" s="2"/>
      <c r="BH684" s="2"/>
      <c r="BI684" s="2"/>
      <c r="BJ684" s="2"/>
      <c r="BK684" s="2"/>
      <c r="BL684" s="2"/>
      <c r="BM684" s="2"/>
      <c r="BN684" s="2"/>
      <c r="BO684" s="2"/>
      <c r="BP684" s="2"/>
      <c r="BQ684" s="2"/>
      <c r="BR684" s="2"/>
      <c r="BS684" s="2"/>
      <c r="BT684" s="2"/>
      <c r="BU684" s="2"/>
      <c r="BV684" s="2"/>
      <c r="BW684" s="2"/>
      <c r="BX684" s="2"/>
      <c r="BY684" s="2"/>
      <c r="BZ684" s="2"/>
      <c r="CA684" s="2"/>
      <c r="CB684" s="2"/>
      <c r="CC684" s="2"/>
      <c r="CD684" s="2"/>
      <c r="CE684" s="2"/>
      <c r="CF684" s="2"/>
    </row>
    <row r="685" spans="1:84" ht="12.65" customHeight="1" x14ac:dyDescent="0.35">
      <c r="A685" s="338">
        <v>7060</v>
      </c>
      <c r="B685" s="332" t="s">
        <v>691</v>
      </c>
      <c r="C685" s="2">
        <f>T71</f>
        <v>0</v>
      </c>
      <c r="D685" s="2">
        <f>(D615/D612)*T76</f>
        <v>0</v>
      </c>
      <c r="E685" s="2">
        <f>(E623/E612)*SUM(C685:D685)</f>
        <v>0</v>
      </c>
      <c r="F685" s="2">
        <f>(F624/F612)*T64</f>
        <v>0</v>
      </c>
      <c r="G685" s="2">
        <f>(G625/G612)*T77</f>
        <v>0</v>
      </c>
      <c r="H685" s="2">
        <f>(H628/H612)*T60</f>
        <v>0</v>
      </c>
      <c r="I685" s="2">
        <f>(I629/I612)*T78</f>
        <v>0</v>
      </c>
      <c r="J685" s="2">
        <f>(J630/J612)*T79</f>
        <v>0</v>
      </c>
      <c r="K685" s="2">
        <f>(K644/K612)*T75</f>
        <v>0</v>
      </c>
      <c r="L685" s="2">
        <f>(L647/L612)*T80</f>
        <v>0</v>
      </c>
      <c r="M685" s="2">
        <f t="shared" si="21"/>
        <v>0</v>
      </c>
      <c r="N685" s="332" t="s">
        <v>692</v>
      </c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  <c r="AH685" s="2"/>
      <c r="AI685" s="2"/>
      <c r="AJ685" s="2"/>
      <c r="AK685" s="2"/>
      <c r="AL685" s="2"/>
      <c r="AM685" s="2"/>
      <c r="AN685" s="2"/>
      <c r="AO685" s="2"/>
      <c r="AP685" s="2"/>
      <c r="AQ685" s="2"/>
      <c r="AR685" s="2"/>
      <c r="AS685" s="2"/>
      <c r="AT685" s="2"/>
      <c r="AU685" s="2"/>
      <c r="AV685" s="2"/>
      <c r="AW685" s="2"/>
      <c r="AX685" s="2"/>
      <c r="AY685" s="2"/>
      <c r="AZ685" s="2"/>
      <c r="BA685" s="2"/>
      <c r="BB685" s="2"/>
      <c r="BC685" s="2"/>
      <c r="BD685" s="2"/>
      <c r="BE685" s="2"/>
      <c r="BF685" s="2"/>
      <c r="BG685" s="2"/>
      <c r="BH685" s="2"/>
      <c r="BI685" s="2"/>
      <c r="BJ685" s="2"/>
      <c r="BK685" s="2"/>
      <c r="BL685" s="2"/>
      <c r="BM685" s="2"/>
      <c r="BN685" s="2"/>
      <c r="BO685" s="2"/>
      <c r="BP685" s="2"/>
      <c r="BQ685" s="2"/>
      <c r="BR685" s="2"/>
      <c r="BS685" s="2"/>
      <c r="BT685" s="2"/>
      <c r="BU685" s="2"/>
      <c r="BV685" s="2"/>
      <c r="BW685" s="2"/>
      <c r="BX685" s="2"/>
      <c r="BY685" s="2"/>
      <c r="BZ685" s="2"/>
      <c r="CA685" s="2"/>
      <c r="CB685" s="2"/>
      <c r="CC685" s="2"/>
      <c r="CD685" s="2"/>
      <c r="CE685" s="2"/>
      <c r="CF685" s="2"/>
    </row>
    <row r="686" spans="1:84" ht="12.65" customHeight="1" x14ac:dyDescent="0.35">
      <c r="A686" s="338">
        <v>7070</v>
      </c>
      <c r="B686" s="332" t="s">
        <v>109</v>
      </c>
      <c r="C686" s="2">
        <f>U71</f>
        <v>17543932.050000001</v>
      </c>
      <c r="D686" s="2">
        <f>(D615/D612)*U76</f>
        <v>367781.56490996201</v>
      </c>
      <c r="E686" s="2">
        <f>(E623/E612)*SUM(C686:D686)</f>
        <v>1092635.8984006194</v>
      </c>
      <c r="F686" s="2">
        <f>(F624/F612)*U64</f>
        <v>170655.39458285554</v>
      </c>
      <c r="G686" s="2">
        <f>(G625/G612)*U77</f>
        <v>0</v>
      </c>
      <c r="H686" s="2">
        <f>(H628/H612)*U60</f>
        <v>266091.57241382496</v>
      </c>
      <c r="I686" s="2">
        <f>(I629/I612)*U78</f>
        <v>128211.09480767883</v>
      </c>
      <c r="J686" s="2">
        <f>(J630/J612)*U79</f>
        <v>505.8970990271651</v>
      </c>
      <c r="K686" s="2">
        <f>(K644/K612)*U75</f>
        <v>5910548.4672516612</v>
      </c>
      <c r="L686" s="2">
        <f>(L647/L612)*U80</f>
        <v>8509.480435260557</v>
      </c>
      <c r="M686" s="2">
        <f t="shared" si="21"/>
        <v>7944939</v>
      </c>
      <c r="N686" s="332" t="s">
        <v>693</v>
      </c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  <c r="AG686" s="2"/>
      <c r="AH686" s="2"/>
      <c r="AI686" s="2"/>
      <c r="AJ686" s="2"/>
      <c r="AK686" s="2"/>
      <c r="AL686" s="2"/>
      <c r="AM686" s="2"/>
      <c r="AN686" s="2"/>
      <c r="AO686" s="2"/>
      <c r="AP686" s="2"/>
      <c r="AQ686" s="2"/>
      <c r="AR686" s="2"/>
      <c r="AS686" s="2"/>
      <c r="AT686" s="2"/>
      <c r="AU686" s="2"/>
      <c r="AV686" s="2"/>
      <c r="AW686" s="2"/>
      <c r="AX686" s="2"/>
      <c r="AY686" s="2"/>
      <c r="AZ686" s="2"/>
      <c r="BA686" s="2"/>
      <c r="BB686" s="2"/>
      <c r="BC686" s="2"/>
      <c r="BD686" s="2"/>
      <c r="BE686" s="2"/>
      <c r="BF686" s="2"/>
      <c r="BG686" s="2"/>
      <c r="BH686" s="2"/>
      <c r="BI686" s="2"/>
      <c r="BJ686" s="2"/>
      <c r="BK686" s="2"/>
      <c r="BL686" s="2"/>
      <c r="BM686" s="2"/>
      <c r="BN686" s="2"/>
      <c r="BO686" s="2"/>
      <c r="BP686" s="2"/>
      <c r="BQ686" s="2"/>
      <c r="BR686" s="2"/>
      <c r="BS686" s="2"/>
      <c r="BT686" s="2"/>
      <c r="BU686" s="2"/>
      <c r="BV686" s="2"/>
      <c r="BW686" s="2"/>
      <c r="BX686" s="2"/>
      <c r="BY686" s="2"/>
      <c r="BZ686" s="2"/>
      <c r="CA686" s="2"/>
      <c r="CB686" s="2"/>
      <c r="CC686" s="2"/>
      <c r="CD686" s="2"/>
      <c r="CE686" s="2"/>
      <c r="CF686" s="2"/>
    </row>
    <row r="687" spans="1:84" ht="12.65" customHeight="1" x14ac:dyDescent="0.35">
      <c r="A687" s="338">
        <v>7110</v>
      </c>
      <c r="B687" s="332" t="s">
        <v>694</v>
      </c>
      <c r="C687" s="2">
        <f>V71</f>
        <v>218160.22000000003</v>
      </c>
      <c r="D687" s="2">
        <f>(D615/D612)*V76</f>
        <v>7084.6093305215691</v>
      </c>
      <c r="E687" s="2">
        <f>(E623/E612)*SUM(C687:D687)</f>
        <v>13740.203296393862</v>
      </c>
      <c r="F687" s="2">
        <f>(F624/F612)*V64</f>
        <v>926.53538347449955</v>
      </c>
      <c r="G687" s="2">
        <f>(G625/G612)*V77</f>
        <v>0</v>
      </c>
      <c r="H687" s="2">
        <f>(H628/H612)*V60</f>
        <v>8603.0655331719081</v>
      </c>
      <c r="I687" s="2">
        <f>(I629/I612)*V78</f>
        <v>2451.5816578212489</v>
      </c>
      <c r="J687" s="2">
        <f>(J630/J612)*V79</f>
        <v>0</v>
      </c>
      <c r="K687" s="2">
        <f>(K644/K612)*V75</f>
        <v>107123.79098563011</v>
      </c>
      <c r="L687" s="2">
        <f>(L647/L612)*V80</f>
        <v>0</v>
      </c>
      <c r="M687" s="2">
        <f t="shared" si="21"/>
        <v>139930</v>
      </c>
      <c r="N687" s="332" t="s">
        <v>695</v>
      </c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  <c r="AG687" s="2"/>
      <c r="AH687" s="2"/>
      <c r="AI687" s="2"/>
      <c r="AJ687" s="2"/>
      <c r="AK687" s="2"/>
      <c r="AL687" s="2"/>
      <c r="AM687" s="2"/>
      <c r="AN687" s="2"/>
      <c r="AO687" s="2"/>
      <c r="AP687" s="2"/>
      <c r="AQ687" s="2"/>
      <c r="AR687" s="2"/>
      <c r="AS687" s="2"/>
      <c r="AT687" s="2"/>
      <c r="AU687" s="2"/>
      <c r="AV687" s="2"/>
      <c r="AW687" s="2"/>
      <c r="AX687" s="2"/>
      <c r="AY687" s="2"/>
      <c r="AZ687" s="2"/>
      <c r="BA687" s="2"/>
      <c r="BB687" s="2"/>
      <c r="BC687" s="2"/>
      <c r="BD687" s="2"/>
      <c r="BE687" s="2"/>
      <c r="BF687" s="2"/>
      <c r="BG687" s="2"/>
      <c r="BH687" s="2"/>
      <c r="BI687" s="2"/>
      <c r="BJ687" s="2"/>
      <c r="BK687" s="2"/>
      <c r="BL687" s="2"/>
      <c r="BM687" s="2"/>
      <c r="BN687" s="2"/>
      <c r="BO687" s="2"/>
      <c r="BP687" s="2"/>
      <c r="BQ687" s="2"/>
      <c r="BR687" s="2"/>
      <c r="BS687" s="2"/>
      <c r="BT687" s="2"/>
      <c r="BU687" s="2"/>
      <c r="BV687" s="2"/>
      <c r="BW687" s="2"/>
      <c r="BX687" s="2"/>
      <c r="BY687" s="2"/>
      <c r="BZ687" s="2"/>
      <c r="CA687" s="2"/>
      <c r="CB687" s="2"/>
      <c r="CC687" s="2"/>
      <c r="CD687" s="2"/>
      <c r="CE687" s="2"/>
      <c r="CF687" s="2"/>
    </row>
    <row r="688" spans="1:84" ht="12.65" customHeight="1" x14ac:dyDescent="0.35">
      <c r="A688" s="338">
        <v>7120</v>
      </c>
      <c r="B688" s="332" t="s">
        <v>696</v>
      </c>
      <c r="C688" s="2">
        <f>W71</f>
        <v>1361517.1</v>
      </c>
      <c r="D688" s="2">
        <f>(D615/D612)*W76</f>
        <v>73794.051550130709</v>
      </c>
      <c r="E688" s="2">
        <f>(E623/E612)*SUM(C688:D688)</f>
        <v>87555.692507999513</v>
      </c>
      <c r="F688" s="2">
        <f>(F624/F612)*W64</f>
        <v>6393.9759598585651</v>
      </c>
      <c r="G688" s="2">
        <f>(G625/G612)*W77</f>
        <v>0</v>
      </c>
      <c r="H688" s="2">
        <f>(H628/H612)*W60</f>
        <v>18993.081603867577</v>
      </c>
      <c r="I688" s="2">
        <f>(I629/I612)*W78</f>
        <v>25708.477925260664</v>
      </c>
      <c r="J688" s="2">
        <f>(J630/J612)*W79</f>
        <v>4545.4554372361781</v>
      </c>
      <c r="K688" s="2">
        <f>(K644/K612)*W75</f>
        <v>753704.50133734546</v>
      </c>
      <c r="L688" s="2">
        <f>(L647/L612)*W80</f>
        <v>0</v>
      </c>
      <c r="M688" s="2">
        <f t="shared" si="21"/>
        <v>970695</v>
      </c>
      <c r="N688" s="332" t="s">
        <v>697</v>
      </c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2"/>
      <c r="AH688" s="2"/>
      <c r="AI688" s="2"/>
      <c r="AJ688" s="2"/>
      <c r="AK688" s="2"/>
      <c r="AL688" s="2"/>
      <c r="AM688" s="2"/>
      <c r="AN688" s="2"/>
      <c r="AO688" s="2"/>
      <c r="AP688" s="2"/>
      <c r="AQ688" s="2"/>
      <c r="AR688" s="2"/>
      <c r="AS688" s="2"/>
      <c r="AT688" s="2"/>
      <c r="AU688" s="2"/>
      <c r="AV688" s="2"/>
      <c r="AW688" s="2"/>
      <c r="AX688" s="2"/>
      <c r="AY688" s="2"/>
      <c r="AZ688" s="2"/>
      <c r="BA688" s="2"/>
      <c r="BB688" s="2"/>
      <c r="BC688" s="2"/>
      <c r="BD688" s="2"/>
      <c r="BE688" s="2"/>
      <c r="BF688" s="2"/>
      <c r="BG688" s="2"/>
      <c r="BH688" s="2"/>
      <c r="BI688" s="2"/>
      <c r="BJ688" s="2"/>
      <c r="BK688" s="2"/>
      <c r="BL688" s="2"/>
      <c r="BM688" s="2"/>
      <c r="BN688" s="2"/>
      <c r="BO688" s="2"/>
      <c r="BP688" s="2"/>
      <c r="BQ688" s="2"/>
      <c r="BR688" s="2"/>
      <c r="BS688" s="2"/>
      <c r="BT688" s="2"/>
      <c r="BU688" s="2"/>
      <c r="BV688" s="2"/>
      <c r="BW688" s="2"/>
      <c r="BX688" s="2"/>
      <c r="BY688" s="2"/>
      <c r="BZ688" s="2"/>
      <c r="CA688" s="2"/>
      <c r="CB688" s="2"/>
      <c r="CC688" s="2"/>
      <c r="CD688" s="2"/>
      <c r="CE688" s="2"/>
      <c r="CF688" s="2"/>
    </row>
    <row r="689" spans="1:84" ht="12.65" customHeight="1" x14ac:dyDescent="0.35">
      <c r="A689" s="338">
        <v>7130</v>
      </c>
      <c r="B689" s="332" t="s">
        <v>698</v>
      </c>
      <c r="C689" s="2">
        <f>X71</f>
        <v>2606730.7199999997</v>
      </c>
      <c r="D689" s="2">
        <f>(D615/D612)*X76</f>
        <v>75268.030672588211</v>
      </c>
      <c r="E689" s="2">
        <f>(E623/E612)*SUM(C689:D689)</f>
        <v>163605.12329826088</v>
      </c>
      <c r="F689" s="2">
        <f>(F624/F612)*X64</f>
        <v>12845.359986523261</v>
      </c>
      <c r="G689" s="2">
        <f>(G625/G612)*X77</f>
        <v>0</v>
      </c>
      <c r="H689" s="2">
        <f>(H628/H612)*X60</f>
        <v>47475.402830224033</v>
      </c>
      <c r="I689" s="2">
        <f>(I629/I612)*X78</f>
        <v>26238.549635059855</v>
      </c>
      <c r="J689" s="2">
        <f>(J630/J612)*X79</f>
        <v>0</v>
      </c>
      <c r="K689" s="2">
        <f>(K644/K612)*X75</f>
        <v>3181065.1217893381</v>
      </c>
      <c r="L689" s="2">
        <f>(L647/L612)*X80</f>
        <v>0</v>
      </c>
      <c r="M689" s="2">
        <f t="shared" si="21"/>
        <v>3506498</v>
      </c>
      <c r="N689" s="332" t="s">
        <v>699</v>
      </c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2"/>
      <c r="AH689" s="2"/>
      <c r="AI689" s="2"/>
      <c r="AJ689" s="2"/>
      <c r="AK689" s="2"/>
      <c r="AL689" s="2"/>
      <c r="AM689" s="2"/>
      <c r="AN689" s="2"/>
      <c r="AO689" s="2"/>
      <c r="AP689" s="2"/>
      <c r="AQ689" s="2"/>
      <c r="AR689" s="2"/>
      <c r="AS689" s="2"/>
      <c r="AT689" s="2"/>
      <c r="AU689" s="2"/>
      <c r="AV689" s="2"/>
      <c r="AW689" s="2"/>
      <c r="AX689" s="2"/>
      <c r="AY689" s="2"/>
      <c r="AZ689" s="2"/>
      <c r="BA689" s="2"/>
      <c r="BB689" s="2"/>
      <c r="BC689" s="2"/>
      <c r="BD689" s="2"/>
      <c r="BE689" s="2"/>
      <c r="BF689" s="2"/>
      <c r="BG689" s="2"/>
      <c r="BH689" s="2"/>
      <c r="BI689" s="2"/>
      <c r="BJ689" s="2"/>
      <c r="BK689" s="2"/>
      <c r="BL689" s="2"/>
      <c r="BM689" s="2"/>
      <c r="BN689" s="2"/>
      <c r="BO689" s="2"/>
      <c r="BP689" s="2"/>
      <c r="BQ689" s="2"/>
      <c r="BR689" s="2"/>
      <c r="BS689" s="2"/>
      <c r="BT689" s="2"/>
      <c r="BU689" s="2"/>
      <c r="BV689" s="2"/>
      <c r="BW689" s="2"/>
      <c r="BX689" s="2"/>
      <c r="BY689" s="2"/>
      <c r="BZ689" s="2"/>
      <c r="CA689" s="2"/>
      <c r="CB689" s="2"/>
      <c r="CC689" s="2"/>
      <c r="CD689" s="2"/>
      <c r="CE689" s="2"/>
      <c r="CF689" s="2"/>
    </row>
    <row r="690" spans="1:84" ht="12.65" customHeight="1" x14ac:dyDescent="0.35">
      <c r="A690" s="338">
        <v>7140</v>
      </c>
      <c r="B690" s="332" t="s">
        <v>1249</v>
      </c>
      <c r="C690" s="2">
        <f>Y71</f>
        <v>30539349.609999999</v>
      </c>
      <c r="D690" s="2">
        <f>(D615/D612)*Y76</f>
        <v>1203622.8227706242</v>
      </c>
      <c r="E690" s="2">
        <f>(E623/E612)*SUM(C690:D690)</f>
        <v>1936359.186377086</v>
      </c>
      <c r="F690" s="2">
        <f>(F624/F612)*Y64</f>
        <v>208315.79148569325</v>
      </c>
      <c r="G690" s="2">
        <f>(G625/G612)*Y77</f>
        <v>0</v>
      </c>
      <c r="H690" s="2">
        <f>(H628/H612)*Y60</f>
        <v>497328.99500472104</v>
      </c>
      <c r="I690" s="2">
        <f>(I629/I612)*Y78</f>
        <v>419485.49934233318</v>
      </c>
      <c r="J690" s="2">
        <f>(J630/J612)*Y79</f>
        <v>57443.92362782111</v>
      </c>
      <c r="K690" s="2">
        <f>(K644/K612)*Y75</f>
        <v>8303036.135272936</v>
      </c>
      <c r="L690" s="2">
        <f>(L647/L612)*Y80</f>
        <v>258761.20942714941</v>
      </c>
      <c r="M690" s="2">
        <f t="shared" si="21"/>
        <v>12884354</v>
      </c>
      <c r="N690" s="332" t="s">
        <v>700</v>
      </c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2"/>
      <c r="AH690" s="2"/>
      <c r="AI690" s="2"/>
      <c r="AJ690" s="2"/>
      <c r="AK690" s="2"/>
      <c r="AL690" s="2"/>
      <c r="AM690" s="2"/>
      <c r="AN690" s="2"/>
      <c r="AO690" s="2"/>
      <c r="AP690" s="2"/>
      <c r="AQ690" s="2"/>
      <c r="AR690" s="2"/>
      <c r="AS690" s="2"/>
      <c r="AT690" s="2"/>
      <c r="AU690" s="2"/>
      <c r="AV690" s="2"/>
      <c r="AW690" s="2"/>
      <c r="AX690" s="2"/>
      <c r="AY690" s="2"/>
      <c r="AZ690" s="2"/>
      <c r="BA690" s="2"/>
      <c r="BB690" s="2"/>
      <c r="BC690" s="2"/>
      <c r="BD690" s="2"/>
      <c r="BE690" s="2"/>
      <c r="BF690" s="2"/>
      <c r="BG690" s="2"/>
      <c r="BH690" s="2"/>
      <c r="BI690" s="2"/>
      <c r="BJ690" s="2"/>
      <c r="BK690" s="2"/>
      <c r="BL690" s="2"/>
      <c r="BM690" s="2"/>
      <c r="BN690" s="2"/>
      <c r="BO690" s="2"/>
      <c r="BP690" s="2"/>
      <c r="BQ690" s="2"/>
      <c r="BR690" s="2"/>
      <c r="BS690" s="2"/>
      <c r="BT690" s="2"/>
      <c r="BU690" s="2"/>
      <c r="BV690" s="2"/>
      <c r="BW690" s="2"/>
      <c r="BX690" s="2"/>
      <c r="BY690" s="2"/>
      <c r="BZ690" s="2"/>
      <c r="CA690" s="2"/>
      <c r="CB690" s="2"/>
      <c r="CC690" s="2"/>
      <c r="CD690" s="2"/>
      <c r="CE690" s="2"/>
      <c r="CF690" s="2"/>
    </row>
    <row r="691" spans="1:84" ht="12.65" customHeight="1" x14ac:dyDescent="0.35">
      <c r="A691" s="338">
        <v>7150</v>
      </c>
      <c r="B691" s="332" t="s">
        <v>701</v>
      </c>
      <c r="C691" s="2">
        <f>Z71</f>
        <v>8133401.04</v>
      </c>
      <c r="D691" s="2">
        <f>(D615/D612)*Z76</f>
        <v>392102.22043051088</v>
      </c>
      <c r="E691" s="2">
        <f>(E623/E612)*SUM(C691:D691)</f>
        <v>520065.86943885364</v>
      </c>
      <c r="F691" s="2">
        <f>(F624/F612)*Z64</f>
        <v>17898.794022345635</v>
      </c>
      <c r="G691" s="2">
        <f>(G625/G612)*Z77</f>
        <v>0</v>
      </c>
      <c r="H691" s="2">
        <f>(H628/H612)*Z60</f>
        <v>76000.918324423605</v>
      </c>
      <c r="I691" s="2">
        <f>(I629/I612)*Z78</f>
        <v>136625.98320074094</v>
      </c>
      <c r="J691" s="2">
        <f>(J630/J612)*Z79</f>
        <v>10109.359759679233</v>
      </c>
      <c r="K691" s="2">
        <f>(K644/K612)*Z75</f>
        <v>1954564.5699002997</v>
      </c>
      <c r="L691" s="2">
        <f>(L647/L612)*Z80</f>
        <v>50003.040899288892</v>
      </c>
      <c r="M691" s="2">
        <f t="shared" si="21"/>
        <v>3157371</v>
      </c>
      <c r="N691" s="332" t="s">
        <v>702</v>
      </c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2"/>
      <c r="AH691" s="2"/>
      <c r="AI691" s="2"/>
      <c r="AJ691" s="2"/>
      <c r="AK691" s="2"/>
      <c r="AL691" s="2"/>
      <c r="AM691" s="2"/>
      <c r="AN691" s="2"/>
      <c r="AO691" s="2"/>
      <c r="AP691" s="2"/>
      <c r="AQ691" s="2"/>
      <c r="AR691" s="2"/>
      <c r="AS691" s="2"/>
      <c r="AT691" s="2"/>
      <c r="AU691" s="2"/>
      <c r="AV691" s="2"/>
      <c r="AW691" s="2"/>
      <c r="AX691" s="2"/>
      <c r="AY691" s="2"/>
      <c r="AZ691" s="2"/>
      <c r="BA691" s="2"/>
      <c r="BB691" s="2"/>
      <c r="BC691" s="2"/>
      <c r="BD691" s="2"/>
      <c r="BE691" s="2"/>
      <c r="BF691" s="2"/>
      <c r="BG691" s="2"/>
      <c r="BH691" s="2"/>
      <c r="BI691" s="2"/>
      <c r="BJ691" s="2"/>
      <c r="BK691" s="2"/>
      <c r="BL691" s="2"/>
      <c r="BM691" s="2"/>
      <c r="BN691" s="2"/>
      <c r="BO691" s="2"/>
      <c r="BP691" s="2"/>
      <c r="BQ691" s="2"/>
      <c r="BR691" s="2"/>
      <c r="BS691" s="2"/>
      <c r="BT691" s="2"/>
      <c r="BU691" s="2"/>
      <c r="BV691" s="2"/>
      <c r="BW691" s="2"/>
      <c r="BX691" s="2"/>
      <c r="BY691" s="2"/>
      <c r="BZ691" s="2"/>
      <c r="CA691" s="2"/>
      <c r="CB691" s="2"/>
      <c r="CC691" s="2"/>
      <c r="CD691" s="2"/>
      <c r="CE691" s="2"/>
      <c r="CF691" s="2"/>
    </row>
    <row r="692" spans="1:84" ht="12.65" customHeight="1" x14ac:dyDescent="0.35">
      <c r="A692" s="338">
        <v>7160</v>
      </c>
      <c r="B692" s="332" t="s">
        <v>703</v>
      </c>
      <c r="C692" s="2">
        <f>AA71</f>
        <v>1227813.33</v>
      </c>
      <c r="D692" s="2">
        <f>(D615/D612)*AA76</f>
        <v>27078.422910953246</v>
      </c>
      <c r="E692" s="2">
        <f>(E623/E612)*SUM(C692:D692)</f>
        <v>76549.893958556349</v>
      </c>
      <c r="F692" s="2">
        <f>(F624/F612)*AA64</f>
        <v>15498.622098717087</v>
      </c>
      <c r="G692" s="2">
        <f>(G625/G612)*AA77</f>
        <v>0</v>
      </c>
      <c r="H692" s="2">
        <f>(H628/H612)*AA60</f>
        <v>11262.165592301913</v>
      </c>
      <c r="I692" s="2">
        <f>(I629/I612)*AA78</f>
        <v>9408.772848935605</v>
      </c>
      <c r="J692" s="2">
        <f>(J630/J612)*AA79</f>
        <v>0</v>
      </c>
      <c r="K692" s="2">
        <f>(K644/K612)*AA75</f>
        <v>231335.4135500126</v>
      </c>
      <c r="L692" s="2">
        <f>(L647/L612)*AA80</f>
        <v>0</v>
      </c>
      <c r="M692" s="2">
        <f t="shared" si="21"/>
        <v>371133</v>
      </c>
      <c r="N692" s="332" t="s">
        <v>704</v>
      </c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  <c r="AG692" s="2"/>
      <c r="AH692" s="2"/>
      <c r="AI692" s="2"/>
      <c r="AJ692" s="2"/>
      <c r="AK692" s="2"/>
      <c r="AL692" s="2"/>
      <c r="AM692" s="2"/>
      <c r="AN692" s="2"/>
      <c r="AO692" s="2"/>
      <c r="AP692" s="2"/>
      <c r="AQ692" s="2"/>
      <c r="AR692" s="2"/>
      <c r="AS692" s="2"/>
      <c r="AT692" s="2"/>
      <c r="AU692" s="2"/>
      <c r="AV692" s="2"/>
      <c r="AW692" s="2"/>
      <c r="AX692" s="2"/>
      <c r="AY692" s="2"/>
      <c r="AZ692" s="2"/>
      <c r="BA692" s="2"/>
      <c r="BB692" s="2"/>
      <c r="BC692" s="2"/>
      <c r="BD692" s="2"/>
      <c r="BE692" s="2"/>
      <c r="BF692" s="2"/>
      <c r="BG692" s="2"/>
      <c r="BH692" s="2"/>
      <c r="BI692" s="2"/>
      <c r="BJ692" s="2"/>
      <c r="BK692" s="2"/>
      <c r="BL692" s="2"/>
      <c r="BM692" s="2"/>
      <c r="BN692" s="2"/>
      <c r="BO692" s="2"/>
      <c r="BP692" s="2"/>
      <c r="BQ692" s="2"/>
      <c r="BR692" s="2"/>
      <c r="BS692" s="2"/>
      <c r="BT692" s="2"/>
      <c r="BU692" s="2"/>
      <c r="BV692" s="2"/>
      <c r="BW692" s="2"/>
      <c r="BX692" s="2"/>
      <c r="BY692" s="2"/>
      <c r="BZ692" s="2"/>
      <c r="CA692" s="2"/>
      <c r="CB692" s="2"/>
      <c r="CC692" s="2"/>
      <c r="CD692" s="2"/>
      <c r="CE692" s="2"/>
      <c r="CF692" s="2"/>
    </row>
    <row r="693" spans="1:84" ht="12.65" customHeight="1" x14ac:dyDescent="0.35">
      <c r="A693" s="338">
        <v>7170</v>
      </c>
      <c r="B693" s="332" t="s">
        <v>115</v>
      </c>
      <c r="C693" s="2">
        <f>AB71</f>
        <v>25126454.330000006</v>
      </c>
      <c r="D693" s="2">
        <f>(D615/D612)*AB76</f>
        <v>182939.82818242777</v>
      </c>
      <c r="E693" s="2">
        <f>(E623/E612)*SUM(C693:D693)</f>
        <v>1543903.2366496478</v>
      </c>
      <c r="F693" s="2">
        <f>(F624/F612)*AB64</f>
        <v>598136.79921469325</v>
      </c>
      <c r="G693" s="2">
        <f>(G625/G612)*AB77</f>
        <v>0</v>
      </c>
      <c r="H693" s="2">
        <f>(H628/H612)*AB60</f>
        <v>201985.81618163563</v>
      </c>
      <c r="I693" s="2">
        <f>(I629/I612)*AB78</f>
        <v>63741.123103352475</v>
      </c>
      <c r="J693" s="2">
        <f>(J630/J612)*AB79</f>
        <v>0</v>
      </c>
      <c r="K693" s="2">
        <f>(K644/K612)*AB75</f>
        <v>6976832.2461254923</v>
      </c>
      <c r="L693" s="2">
        <f>(L647/L612)*AB80</f>
        <v>0</v>
      </c>
      <c r="M693" s="2">
        <f t="shared" si="21"/>
        <v>9567539</v>
      </c>
      <c r="N693" s="332" t="s">
        <v>705</v>
      </c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  <c r="AG693" s="2"/>
      <c r="AH693" s="2"/>
      <c r="AI693" s="2"/>
      <c r="AJ693" s="2"/>
      <c r="AK693" s="2"/>
      <c r="AL693" s="2"/>
      <c r="AM693" s="2"/>
      <c r="AN693" s="2"/>
      <c r="AO693" s="2"/>
      <c r="AP693" s="2"/>
      <c r="AQ693" s="2"/>
      <c r="AR693" s="2"/>
      <c r="AS693" s="2"/>
      <c r="AT693" s="2"/>
      <c r="AU693" s="2"/>
      <c r="AV693" s="2"/>
      <c r="AW693" s="2"/>
      <c r="AX693" s="2"/>
      <c r="AY693" s="2"/>
      <c r="AZ693" s="2"/>
      <c r="BA693" s="2"/>
      <c r="BB693" s="2"/>
      <c r="BC693" s="2"/>
      <c r="BD693" s="2"/>
      <c r="BE693" s="2"/>
      <c r="BF693" s="2"/>
      <c r="BG693" s="2"/>
      <c r="BH693" s="2"/>
      <c r="BI693" s="2"/>
      <c r="BJ693" s="2"/>
      <c r="BK693" s="2"/>
      <c r="BL693" s="2"/>
      <c r="BM693" s="2"/>
      <c r="BN693" s="2"/>
      <c r="BO693" s="2"/>
      <c r="BP693" s="2"/>
      <c r="BQ693" s="2"/>
      <c r="BR693" s="2"/>
      <c r="BS693" s="2"/>
      <c r="BT693" s="2"/>
      <c r="BU693" s="2"/>
      <c r="BV693" s="2"/>
      <c r="BW693" s="2"/>
      <c r="BX693" s="2"/>
      <c r="BY693" s="2"/>
      <c r="BZ693" s="2"/>
      <c r="CA693" s="2"/>
      <c r="CB693" s="2"/>
      <c r="CC693" s="2"/>
      <c r="CD693" s="2"/>
      <c r="CE693" s="2"/>
      <c r="CF693" s="2"/>
    </row>
    <row r="694" spans="1:84" ht="12.65" customHeight="1" x14ac:dyDescent="0.35">
      <c r="A694" s="338">
        <v>7180</v>
      </c>
      <c r="B694" s="332" t="s">
        <v>706</v>
      </c>
      <c r="C694" s="2">
        <f>AC71</f>
        <v>3776362.15</v>
      </c>
      <c r="D694" s="2">
        <f>(D615/D612)*AC76</f>
        <v>62644.112704444073</v>
      </c>
      <c r="E694" s="2">
        <f>(E623/E612)*SUM(C694:D694)</f>
        <v>234183.96179157312</v>
      </c>
      <c r="F694" s="2">
        <f>(F624/F612)*AC64</f>
        <v>13769.097512655948</v>
      </c>
      <c r="G694" s="2">
        <f>(G625/G612)*AC77</f>
        <v>0</v>
      </c>
      <c r="H694" s="2">
        <f>(H628/H612)*AC60</f>
        <v>104857.89335836319</v>
      </c>
      <c r="I694" s="2">
        <f>(I629/I612)*AC78</f>
        <v>21865.458029216545</v>
      </c>
      <c r="J694" s="2">
        <f>(J630/J612)*AC79</f>
        <v>0</v>
      </c>
      <c r="K694" s="2">
        <f>(K644/K612)*AC75</f>
        <v>1006933.8138811731</v>
      </c>
      <c r="L694" s="2">
        <f>(L647/L612)*AC80</f>
        <v>496.07601508467815</v>
      </c>
      <c r="M694" s="2">
        <f t="shared" si="21"/>
        <v>1444750</v>
      </c>
      <c r="N694" s="332" t="s">
        <v>707</v>
      </c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  <c r="AG694" s="2"/>
      <c r="AH694" s="2"/>
      <c r="AI694" s="2"/>
      <c r="AJ694" s="2"/>
      <c r="AK694" s="2"/>
      <c r="AL694" s="2"/>
      <c r="AM694" s="2"/>
      <c r="AN694" s="2"/>
      <c r="AO694" s="2"/>
      <c r="AP694" s="2"/>
      <c r="AQ694" s="2"/>
      <c r="AR694" s="2"/>
      <c r="AS694" s="2"/>
      <c r="AT694" s="2"/>
      <c r="AU694" s="2"/>
      <c r="AV694" s="2"/>
      <c r="AW694" s="2"/>
      <c r="AX694" s="2"/>
      <c r="AY694" s="2"/>
      <c r="AZ694" s="2"/>
      <c r="BA694" s="2"/>
      <c r="BB694" s="2"/>
      <c r="BC694" s="2"/>
      <c r="BD694" s="2"/>
      <c r="BE694" s="2"/>
      <c r="BF694" s="2"/>
      <c r="BG694" s="2"/>
      <c r="BH694" s="2"/>
      <c r="BI694" s="2"/>
      <c r="BJ694" s="2"/>
      <c r="BK694" s="2"/>
      <c r="BL694" s="2"/>
      <c r="BM694" s="2"/>
      <c r="BN694" s="2"/>
      <c r="BO694" s="2"/>
      <c r="BP694" s="2"/>
      <c r="BQ694" s="2"/>
      <c r="BR694" s="2"/>
      <c r="BS694" s="2"/>
      <c r="BT694" s="2"/>
      <c r="BU694" s="2"/>
      <c r="BV694" s="2"/>
      <c r="BW694" s="2"/>
      <c r="BX694" s="2"/>
      <c r="BY694" s="2"/>
      <c r="BZ694" s="2"/>
      <c r="CA694" s="2"/>
      <c r="CB694" s="2"/>
      <c r="CC694" s="2"/>
      <c r="CD694" s="2"/>
      <c r="CE694" s="2"/>
      <c r="CF694" s="2"/>
    </row>
    <row r="695" spans="1:84" ht="12.65" customHeight="1" x14ac:dyDescent="0.35">
      <c r="A695" s="338">
        <v>7190</v>
      </c>
      <c r="B695" s="332" t="s">
        <v>117</v>
      </c>
      <c r="C695" s="2">
        <f>AD71</f>
        <v>0</v>
      </c>
      <c r="D695" s="2">
        <f>(D615/D612)*AD76</f>
        <v>0</v>
      </c>
      <c r="E695" s="2">
        <f>(E623/E612)*SUM(C695:D695)</f>
        <v>0</v>
      </c>
      <c r="F695" s="2">
        <f>(F624/F612)*AD64</f>
        <v>0</v>
      </c>
      <c r="G695" s="2">
        <f>(G625/G612)*AD77</f>
        <v>0</v>
      </c>
      <c r="H695" s="2">
        <f>(H628/H612)*AD60</f>
        <v>0</v>
      </c>
      <c r="I695" s="2">
        <f>(I629/I612)*AD78</f>
        <v>0</v>
      </c>
      <c r="J695" s="2">
        <f>(J630/J612)*AD79</f>
        <v>0</v>
      </c>
      <c r="K695" s="2">
        <f>(K644/K612)*AD75</f>
        <v>0</v>
      </c>
      <c r="L695" s="2">
        <f>(L647/L612)*AD80</f>
        <v>0</v>
      </c>
      <c r="M695" s="2">
        <f t="shared" si="21"/>
        <v>0</v>
      </c>
      <c r="N695" s="332" t="s">
        <v>708</v>
      </c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  <c r="AG695" s="2"/>
      <c r="AH695" s="2"/>
      <c r="AI695" s="2"/>
      <c r="AJ695" s="2"/>
      <c r="AK695" s="2"/>
      <c r="AL695" s="2"/>
      <c r="AM695" s="2"/>
      <c r="AN695" s="2"/>
      <c r="AO695" s="2"/>
      <c r="AP695" s="2"/>
      <c r="AQ695" s="2"/>
      <c r="AR695" s="2"/>
      <c r="AS695" s="2"/>
      <c r="AT695" s="2"/>
      <c r="AU695" s="2"/>
      <c r="AV695" s="2"/>
      <c r="AW695" s="2"/>
      <c r="AX695" s="2"/>
      <c r="AY695" s="2"/>
      <c r="AZ695" s="2"/>
      <c r="BA695" s="2"/>
      <c r="BB695" s="2"/>
      <c r="BC695" s="2"/>
      <c r="BD695" s="2"/>
      <c r="BE695" s="2"/>
      <c r="BF695" s="2"/>
      <c r="BG695" s="2"/>
      <c r="BH695" s="2"/>
      <c r="BI695" s="2"/>
      <c r="BJ695" s="2"/>
      <c r="BK695" s="2"/>
      <c r="BL695" s="2"/>
      <c r="BM695" s="2"/>
      <c r="BN695" s="2"/>
      <c r="BO695" s="2"/>
      <c r="BP695" s="2"/>
      <c r="BQ695" s="2"/>
      <c r="BR695" s="2"/>
      <c r="BS695" s="2"/>
      <c r="BT695" s="2"/>
      <c r="BU695" s="2"/>
      <c r="BV695" s="2"/>
      <c r="BW695" s="2"/>
      <c r="BX695" s="2"/>
      <c r="BY695" s="2"/>
      <c r="BZ695" s="2"/>
      <c r="CA695" s="2"/>
      <c r="CB695" s="2"/>
      <c r="CC695" s="2"/>
      <c r="CD695" s="2"/>
      <c r="CE695" s="2"/>
      <c r="CF695" s="2"/>
    </row>
    <row r="696" spans="1:84" ht="12.65" customHeight="1" x14ac:dyDescent="0.35">
      <c r="A696" s="338">
        <v>7200</v>
      </c>
      <c r="B696" s="332" t="s">
        <v>709</v>
      </c>
      <c r="C696" s="2">
        <f>AE71</f>
        <v>6331645.6100000013</v>
      </c>
      <c r="D696" s="2">
        <f>(D615/D612)*AE76</f>
        <v>410312.99474990525</v>
      </c>
      <c r="E696" s="2">
        <f>(E623/E612)*SUM(C696:D696)</f>
        <v>411267.51775155216</v>
      </c>
      <c r="F696" s="2">
        <f>(F624/F612)*AE64</f>
        <v>2513.7603025806375</v>
      </c>
      <c r="G696" s="2">
        <f>(G625/G612)*AE77</f>
        <v>0</v>
      </c>
      <c r="H696" s="2">
        <f>(H628/H612)*AE60</f>
        <v>194043.7437573467</v>
      </c>
      <c r="I696" s="2">
        <f>(I629/I612)*AE78</f>
        <v>145239.64848497778</v>
      </c>
      <c r="J696" s="2">
        <f>(J630/J612)*AE79</f>
        <v>0</v>
      </c>
      <c r="K696" s="2">
        <f>(K644/K612)*AE75</f>
        <v>1443076.7133807049</v>
      </c>
      <c r="L696" s="2">
        <f>(L647/L612)*AE80</f>
        <v>0</v>
      </c>
      <c r="M696" s="2">
        <f t="shared" si="21"/>
        <v>2606454</v>
      </c>
      <c r="N696" s="332" t="s">
        <v>710</v>
      </c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  <c r="AG696" s="2"/>
      <c r="AH696" s="2"/>
      <c r="AI696" s="2"/>
      <c r="AJ696" s="2"/>
      <c r="AK696" s="2"/>
      <c r="AL696" s="2"/>
      <c r="AM696" s="2"/>
      <c r="AN696" s="2"/>
      <c r="AO696" s="2"/>
      <c r="AP696" s="2"/>
      <c r="AQ696" s="2"/>
      <c r="AR696" s="2"/>
      <c r="AS696" s="2"/>
      <c r="AT696" s="2"/>
      <c r="AU696" s="2"/>
      <c r="AV696" s="2"/>
      <c r="AW696" s="2"/>
      <c r="AX696" s="2"/>
      <c r="AY696" s="2"/>
      <c r="AZ696" s="2"/>
      <c r="BA696" s="2"/>
      <c r="BB696" s="2"/>
      <c r="BC696" s="2"/>
      <c r="BD696" s="2"/>
      <c r="BE696" s="2"/>
      <c r="BF696" s="2"/>
      <c r="BG696" s="2"/>
      <c r="BH696" s="2"/>
      <c r="BI696" s="2"/>
      <c r="BJ696" s="2"/>
      <c r="BK696" s="2"/>
      <c r="BL696" s="2"/>
      <c r="BM696" s="2"/>
      <c r="BN696" s="2"/>
      <c r="BO696" s="2"/>
      <c r="BP696" s="2"/>
      <c r="BQ696" s="2"/>
      <c r="BR696" s="2"/>
      <c r="BS696" s="2"/>
      <c r="BT696" s="2"/>
      <c r="BU696" s="2"/>
      <c r="BV696" s="2"/>
      <c r="BW696" s="2"/>
      <c r="BX696" s="2"/>
      <c r="BY696" s="2"/>
      <c r="BZ696" s="2"/>
      <c r="CA696" s="2"/>
      <c r="CB696" s="2"/>
      <c r="CC696" s="2"/>
      <c r="CD696" s="2"/>
      <c r="CE696" s="2"/>
      <c r="CF696" s="2"/>
    </row>
    <row r="697" spans="1:84" ht="12.65" customHeight="1" x14ac:dyDescent="0.35">
      <c r="A697" s="338">
        <v>7220</v>
      </c>
      <c r="B697" s="332" t="s">
        <v>711</v>
      </c>
      <c r="C697" s="2">
        <f>AF71</f>
        <v>0</v>
      </c>
      <c r="D697" s="2">
        <f>(D615/D612)*AF76</f>
        <v>0</v>
      </c>
      <c r="E697" s="2">
        <f>(E623/E612)*SUM(C697:D697)</f>
        <v>0</v>
      </c>
      <c r="F697" s="2">
        <f>(F624/F612)*AF64</f>
        <v>0</v>
      </c>
      <c r="G697" s="2">
        <f>(G625/G612)*AF77</f>
        <v>0</v>
      </c>
      <c r="H697" s="2">
        <f>(H628/H612)*AF60</f>
        <v>0</v>
      </c>
      <c r="I697" s="2">
        <f>(I629/I612)*AF78</f>
        <v>0</v>
      </c>
      <c r="J697" s="2">
        <f>(J630/J612)*AF79</f>
        <v>0</v>
      </c>
      <c r="K697" s="2">
        <f>(K644/K612)*AF75</f>
        <v>0</v>
      </c>
      <c r="L697" s="2">
        <f>(L647/L612)*AF80</f>
        <v>0</v>
      </c>
      <c r="M697" s="2">
        <f t="shared" si="21"/>
        <v>0</v>
      </c>
      <c r="N697" s="332" t="s">
        <v>712</v>
      </c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  <c r="AG697" s="2"/>
      <c r="AH697" s="2"/>
      <c r="AI697" s="2"/>
      <c r="AJ697" s="2"/>
      <c r="AK697" s="2"/>
      <c r="AL697" s="2"/>
      <c r="AM697" s="2"/>
      <c r="AN697" s="2"/>
      <c r="AO697" s="2"/>
      <c r="AP697" s="2"/>
      <c r="AQ697" s="2"/>
      <c r="AR697" s="2"/>
      <c r="AS697" s="2"/>
      <c r="AT697" s="2"/>
      <c r="AU697" s="2"/>
      <c r="AV697" s="2"/>
      <c r="AW697" s="2"/>
      <c r="AX697" s="2"/>
      <c r="AY697" s="2"/>
      <c r="AZ697" s="2"/>
      <c r="BA697" s="2"/>
      <c r="BB697" s="2"/>
      <c r="BC697" s="2"/>
      <c r="BD697" s="2"/>
      <c r="BE697" s="2"/>
      <c r="BF697" s="2"/>
      <c r="BG697" s="2"/>
      <c r="BH697" s="2"/>
      <c r="BI697" s="2"/>
      <c r="BJ697" s="2"/>
      <c r="BK697" s="2"/>
      <c r="BL697" s="2"/>
      <c r="BM697" s="2"/>
      <c r="BN697" s="2"/>
      <c r="BO697" s="2"/>
      <c r="BP697" s="2"/>
      <c r="BQ697" s="2"/>
      <c r="BR697" s="2"/>
      <c r="BS697" s="2"/>
      <c r="BT697" s="2"/>
      <c r="BU697" s="2"/>
      <c r="BV697" s="2"/>
      <c r="BW697" s="2"/>
      <c r="BX697" s="2"/>
      <c r="BY697" s="2"/>
      <c r="BZ697" s="2"/>
      <c r="CA697" s="2"/>
      <c r="CB697" s="2"/>
      <c r="CC697" s="2"/>
      <c r="CD697" s="2"/>
      <c r="CE697" s="2"/>
      <c r="CF697" s="2"/>
    </row>
    <row r="698" spans="1:84" ht="12.65" customHeight="1" x14ac:dyDescent="0.35">
      <c r="A698" s="338">
        <v>7230</v>
      </c>
      <c r="B698" s="332" t="s">
        <v>713</v>
      </c>
      <c r="C698" s="2">
        <f>AG71</f>
        <v>16616042.75</v>
      </c>
      <c r="D698" s="2">
        <f>(D615/D612)*AG76</f>
        <v>1308988.556169522</v>
      </c>
      <c r="E698" s="2">
        <f>(E623/E612)*SUM(C698:D698)</f>
        <v>1093448.2934548759</v>
      </c>
      <c r="F698" s="2">
        <f>(F624/F612)*AG64</f>
        <v>51790.09673745172</v>
      </c>
      <c r="G698" s="2">
        <f>(G625/G612)*AG77</f>
        <v>0</v>
      </c>
      <c r="H698" s="2">
        <f>(H628/H612)*AG60</f>
        <v>384646.93364025117</v>
      </c>
      <c r="I698" s="2">
        <f>(I629/I612)*AG78</f>
        <v>456192.96524592699</v>
      </c>
      <c r="J698" s="2">
        <f>(J630/J612)*AG79</f>
        <v>82031.116553480751</v>
      </c>
      <c r="K698" s="2">
        <f>(K644/K612)*AG75</f>
        <v>7323958.1617558934</v>
      </c>
      <c r="L698" s="2">
        <f>(L647/L612)*AG80</f>
        <v>748787.5988291885</v>
      </c>
      <c r="M698" s="2">
        <f t="shared" si="21"/>
        <v>11449844</v>
      </c>
      <c r="N698" s="332" t="s">
        <v>714</v>
      </c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  <c r="AG698" s="2"/>
      <c r="AH698" s="2"/>
      <c r="AI698" s="2"/>
      <c r="AJ698" s="2"/>
      <c r="AK698" s="2"/>
      <c r="AL698" s="2"/>
      <c r="AM698" s="2"/>
      <c r="AN698" s="2"/>
      <c r="AO698" s="2"/>
      <c r="AP698" s="2"/>
      <c r="AQ698" s="2"/>
      <c r="AR698" s="2"/>
      <c r="AS698" s="2"/>
      <c r="AT698" s="2"/>
      <c r="AU698" s="2"/>
      <c r="AV698" s="2"/>
      <c r="AW698" s="2"/>
      <c r="AX698" s="2"/>
      <c r="AY698" s="2"/>
      <c r="AZ698" s="2"/>
      <c r="BA698" s="2"/>
      <c r="BB698" s="2"/>
      <c r="BC698" s="2"/>
      <c r="BD698" s="2"/>
      <c r="BE698" s="2"/>
      <c r="BF698" s="2"/>
      <c r="BG698" s="2"/>
      <c r="BH698" s="2"/>
      <c r="BI698" s="2"/>
      <c r="BJ698" s="2"/>
      <c r="BK698" s="2"/>
      <c r="BL698" s="2"/>
      <c r="BM698" s="2"/>
      <c r="BN698" s="2"/>
      <c r="BO698" s="2"/>
      <c r="BP698" s="2"/>
      <c r="BQ698" s="2"/>
      <c r="BR698" s="2"/>
      <c r="BS698" s="2"/>
      <c r="BT698" s="2"/>
      <c r="BU698" s="2"/>
      <c r="BV698" s="2"/>
      <c r="BW698" s="2"/>
      <c r="BX698" s="2"/>
      <c r="BY698" s="2"/>
      <c r="BZ698" s="2"/>
      <c r="CA698" s="2"/>
      <c r="CB698" s="2"/>
      <c r="CC698" s="2"/>
      <c r="CD698" s="2"/>
      <c r="CE698" s="2"/>
      <c r="CF698" s="2"/>
    </row>
    <row r="699" spans="1:84" ht="12.65" customHeight="1" x14ac:dyDescent="0.35">
      <c r="A699" s="338">
        <v>7240</v>
      </c>
      <c r="B699" s="332" t="s">
        <v>119</v>
      </c>
      <c r="C699" s="2">
        <f>AH71</f>
        <v>0</v>
      </c>
      <c r="D699" s="2">
        <f>(D615/D612)*AH76</f>
        <v>0</v>
      </c>
      <c r="E699" s="2">
        <f>(E623/E612)*SUM(C699:D699)</f>
        <v>0</v>
      </c>
      <c r="F699" s="2">
        <f>(F624/F612)*AH64</f>
        <v>0</v>
      </c>
      <c r="G699" s="2">
        <f>(G625/G612)*AH77</f>
        <v>0</v>
      </c>
      <c r="H699" s="2">
        <f>(H628/H612)*AH60</f>
        <v>0</v>
      </c>
      <c r="I699" s="2">
        <f>(I629/I612)*AH78</f>
        <v>0</v>
      </c>
      <c r="J699" s="2">
        <f>(J630/J612)*AH79</f>
        <v>0</v>
      </c>
      <c r="K699" s="2">
        <f>(K644/K612)*AH75</f>
        <v>0</v>
      </c>
      <c r="L699" s="2">
        <f>(L647/L612)*AH80</f>
        <v>0</v>
      </c>
      <c r="M699" s="2">
        <f t="shared" si="21"/>
        <v>0</v>
      </c>
      <c r="N699" s="332" t="s">
        <v>715</v>
      </c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  <c r="AH699" s="2"/>
      <c r="AI699" s="2"/>
      <c r="AJ699" s="2"/>
      <c r="AK699" s="2"/>
      <c r="AL699" s="2"/>
      <c r="AM699" s="2"/>
      <c r="AN699" s="2"/>
      <c r="AO699" s="2"/>
      <c r="AP699" s="2"/>
      <c r="AQ699" s="2"/>
      <c r="AR699" s="2"/>
      <c r="AS699" s="2"/>
      <c r="AT699" s="2"/>
      <c r="AU699" s="2"/>
      <c r="AV699" s="2"/>
      <c r="AW699" s="2"/>
      <c r="AX699" s="2"/>
      <c r="AY699" s="2"/>
      <c r="AZ699" s="2"/>
      <c r="BA699" s="2"/>
      <c r="BB699" s="2"/>
      <c r="BC699" s="2"/>
      <c r="BD699" s="2"/>
      <c r="BE699" s="2"/>
      <c r="BF699" s="2"/>
      <c r="BG699" s="2"/>
      <c r="BH699" s="2"/>
      <c r="BI699" s="2"/>
      <c r="BJ699" s="2"/>
      <c r="BK699" s="2"/>
      <c r="BL699" s="2"/>
      <c r="BM699" s="2"/>
      <c r="BN699" s="2"/>
      <c r="BO699" s="2"/>
      <c r="BP699" s="2"/>
      <c r="BQ699" s="2"/>
      <c r="BR699" s="2"/>
      <c r="BS699" s="2"/>
      <c r="BT699" s="2"/>
      <c r="BU699" s="2"/>
      <c r="BV699" s="2"/>
      <c r="BW699" s="2"/>
      <c r="BX699" s="2"/>
      <c r="BY699" s="2"/>
      <c r="BZ699" s="2"/>
      <c r="CA699" s="2"/>
      <c r="CB699" s="2"/>
      <c r="CC699" s="2"/>
      <c r="CD699" s="2"/>
      <c r="CE699" s="2"/>
      <c r="CF699" s="2"/>
    </row>
    <row r="700" spans="1:84" ht="12.65" customHeight="1" x14ac:dyDescent="0.35">
      <c r="A700" s="338">
        <v>7250</v>
      </c>
      <c r="B700" s="332" t="s">
        <v>716</v>
      </c>
      <c r="C700" s="2">
        <f>AI71</f>
        <v>0</v>
      </c>
      <c r="D700" s="2">
        <f>(D615/D612)*AI76</f>
        <v>0</v>
      </c>
      <c r="E700" s="2">
        <f>(E623/E612)*SUM(C700:D700)</f>
        <v>0</v>
      </c>
      <c r="F700" s="2">
        <f>(F624/F612)*AI64</f>
        <v>0</v>
      </c>
      <c r="G700" s="2">
        <f>(G625/G612)*AI77</f>
        <v>0</v>
      </c>
      <c r="H700" s="2">
        <f>(H628/H612)*AI60</f>
        <v>0</v>
      </c>
      <c r="I700" s="2">
        <f>(I629/I612)*AI78</f>
        <v>0</v>
      </c>
      <c r="J700" s="2">
        <f>(J630/J612)*AI79</f>
        <v>0</v>
      </c>
      <c r="K700" s="2">
        <f>(K644/K612)*AI75</f>
        <v>0</v>
      </c>
      <c r="L700" s="2">
        <f>(L647/L612)*AI80</f>
        <v>0</v>
      </c>
      <c r="M700" s="2">
        <f t="shared" si="21"/>
        <v>0</v>
      </c>
      <c r="N700" s="332" t="s">
        <v>717</v>
      </c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  <c r="AG700" s="2"/>
      <c r="AH700" s="2"/>
      <c r="AI700" s="2"/>
      <c r="AJ700" s="2"/>
      <c r="AK700" s="2"/>
      <c r="AL700" s="2"/>
      <c r="AM700" s="2"/>
      <c r="AN700" s="2"/>
      <c r="AO700" s="2"/>
      <c r="AP700" s="2"/>
      <c r="AQ700" s="2"/>
      <c r="AR700" s="2"/>
      <c r="AS700" s="2"/>
      <c r="AT700" s="2"/>
      <c r="AU700" s="2"/>
      <c r="AV700" s="2"/>
      <c r="AW700" s="2"/>
      <c r="AX700" s="2"/>
      <c r="AY700" s="2"/>
      <c r="AZ700" s="2"/>
      <c r="BA700" s="2"/>
      <c r="BB700" s="2"/>
      <c r="BC700" s="2"/>
      <c r="BD700" s="2"/>
      <c r="BE700" s="2"/>
      <c r="BF700" s="2"/>
      <c r="BG700" s="2"/>
      <c r="BH700" s="2"/>
      <c r="BI700" s="2"/>
      <c r="BJ700" s="2"/>
      <c r="BK700" s="2"/>
      <c r="BL700" s="2"/>
      <c r="BM700" s="2"/>
      <c r="BN700" s="2"/>
      <c r="BO700" s="2"/>
      <c r="BP700" s="2"/>
      <c r="BQ700" s="2"/>
      <c r="BR700" s="2"/>
      <c r="BS700" s="2"/>
      <c r="BT700" s="2"/>
      <c r="BU700" s="2"/>
      <c r="BV700" s="2"/>
      <c r="BW700" s="2"/>
      <c r="BX700" s="2"/>
      <c r="BY700" s="2"/>
      <c r="BZ700" s="2"/>
      <c r="CA700" s="2"/>
      <c r="CB700" s="2"/>
      <c r="CC700" s="2"/>
      <c r="CD700" s="2"/>
      <c r="CE700" s="2"/>
      <c r="CF700" s="2"/>
    </row>
    <row r="701" spans="1:84" ht="12.65" customHeight="1" x14ac:dyDescent="0.35">
      <c r="A701" s="338">
        <v>7260</v>
      </c>
      <c r="B701" s="332" t="s">
        <v>121</v>
      </c>
      <c r="C701" s="2">
        <f>AJ71</f>
        <v>89150309.269999981</v>
      </c>
      <c r="D701" s="2">
        <f>(D615/D612)*AJ76</f>
        <v>3438579.3279820411</v>
      </c>
      <c r="E701" s="2">
        <f>(E623/E612)*SUM(C701:D701)</f>
        <v>5648032.6589723388</v>
      </c>
      <c r="F701" s="2">
        <f>(F624/F612)*AJ64</f>
        <v>174569.14860069304</v>
      </c>
      <c r="G701" s="2">
        <f>(G625/G612)*AJ77</f>
        <v>0</v>
      </c>
      <c r="H701" s="2">
        <f>(H628/H612)*AJ60</f>
        <v>1652860.2099179884</v>
      </c>
      <c r="I701" s="2">
        <f>(I629/I612)*AJ78</f>
        <v>1198425.8768922414</v>
      </c>
      <c r="J701" s="2">
        <f>(J630/J612)*AJ79</f>
        <v>17004.964028867707</v>
      </c>
      <c r="K701" s="2">
        <f>(K644/K612)*AJ75</f>
        <v>8325212.7070335913</v>
      </c>
      <c r="L701" s="2">
        <f>(L647/L612)*AJ80</f>
        <v>575989.79585005436</v>
      </c>
      <c r="M701" s="2">
        <f t="shared" si="21"/>
        <v>21030675</v>
      </c>
      <c r="N701" s="332" t="s">
        <v>718</v>
      </c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  <c r="AG701" s="2"/>
      <c r="AH701" s="2"/>
      <c r="AI701" s="2"/>
      <c r="AJ701" s="2"/>
      <c r="AK701" s="2"/>
      <c r="AL701" s="2"/>
      <c r="AM701" s="2"/>
      <c r="AN701" s="2"/>
      <c r="AO701" s="2"/>
      <c r="AP701" s="2"/>
      <c r="AQ701" s="2"/>
      <c r="AR701" s="2"/>
      <c r="AS701" s="2"/>
      <c r="AT701" s="2"/>
      <c r="AU701" s="2"/>
      <c r="AV701" s="2"/>
      <c r="AW701" s="2"/>
      <c r="AX701" s="2"/>
      <c r="AY701" s="2"/>
      <c r="AZ701" s="2"/>
      <c r="BA701" s="2"/>
      <c r="BB701" s="2"/>
      <c r="BC701" s="2"/>
      <c r="BD701" s="2"/>
      <c r="BE701" s="2"/>
      <c r="BF701" s="2"/>
      <c r="BG701" s="2"/>
      <c r="BH701" s="2"/>
      <c r="BI701" s="2"/>
      <c r="BJ701" s="2"/>
      <c r="BK701" s="2"/>
      <c r="BL701" s="2"/>
      <c r="BM701" s="2"/>
      <c r="BN701" s="2"/>
      <c r="BO701" s="2"/>
      <c r="BP701" s="2"/>
      <c r="BQ701" s="2"/>
      <c r="BR701" s="2"/>
      <c r="BS701" s="2"/>
      <c r="BT701" s="2"/>
      <c r="BU701" s="2"/>
      <c r="BV701" s="2"/>
      <c r="BW701" s="2"/>
      <c r="BX701" s="2"/>
      <c r="BY701" s="2"/>
      <c r="BZ701" s="2"/>
      <c r="CA701" s="2"/>
      <c r="CB701" s="2"/>
      <c r="CC701" s="2"/>
      <c r="CD701" s="2"/>
      <c r="CE701" s="2"/>
      <c r="CF701" s="2"/>
    </row>
    <row r="702" spans="1:84" ht="12.65" customHeight="1" x14ac:dyDescent="0.35">
      <c r="A702" s="338">
        <v>7310</v>
      </c>
      <c r="B702" s="332" t="s">
        <v>719</v>
      </c>
      <c r="C702" s="2">
        <f>AK71</f>
        <v>0</v>
      </c>
      <c r="D702" s="2">
        <f>(D615/D612)*AK76</f>
        <v>0</v>
      </c>
      <c r="E702" s="2">
        <f>(E623/E612)*SUM(C702:D702)</f>
        <v>0</v>
      </c>
      <c r="F702" s="2">
        <f>(F624/F612)*AK64</f>
        <v>0</v>
      </c>
      <c r="G702" s="2">
        <f>(G625/G612)*AK77</f>
        <v>0</v>
      </c>
      <c r="H702" s="2">
        <f>(H628/H612)*AK60</f>
        <v>0</v>
      </c>
      <c r="I702" s="2">
        <f>(I629/I612)*AK78</f>
        <v>0</v>
      </c>
      <c r="J702" s="2">
        <f>(J630/J612)*AK79</f>
        <v>0</v>
      </c>
      <c r="K702" s="2">
        <f>(K644/K612)*AK75</f>
        <v>0</v>
      </c>
      <c r="L702" s="2">
        <f>(L647/L612)*AK80</f>
        <v>0</v>
      </c>
      <c r="M702" s="2">
        <f t="shared" si="21"/>
        <v>0</v>
      </c>
      <c r="N702" s="332" t="s">
        <v>720</v>
      </c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  <c r="AG702" s="2"/>
      <c r="AH702" s="2"/>
      <c r="AI702" s="2"/>
      <c r="AJ702" s="2"/>
      <c r="AK702" s="2"/>
      <c r="AL702" s="2"/>
      <c r="AM702" s="2"/>
      <c r="AN702" s="2"/>
      <c r="AO702" s="2"/>
      <c r="AP702" s="2"/>
      <c r="AQ702" s="2"/>
      <c r="AR702" s="2"/>
      <c r="AS702" s="2"/>
      <c r="AT702" s="2"/>
      <c r="AU702" s="2"/>
      <c r="AV702" s="2"/>
      <c r="AW702" s="2"/>
      <c r="AX702" s="2"/>
      <c r="AY702" s="2"/>
      <c r="AZ702" s="2"/>
      <c r="BA702" s="2"/>
      <c r="BB702" s="2"/>
      <c r="BC702" s="2"/>
      <c r="BD702" s="2"/>
      <c r="BE702" s="2"/>
      <c r="BF702" s="2"/>
      <c r="BG702" s="2"/>
      <c r="BH702" s="2"/>
      <c r="BI702" s="2"/>
      <c r="BJ702" s="2"/>
      <c r="BK702" s="2"/>
      <c r="BL702" s="2"/>
      <c r="BM702" s="2"/>
      <c r="BN702" s="2"/>
      <c r="BO702" s="2"/>
      <c r="BP702" s="2"/>
      <c r="BQ702" s="2"/>
      <c r="BR702" s="2"/>
      <c r="BS702" s="2"/>
      <c r="BT702" s="2"/>
      <c r="BU702" s="2"/>
      <c r="BV702" s="2"/>
      <c r="BW702" s="2"/>
      <c r="BX702" s="2"/>
      <c r="BY702" s="2"/>
      <c r="BZ702" s="2"/>
      <c r="CA702" s="2"/>
      <c r="CB702" s="2"/>
      <c r="CC702" s="2"/>
      <c r="CD702" s="2"/>
      <c r="CE702" s="2"/>
      <c r="CF702" s="2"/>
    </row>
    <row r="703" spans="1:84" ht="12.65" customHeight="1" x14ac:dyDescent="0.35">
      <c r="A703" s="338">
        <v>7320</v>
      </c>
      <c r="B703" s="332" t="s">
        <v>721</v>
      </c>
      <c r="C703" s="2">
        <f>AL71</f>
        <v>0</v>
      </c>
      <c r="D703" s="2">
        <f>(D615/D612)*AL76</f>
        <v>0</v>
      </c>
      <c r="E703" s="2">
        <f>(E623/E612)*SUM(C703:D703)</f>
        <v>0</v>
      </c>
      <c r="F703" s="2">
        <f>(F624/F612)*AL64</f>
        <v>0</v>
      </c>
      <c r="G703" s="2">
        <f>(G625/G612)*AL77</f>
        <v>0</v>
      </c>
      <c r="H703" s="2">
        <f>(H628/H612)*AL60</f>
        <v>0</v>
      </c>
      <c r="I703" s="2">
        <f>(I629/I612)*AL78</f>
        <v>0</v>
      </c>
      <c r="J703" s="2">
        <f>(J630/J612)*AL79</f>
        <v>0</v>
      </c>
      <c r="K703" s="2">
        <f>(K644/K612)*AL75</f>
        <v>0</v>
      </c>
      <c r="L703" s="2">
        <f>(L647/L612)*AL80</f>
        <v>0</v>
      </c>
      <c r="M703" s="2">
        <f t="shared" si="21"/>
        <v>0</v>
      </c>
      <c r="N703" s="332" t="s">
        <v>722</v>
      </c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  <c r="AG703" s="2"/>
      <c r="AH703" s="2"/>
      <c r="AI703" s="2"/>
      <c r="AJ703" s="2"/>
      <c r="AK703" s="2"/>
      <c r="AL703" s="2"/>
      <c r="AM703" s="2"/>
      <c r="AN703" s="2"/>
      <c r="AO703" s="2"/>
      <c r="AP703" s="2"/>
      <c r="AQ703" s="2"/>
      <c r="AR703" s="2"/>
      <c r="AS703" s="2"/>
      <c r="AT703" s="2"/>
      <c r="AU703" s="2"/>
      <c r="AV703" s="2"/>
      <c r="AW703" s="2"/>
      <c r="AX703" s="2"/>
      <c r="AY703" s="2"/>
      <c r="AZ703" s="2"/>
      <c r="BA703" s="2"/>
      <c r="BB703" s="2"/>
      <c r="BC703" s="2"/>
      <c r="BD703" s="2"/>
      <c r="BE703" s="2"/>
      <c r="BF703" s="2"/>
      <c r="BG703" s="2"/>
      <c r="BH703" s="2"/>
      <c r="BI703" s="2"/>
      <c r="BJ703" s="2"/>
      <c r="BK703" s="2"/>
      <c r="BL703" s="2"/>
      <c r="BM703" s="2"/>
      <c r="BN703" s="2"/>
      <c r="BO703" s="2"/>
      <c r="BP703" s="2"/>
      <c r="BQ703" s="2"/>
      <c r="BR703" s="2"/>
      <c r="BS703" s="2"/>
      <c r="BT703" s="2"/>
      <c r="BU703" s="2"/>
      <c r="BV703" s="2"/>
      <c r="BW703" s="2"/>
      <c r="BX703" s="2"/>
      <c r="BY703" s="2"/>
      <c r="BZ703" s="2"/>
      <c r="CA703" s="2"/>
      <c r="CB703" s="2"/>
      <c r="CC703" s="2"/>
      <c r="CD703" s="2"/>
      <c r="CE703" s="2"/>
      <c r="CF703" s="2"/>
    </row>
    <row r="704" spans="1:84" ht="12.65" customHeight="1" x14ac:dyDescent="0.35">
      <c r="A704" s="338">
        <v>7330</v>
      </c>
      <c r="B704" s="332" t="s">
        <v>723</v>
      </c>
      <c r="C704" s="2">
        <f>AM71</f>
        <v>0</v>
      </c>
      <c r="D704" s="2">
        <f>(D615/D612)*AM76</f>
        <v>0</v>
      </c>
      <c r="E704" s="2">
        <f>(E623/E612)*SUM(C704:D704)</f>
        <v>0</v>
      </c>
      <c r="F704" s="2">
        <f>(F624/F612)*AM64</f>
        <v>0</v>
      </c>
      <c r="G704" s="2">
        <f>(G625/G612)*AM77</f>
        <v>0</v>
      </c>
      <c r="H704" s="2">
        <f>(H628/H612)*AM60</f>
        <v>0</v>
      </c>
      <c r="I704" s="2">
        <f>(I629/I612)*AM78</f>
        <v>0</v>
      </c>
      <c r="J704" s="2">
        <f>(J630/J612)*AM79</f>
        <v>0</v>
      </c>
      <c r="K704" s="2">
        <f>(K644/K612)*AM75</f>
        <v>0</v>
      </c>
      <c r="L704" s="2">
        <f>(L647/L612)*AM80</f>
        <v>0</v>
      </c>
      <c r="M704" s="2">
        <f t="shared" si="21"/>
        <v>0</v>
      </c>
      <c r="N704" s="332" t="s">
        <v>724</v>
      </c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2"/>
      <c r="AH704" s="2"/>
      <c r="AI704" s="2"/>
      <c r="AJ704" s="2"/>
      <c r="AK704" s="2"/>
      <c r="AL704" s="2"/>
      <c r="AM704" s="2"/>
      <c r="AN704" s="2"/>
      <c r="AO704" s="2"/>
      <c r="AP704" s="2"/>
      <c r="AQ704" s="2"/>
      <c r="AR704" s="2"/>
      <c r="AS704" s="2"/>
      <c r="AT704" s="2"/>
      <c r="AU704" s="2"/>
      <c r="AV704" s="2"/>
      <c r="AW704" s="2"/>
      <c r="AX704" s="2"/>
      <c r="AY704" s="2"/>
      <c r="AZ704" s="2"/>
      <c r="BA704" s="2"/>
      <c r="BB704" s="2"/>
      <c r="BC704" s="2"/>
      <c r="BD704" s="2"/>
      <c r="BE704" s="2"/>
      <c r="BF704" s="2"/>
      <c r="BG704" s="2"/>
      <c r="BH704" s="2"/>
      <c r="BI704" s="2"/>
      <c r="BJ704" s="2"/>
      <c r="BK704" s="2"/>
      <c r="BL704" s="2"/>
      <c r="BM704" s="2"/>
      <c r="BN704" s="2"/>
      <c r="BO704" s="2"/>
      <c r="BP704" s="2"/>
      <c r="BQ704" s="2"/>
      <c r="BR704" s="2"/>
      <c r="BS704" s="2"/>
      <c r="BT704" s="2"/>
      <c r="BU704" s="2"/>
      <c r="BV704" s="2"/>
      <c r="BW704" s="2"/>
      <c r="BX704" s="2"/>
      <c r="BY704" s="2"/>
      <c r="BZ704" s="2"/>
      <c r="CA704" s="2"/>
      <c r="CB704" s="2"/>
      <c r="CC704" s="2"/>
      <c r="CD704" s="2"/>
      <c r="CE704" s="2"/>
      <c r="CF704" s="2"/>
    </row>
    <row r="705" spans="1:84" ht="12.65" customHeight="1" x14ac:dyDescent="0.35">
      <c r="A705" s="338">
        <v>7340</v>
      </c>
      <c r="B705" s="332" t="s">
        <v>725</v>
      </c>
      <c r="C705" s="2">
        <f>AN71</f>
        <v>0</v>
      </c>
      <c r="D705" s="2">
        <f>(D615/D612)*AN76</f>
        <v>0</v>
      </c>
      <c r="E705" s="2">
        <f>(E623/E612)*SUM(C705:D705)</f>
        <v>0</v>
      </c>
      <c r="F705" s="2">
        <f>(F624/F612)*AN64</f>
        <v>0</v>
      </c>
      <c r="G705" s="2">
        <f>(G625/G612)*AN77</f>
        <v>0</v>
      </c>
      <c r="H705" s="2">
        <f>(H628/H612)*AN60</f>
        <v>0</v>
      </c>
      <c r="I705" s="2">
        <f>(I629/I612)*AN78</f>
        <v>0</v>
      </c>
      <c r="J705" s="2">
        <f>(J630/J612)*AN79</f>
        <v>0</v>
      </c>
      <c r="K705" s="2">
        <f>(K644/K612)*AN75</f>
        <v>0</v>
      </c>
      <c r="L705" s="2">
        <f>(L647/L612)*AN80</f>
        <v>0</v>
      </c>
      <c r="M705" s="2">
        <f t="shared" si="21"/>
        <v>0</v>
      </c>
      <c r="N705" s="332" t="s">
        <v>726</v>
      </c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  <c r="AH705" s="2"/>
      <c r="AI705" s="2"/>
      <c r="AJ705" s="2"/>
      <c r="AK705" s="2"/>
      <c r="AL705" s="2"/>
      <c r="AM705" s="2"/>
      <c r="AN705" s="2"/>
      <c r="AO705" s="2"/>
      <c r="AP705" s="2"/>
      <c r="AQ705" s="2"/>
      <c r="AR705" s="2"/>
      <c r="AS705" s="2"/>
      <c r="AT705" s="2"/>
      <c r="AU705" s="2"/>
      <c r="AV705" s="2"/>
      <c r="AW705" s="2"/>
      <c r="AX705" s="2"/>
      <c r="AY705" s="2"/>
      <c r="AZ705" s="2"/>
      <c r="BA705" s="2"/>
      <c r="BB705" s="2"/>
      <c r="BC705" s="2"/>
      <c r="BD705" s="2"/>
      <c r="BE705" s="2"/>
      <c r="BF705" s="2"/>
      <c r="BG705" s="2"/>
      <c r="BH705" s="2"/>
      <c r="BI705" s="2"/>
      <c r="BJ705" s="2"/>
      <c r="BK705" s="2"/>
      <c r="BL705" s="2"/>
      <c r="BM705" s="2"/>
      <c r="BN705" s="2"/>
      <c r="BO705" s="2"/>
      <c r="BP705" s="2"/>
      <c r="BQ705" s="2"/>
      <c r="BR705" s="2"/>
      <c r="BS705" s="2"/>
      <c r="BT705" s="2"/>
      <c r="BU705" s="2"/>
      <c r="BV705" s="2"/>
      <c r="BW705" s="2"/>
      <c r="BX705" s="2"/>
      <c r="BY705" s="2"/>
      <c r="BZ705" s="2"/>
      <c r="CA705" s="2"/>
      <c r="CB705" s="2"/>
      <c r="CC705" s="2"/>
      <c r="CD705" s="2"/>
      <c r="CE705" s="2"/>
      <c r="CF705" s="2"/>
    </row>
    <row r="706" spans="1:84" ht="12.65" customHeight="1" x14ac:dyDescent="0.35">
      <c r="A706" s="338">
        <v>7350</v>
      </c>
      <c r="B706" s="332" t="s">
        <v>727</v>
      </c>
      <c r="C706" s="2">
        <f>AO71</f>
        <v>0</v>
      </c>
      <c r="D706" s="2">
        <f>(D615/D612)*AO76</f>
        <v>0</v>
      </c>
      <c r="E706" s="2">
        <f>(E623/E612)*SUM(C706:D706)</f>
        <v>0</v>
      </c>
      <c r="F706" s="2">
        <f>(F624/F612)*AO64</f>
        <v>0</v>
      </c>
      <c r="G706" s="2">
        <f>(G625/G612)*AO77</f>
        <v>0</v>
      </c>
      <c r="H706" s="2">
        <f>(H628/H612)*AO60</f>
        <v>0</v>
      </c>
      <c r="I706" s="2">
        <f>(I629/I612)*AO78</f>
        <v>0</v>
      </c>
      <c r="J706" s="2">
        <f>(J630/J612)*AO79</f>
        <v>0</v>
      </c>
      <c r="K706" s="2">
        <f>(K644/K612)*AO75</f>
        <v>0</v>
      </c>
      <c r="L706" s="2">
        <f>(L647/L612)*AO80</f>
        <v>0</v>
      </c>
      <c r="M706" s="2">
        <f t="shared" si="21"/>
        <v>0</v>
      </c>
      <c r="N706" s="332" t="s">
        <v>728</v>
      </c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  <c r="AG706" s="2"/>
      <c r="AH706" s="2"/>
      <c r="AI706" s="2"/>
      <c r="AJ706" s="2"/>
      <c r="AK706" s="2"/>
      <c r="AL706" s="2"/>
      <c r="AM706" s="2"/>
      <c r="AN706" s="2"/>
      <c r="AO706" s="2"/>
      <c r="AP706" s="2"/>
      <c r="AQ706" s="2"/>
      <c r="AR706" s="2"/>
      <c r="AS706" s="2"/>
      <c r="AT706" s="2"/>
      <c r="AU706" s="2"/>
      <c r="AV706" s="2"/>
      <c r="AW706" s="2"/>
      <c r="AX706" s="2"/>
      <c r="AY706" s="2"/>
      <c r="AZ706" s="2"/>
      <c r="BA706" s="2"/>
      <c r="BB706" s="2"/>
      <c r="BC706" s="2"/>
      <c r="BD706" s="2"/>
      <c r="BE706" s="2"/>
      <c r="BF706" s="2"/>
      <c r="BG706" s="2"/>
      <c r="BH706" s="2"/>
      <c r="BI706" s="2"/>
      <c r="BJ706" s="2"/>
      <c r="BK706" s="2"/>
      <c r="BL706" s="2"/>
      <c r="BM706" s="2"/>
      <c r="BN706" s="2"/>
      <c r="BO706" s="2"/>
      <c r="BP706" s="2"/>
      <c r="BQ706" s="2"/>
      <c r="BR706" s="2"/>
      <c r="BS706" s="2"/>
      <c r="BT706" s="2"/>
      <c r="BU706" s="2"/>
      <c r="BV706" s="2"/>
      <c r="BW706" s="2"/>
      <c r="BX706" s="2"/>
      <c r="BY706" s="2"/>
      <c r="BZ706" s="2"/>
      <c r="CA706" s="2"/>
      <c r="CB706" s="2"/>
      <c r="CC706" s="2"/>
      <c r="CD706" s="2"/>
      <c r="CE706" s="2"/>
      <c r="CF706" s="2"/>
    </row>
    <row r="707" spans="1:84" ht="12.65" customHeight="1" x14ac:dyDescent="0.35">
      <c r="A707" s="338">
        <v>7380</v>
      </c>
      <c r="B707" s="332" t="s">
        <v>729</v>
      </c>
      <c r="C707" s="2">
        <f>AP71</f>
        <v>73089663.260000005</v>
      </c>
      <c r="D707" s="2">
        <f>(D615/D612)*AP76</f>
        <v>1092836.6500181728</v>
      </c>
      <c r="E707" s="2">
        <f>(E623/E612)*SUM(C707:D707)</f>
        <v>4525220.9909897009</v>
      </c>
      <c r="F707" s="2">
        <f>(F624/F612)*AP64</f>
        <v>186309.96328721519</v>
      </c>
      <c r="G707" s="2">
        <f>(G625/G612)*AP77</f>
        <v>0</v>
      </c>
      <c r="H707" s="2">
        <f>(H628/H612)*AP60</f>
        <v>1373384.8927375248</v>
      </c>
      <c r="I707" s="2">
        <f>(I629/I612)*AP78</f>
        <v>380856.52349071729</v>
      </c>
      <c r="J707" s="2">
        <f>(J630/J612)*AP79</f>
        <v>0</v>
      </c>
      <c r="K707" s="2">
        <f>(K644/K612)*AP75</f>
        <v>5622302.5463975864</v>
      </c>
      <c r="L707" s="2">
        <f>(L647/L612)*AP80</f>
        <v>168013.81077452225</v>
      </c>
      <c r="M707" s="2">
        <f t="shared" si="21"/>
        <v>13348925</v>
      </c>
      <c r="N707" s="332" t="s">
        <v>730</v>
      </c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  <c r="AG707" s="2"/>
      <c r="AH707" s="2"/>
      <c r="AI707" s="2"/>
      <c r="AJ707" s="2"/>
      <c r="AK707" s="2"/>
      <c r="AL707" s="2"/>
      <c r="AM707" s="2"/>
      <c r="AN707" s="2"/>
      <c r="AO707" s="2"/>
      <c r="AP707" s="2"/>
      <c r="AQ707" s="2"/>
      <c r="AR707" s="2"/>
      <c r="AS707" s="2"/>
      <c r="AT707" s="2"/>
      <c r="AU707" s="2"/>
      <c r="AV707" s="2"/>
      <c r="AW707" s="2"/>
      <c r="AX707" s="2"/>
      <c r="AY707" s="2"/>
      <c r="AZ707" s="2"/>
      <c r="BA707" s="2"/>
      <c r="BB707" s="2"/>
      <c r="BC707" s="2"/>
      <c r="BD707" s="2"/>
      <c r="BE707" s="2"/>
      <c r="BF707" s="2"/>
      <c r="BG707" s="2"/>
      <c r="BH707" s="2"/>
      <c r="BI707" s="2"/>
      <c r="BJ707" s="2"/>
      <c r="BK707" s="2"/>
      <c r="BL707" s="2"/>
      <c r="BM707" s="2"/>
      <c r="BN707" s="2"/>
      <c r="BO707" s="2"/>
      <c r="BP707" s="2"/>
      <c r="BQ707" s="2"/>
      <c r="BR707" s="2"/>
      <c r="BS707" s="2"/>
      <c r="BT707" s="2"/>
      <c r="BU707" s="2"/>
      <c r="BV707" s="2"/>
      <c r="BW707" s="2"/>
      <c r="BX707" s="2"/>
      <c r="BY707" s="2"/>
      <c r="BZ707" s="2"/>
      <c r="CA707" s="2"/>
      <c r="CB707" s="2"/>
      <c r="CC707" s="2"/>
      <c r="CD707" s="2"/>
      <c r="CE707" s="2"/>
      <c r="CF707" s="2"/>
    </row>
    <row r="708" spans="1:84" ht="12.65" customHeight="1" x14ac:dyDescent="0.35">
      <c r="A708" s="338">
        <v>7390</v>
      </c>
      <c r="B708" s="332" t="s">
        <v>731</v>
      </c>
      <c r="C708" s="2">
        <f>AQ71</f>
        <v>0</v>
      </c>
      <c r="D708" s="2">
        <f>(D615/D612)*AQ76</f>
        <v>0</v>
      </c>
      <c r="E708" s="2">
        <f>(E623/E612)*SUM(C708:D708)</f>
        <v>0</v>
      </c>
      <c r="F708" s="2">
        <f>(F624/F612)*AQ64</f>
        <v>0</v>
      </c>
      <c r="G708" s="2">
        <f>(G625/G612)*AQ77</f>
        <v>0</v>
      </c>
      <c r="H708" s="2">
        <f>(H628/H612)*AQ60</f>
        <v>0</v>
      </c>
      <c r="I708" s="2">
        <f>(I629/I612)*AQ78</f>
        <v>0</v>
      </c>
      <c r="J708" s="2">
        <f>(J630/J612)*AQ79</f>
        <v>0</v>
      </c>
      <c r="K708" s="2">
        <f>(K644/K612)*AQ75</f>
        <v>0</v>
      </c>
      <c r="L708" s="2">
        <f>(L647/L612)*AQ80</f>
        <v>0</v>
      </c>
      <c r="M708" s="2">
        <f t="shared" si="21"/>
        <v>0</v>
      </c>
      <c r="N708" s="332" t="s">
        <v>732</v>
      </c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  <c r="AF708" s="2"/>
      <c r="AG708" s="2"/>
      <c r="AH708" s="2"/>
      <c r="AI708" s="2"/>
      <c r="AJ708" s="2"/>
      <c r="AK708" s="2"/>
      <c r="AL708" s="2"/>
      <c r="AM708" s="2"/>
      <c r="AN708" s="2"/>
      <c r="AO708" s="2"/>
      <c r="AP708" s="2"/>
      <c r="AQ708" s="2"/>
      <c r="AR708" s="2"/>
      <c r="AS708" s="2"/>
      <c r="AT708" s="2"/>
      <c r="AU708" s="2"/>
      <c r="AV708" s="2"/>
      <c r="AW708" s="2"/>
      <c r="AX708" s="2"/>
      <c r="AY708" s="2"/>
      <c r="AZ708" s="2"/>
      <c r="BA708" s="2"/>
      <c r="BB708" s="2"/>
      <c r="BC708" s="2"/>
      <c r="BD708" s="2"/>
      <c r="BE708" s="2"/>
      <c r="BF708" s="2"/>
      <c r="BG708" s="2"/>
      <c r="BH708" s="2"/>
      <c r="BI708" s="2"/>
      <c r="BJ708" s="2"/>
      <c r="BK708" s="2"/>
      <c r="BL708" s="2"/>
      <c r="BM708" s="2"/>
      <c r="BN708" s="2"/>
      <c r="BO708" s="2"/>
      <c r="BP708" s="2"/>
      <c r="BQ708" s="2"/>
      <c r="BR708" s="2"/>
      <c r="BS708" s="2"/>
      <c r="BT708" s="2"/>
      <c r="BU708" s="2"/>
      <c r="BV708" s="2"/>
      <c r="BW708" s="2"/>
      <c r="BX708" s="2"/>
      <c r="BY708" s="2"/>
      <c r="BZ708" s="2"/>
      <c r="CA708" s="2"/>
      <c r="CB708" s="2"/>
      <c r="CC708" s="2"/>
      <c r="CD708" s="2"/>
      <c r="CE708" s="2"/>
      <c r="CF708" s="2"/>
    </row>
    <row r="709" spans="1:84" ht="12.65" customHeight="1" x14ac:dyDescent="0.35">
      <c r="A709" s="338">
        <v>7400</v>
      </c>
      <c r="B709" s="332" t="s">
        <v>733</v>
      </c>
      <c r="C709" s="2">
        <f>AR71</f>
        <v>65774180.809999995</v>
      </c>
      <c r="D709" s="2">
        <f>(D615/D612)*AR76</f>
        <v>0</v>
      </c>
      <c r="E709" s="2">
        <f>(E623/E612)*SUM(C709:D709)</f>
        <v>4012303.4951315788</v>
      </c>
      <c r="F709" s="2">
        <f>(F624/F612)*AR64</f>
        <v>120891.64645703493</v>
      </c>
      <c r="G709" s="2">
        <f>(G625/G612)*AR77</f>
        <v>0</v>
      </c>
      <c r="H709" s="2">
        <f>(H628/H612)*AR60</f>
        <v>1606523.3708694037</v>
      </c>
      <c r="I709" s="2">
        <f>(I629/I612)*AR78</f>
        <v>0</v>
      </c>
      <c r="J709" s="2">
        <f>(J630/J612)*AR79</f>
        <v>0</v>
      </c>
      <c r="K709" s="2">
        <f>(K644/K612)*AR75</f>
        <v>6447832.4347137986</v>
      </c>
      <c r="L709" s="2">
        <f>(L647/L612)*AR80</f>
        <v>1964649.3296220833</v>
      </c>
      <c r="M709" s="2">
        <f t="shared" si="21"/>
        <v>14152200</v>
      </c>
      <c r="N709" s="332" t="s">
        <v>734</v>
      </c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  <c r="AF709" s="2"/>
      <c r="AG709" s="2"/>
      <c r="AH709" s="2"/>
      <c r="AI709" s="2"/>
      <c r="AJ709" s="2"/>
      <c r="AK709" s="2"/>
      <c r="AL709" s="2"/>
      <c r="AM709" s="2"/>
      <c r="AN709" s="2"/>
      <c r="AO709" s="2"/>
      <c r="AP709" s="2"/>
      <c r="AQ709" s="2"/>
      <c r="AR709" s="2"/>
      <c r="AS709" s="2"/>
      <c r="AT709" s="2"/>
      <c r="AU709" s="2"/>
      <c r="AV709" s="2"/>
      <c r="AW709" s="2"/>
      <c r="AX709" s="2"/>
      <c r="AY709" s="2"/>
      <c r="AZ709" s="2"/>
      <c r="BA709" s="2"/>
      <c r="BB709" s="2"/>
      <c r="BC709" s="2"/>
      <c r="BD709" s="2"/>
      <c r="BE709" s="2"/>
      <c r="BF709" s="2"/>
      <c r="BG709" s="2"/>
      <c r="BH709" s="2"/>
      <c r="BI709" s="2"/>
      <c r="BJ709" s="2"/>
      <c r="BK709" s="2"/>
      <c r="BL709" s="2"/>
      <c r="BM709" s="2"/>
      <c r="BN709" s="2"/>
      <c r="BO709" s="2"/>
      <c r="BP709" s="2"/>
      <c r="BQ709" s="2"/>
      <c r="BR709" s="2"/>
      <c r="BS709" s="2"/>
      <c r="BT709" s="2"/>
      <c r="BU709" s="2"/>
      <c r="BV709" s="2"/>
      <c r="BW709" s="2"/>
      <c r="BX709" s="2"/>
      <c r="BY709" s="2"/>
      <c r="BZ709" s="2"/>
      <c r="CA709" s="2"/>
      <c r="CB709" s="2"/>
      <c r="CC709" s="2"/>
      <c r="CD709" s="2"/>
      <c r="CE709" s="2"/>
      <c r="CF709" s="2"/>
    </row>
    <row r="710" spans="1:84" ht="12.65" customHeight="1" x14ac:dyDescent="0.35">
      <c r="A710" s="338">
        <v>7410</v>
      </c>
      <c r="B710" s="332" t="s">
        <v>129</v>
      </c>
      <c r="C710" s="2">
        <f>AS71</f>
        <v>0</v>
      </c>
      <c r="D710" s="2">
        <f>(D615/D612)*AS76</f>
        <v>0</v>
      </c>
      <c r="E710" s="2">
        <f>(E623/E612)*SUM(C710:D710)</f>
        <v>0</v>
      </c>
      <c r="F710" s="2">
        <f>(F624/F612)*AS64</f>
        <v>0</v>
      </c>
      <c r="G710" s="2">
        <f>(G625/G612)*AS77</f>
        <v>0</v>
      </c>
      <c r="H710" s="2">
        <f>(H628/H612)*AS60</f>
        <v>0</v>
      </c>
      <c r="I710" s="2">
        <f>(I629/I612)*AS78</f>
        <v>0</v>
      </c>
      <c r="J710" s="2">
        <f>(J630/J612)*AS79</f>
        <v>0</v>
      </c>
      <c r="K710" s="2">
        <f>(K644/K612)*AS75</f>
        <v>0</v>
      </c>
      <c r="L710" s="2">
        <f>(L647/L612)*AS80</f>
        <v>0</v>
      </c>
      <c r="M710" s="2">
        <f t="shared" si="21"/>
        <v>0</v>
      </c>
      <c r="N710" s="332" t="s">
        <v>735</v>
      </c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  <c r="AG710" s="2"/>
      <c r="AH710" s="2"/>
      <c r="AI710" s="2"/>
      <c r="AJ710" s="2"/>
      <c r="AK710" s="2"/>
      <c r="AL710" s="2"/>
      <c r="AM710" s="2"/>
      <c r="AN710" s="2"/>
      <c r="AO710" s="2"/>
      <c r="AP710" s="2"/>
      <c r="AQ710" s="2"/>
      <c r="AR710" s="2"/>
      <c r="AS710" s="2"/>
      <c r="AT710" s="2"/>
      <c r="AU710" s="2"/>
      <c r="AV710" s="2"/>
      <c r="AW710" s="2"/>
      <c r="AX710" s="2"/>
      <c r="AY710" s="2"/>
      <c r="AZ710" s="2"/>
      <c r="BA710" s="2"/>
      <c r="BB710" s="2"/>
      <c r="BC710" s="2"/>
      <c r="BD710" s="2"/>
      <c r="BE710" s="2"/>
      <c r="BF710" s="2"/>
      <c r="BG710" s="2"/>
      <c r="BH710" s="2"/>
      <c r="BI710" s="2"/>
      <c r="BJ710" s="2"/>
      <c r="BK710" s="2"/>
      <c r="BL710" s="2"/>
      <c r="BM710" s="2"/>
      <c r="BN710" s="2"/>
      <c r="BO710" s="2"/>
      <c r="BP710" s="2"/>
      <c r="BQ710" s="2"/>
      <c r="BR710" s="2"/>
      <c r="BS710" s="2"/>
      <c r="BT710" s="2"/>
      <c r="BU710" s="2"/>
      <c r="BV710" s="2"/>
      <c r="BW710" s="2"/>
      <c r="BX710" s="2"/>
      <c r="BY710" s="2"/>
      <c r="BZ710" s="2"/>
      <c r="CA710" s="2"/>
      <c r="CB710" s="2"/>
      <c r="CC710" s="2"/>
      <c r="CD710" s="2"/>
      <c r="CE710" s="2"/>
      <c r="CF710" s="2"/>
    </row>
    <row r="711" spans="1:84" ht="12.65" customHeight="1" x14ac:dyDescent="0.35">
      <c r="A711" s="338">
        <v>7420</v>
      </c>
      <c r="B711" s="332" t="s">
        <v>736</v>
      </c>
      <c r="C711" s="2">
        <f>AT71</f>
        <v>0</v>
      </c>
      <c r="D711" s="2">
        <f>(D615/D612)*AT76</f>
        <v>0</v>
      </c>
      <c r="E711" s="2">
        <f>(E623/E612)*SUM(C711:D711)</f>
        <v>0</v>
      </c>
      <c r="F711" s="2">
        <f>(F624/F612)*AT64</f>
        <v>0</v>
      </c>
      <c r="G711" s="2">
        <f>(G625/G612)*AT77</f>
        <v>0</v>
      </c>
      <c r="H711" s="2">
        <f>(H628/H612)*AT60</f>
        <v>0</v>
      </c>
      <c r="I711" s="2">
        <f>(I629/I612)*AT78</f>
        <v>0</v>
      </c>
      <c r="J711" s="2">
        <f>(J630/J612)*AT79</f>
        <v>0</v>
      </c>
      <c r="K711" s="2">
        <f>(K644/K612)*AT75</f>
        <v>0</v>
      </c>
      <c r="L711" s="2">
        <f>(L647/L612)*AT80</f>
        <v>0</v>
      </c>
      <c r="M711" s="2">
        <f t="shared" si="21"/>
        <v>0</v>
      </c>
      <c r="N711" s="332" t="s">
        <v>737</v>
      </c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  <c r="AG711" s="2"/>
      <c r="AH711" s="2"/>
      <c r="AI711" s="2"/>
      <c r="AJ711" s="2"/>
      <c r="AK711" s="2"/>
      <c r="AL711" s="2"/>
      <c r="AM711" s="2"/>
      <c r="AN711" s="2"/>
      <c r="AO711" s="2"/>
      <c r="AP711" s="2"/>
      <c r="AQ711" s="2"/>
      <c r="AR711" s="2"/>
      <c r="AS711" s="2"/>
      <c r="AT711" s="2"/>
      <c r="AU711" s="2"/>
      <c r="AV711" s="2"/>
      <c r="AW711" s="2"/>
      <c r="AX711" s="2"/>
      <c r="AY711" s="2"/>
      <c r="AZ711" s="2"/>
      <c r="BA711" s="2"/>
      <c r="BB711" s="2"/>
      <c r="BC711" s="2"/>
      <c r="BD711" s="2"/>
      <c r="BE711" s="2"/>
      <c r="BF711" s="2"/>
      <c r="BG711" s="2"/>
      <c r="BH711" s="2"/>
      <c r="BI711" s="2"/>
      <c r="BJ711" s="2"/>
      <c r="BK711" s="2"/>
      <c r="BL711" s="2"/>
      <c r="BM711" s="2"/>
      <c r="BN711" s="2"/>
      <c r="BO711" s="2"/>
      <c r="BP711" s="2"/>
      <c r="BQ711" s="2"/>
      <c r="BR711" s="2"/>
      <c r="BS711" s="2"/>
      <c r="BT711" s="2"/>
      <c r="BU711" s="2"/>
      <c r="BV711" s="2"/>
      <c r="BW711" s="2"/>
      <c r="BX711" s="2"/>
      <c r="BY711" s="2"/>
      <c r="BZ711" s="2"/>
      <c r="CA711" s="2"/>
      <c r="CB711" s="2"/>
      <c r="CC711" s="2"/>
      <c r="CD711" s="2"/>
      <c r="CE711" s="2"/>
      <c r="CF711" s="2"/>
    </row>
    <row r="712" spans="1:84" ht="12.65" customHeight="1" x14ac:dyDescent="0.35">
      <c r="A712" s="338">
        <v>7430</v>
      </c>
      <c r="B712" s="332" t="s">
        <v>738</v>
      </c>
      <c r="C712" s="2">
        <f>AU71</f>
        <v>0</v>
      </c>
      <c r="D712" s="2">
        <f>(D615/D612)*AU76</f>
        <v>0</v>
      </c>
      <c r="E712" s="2">
        <f>(E623/E612)*SUM(C712:D712)</f>
        <v>0</v>
      </c>
      <c r="F712" s="2">
        <f>(F624/F612)*AU64</f>
        <v>0</v>
      </c>
      <c r="G712" s="2">
        <f>(G625/G612)*AU77</f>
        <v>0</v>
      </c>
      <c r="H712" s="2">
        <f>(H628/H612)*AU60</f>
        <v>0</v>
      </c>
      <c r="I712" s="2">
        <f>(I629/I612)*AU78</f>
        <v>0</v>
      </c>
      <c r="J712" s="2">
        <f>(J630/J612)*AU79</f>
        <v>0</v>
      </c>
      <c r="K712" s="2">
        <f>(K644/K612)*AU75</f>
        <v>0</v>
      </c>
      <c r="L712" s="2">
        <f>(L647/L612)*AU80</f>
        <v>0</v>
      </c>
      <c r="M712" s="2">
        <f t="shared" si="21"/>
        <v>0</v>
      </c>
      <c r="N712" s="332" t="s">
        <v>739</v>
      </c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  <c r="AG712" s="2"/>
      <c r="AH712" s="2"/>
      <c r="AI712" s="2"/>
      <c r="AJ712" s="2"/>
      <c r="AK712" s="2"/>
      <c r="AL712" s="2"/>
      <c r="AM712" s="2"/>
      <c r="AN712" s="2"/>
      <c r="AO712" s="2"/>
      <c r="AP712" s="2"/>
      <c r="AQ712" s="2"/>
      <c r="AR712" s="2"/>
      <c r="AS712" s="2"/>
      <c r="AT712" s="2"/>
      <c r="AU712" s="2"/>
      <c r="AV712" s="2"/>
      <c r="AW712" s="2"/>
      <c r="AX712" s="2"/>
      <c r="AY712" s="2"/>
      <c r="AZ712" s="2"/>
      <c r="BA712" s="2"/>
      <c r="BB712" s="2"/>
      <c r="BC712" s="2"/>
      <c r="BD712" s="2"/>
      <c r="BE712" s="2"/>
      <c r="BF712" s="2"/>
      <c r="BG712" s="2"/>
      <c r="BH712" s="2"/>
      <c r="BI712" s="2"/>
      <c r="BJ712" s="2"/>
      <c r="BK712" s="2"/>
      <c r="BL712" s="2"/>
      <c r="BM712" s="2"/>
      <c r="BN712" s="2"/>
      <c r="BO712" s="2"/>
      <c r="BP712" s="2"/>
      <c r="BQ712" s="2"/>
      <c r="BR712" s="2"/>
      <c r="BS712" s="2"/>
      <c r="BT712" s="2"/>
      <c r="BU712" s="2"/>
      <c r="BV712" s="2"/>
      <c r="BW712" s="2"/>
      <c r="BX712" s="2"/>
      <c r="BY712" s="2"/>
      <c r="BZ712" s="2"/>
      <c r="CA712" s="2"/>
      <c r="CB712" s="2"/>
      <c r="CC712" s="2"/>
      <c r="CD712" s="2"/>
      <c r="CE712" s="2"/>
      <c r="CF712" s="2"/>
    </row>
    <row r="713" spans="1:84" ht="12.65" customHeight="1" x14ac:dyDescent="0.35">
      <c r="A713" s="338">
        <v>7490</v>
      </c>
      <c r="B713" s="332" t="s">
        <v>740</v>
      </c>
      <c r="C713" s="2">
        <f>AV71</f>
        <v>3680391.3200000012</v>
      </c>
      <c r="D713" s="2">
        <f>(D615/D612)*AV76</f>
        <v>312269.60924966715</v>
      </c>
      <c r="E713" s="2">
        <f>(E623/E612)*SUM(C713:D713)</f>
        <v>243557.0797541301</v>
      </c>
      <c r="F713" s="2">
        <f>(F624/F612)*AV64</f>
        <v>215785.88853242982</v>
      </c>
      <c r="G713" s="2">
        <f>(G625/G612)*AV77</f>
        <v>0</v>
      </c>
      <c r="H713" s="2">
        <f>(H628/H612)*AV60</f>
        <v>81062.841791520274</v>
      </c>
      <c r="I713" s="2">
        <f>(I629/I612)*AV78</f>
        <v>108797.21843628354</v>
      </c>
      <c r="J713" s="2">
        <f>(J630/J612)*AV79</f>
        <v>8720.3682337888604</v>
      </c>
      <c r="K713" s="2">
        <f>(K644/K612)*AV75</f>
        <v>505862.11203852232</v>
      </c>
      <c r="L713" s="2">
        <f>(L647/L612)*AV80</f>
        <v>898166.11083381658</v>
      </c>
      <c r="M713" s="2">
        <f t="shared" si="21"/>
        <v>2374221</v>
      </c>
      <c r="N713" s="323" t="s">
        <v>741</v>
      </c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  <c r="AG713" s="2"/>
      <c r="AH713" s="2"/>
      <c r="AI713" s="2"/>
      <c r="AJ713" s="2"/>
      <c r="AK713" s="2"/>
      <c r="AL713" s="2"/>
      <c r="AM713" s="2"/>
      <c r="AN713" s="2"/>
      <c r="AO713" s="2"/>
      <c r="AP713" s="2"/>
      <c r="AQ713" s="2"/>
      <c r="AR713" s="2"/>
      <c r="AS713" s="2"/>
      <c r="AT713" s="2"/>
      <c r="AU713" s="2"/>
      <c r="AV713" s="2"/>
      <c r="AW713" s="2"/>
      <c r="AX713" s="2"/>
      <c r="AY713" s="2"/>
      <c r="AZ713" s="2"/>
      <c r="BA713" s="2"/>
      <c r="BB713" s="2"/>
      <c r="BC713" s="2"/>
      <c r="BD713" s="2"/>
      <c r="BE713" s="2"/>
      <c r="BF713" s="2"/>
      <c r="BG713" s="2"/>
      <c r="BH713" s="2"/>
      <c r="BI713" s="2"/>
      <c r="BJ713" s="2"/>
      <c r="BK713" s="2"/>
      <c r="BL713" s="2"/>
      <c r="BM713" s="2"/>
      <c r="BN713" s="2"/>
      <c r="BO713" s="2"/>
      <c r="BP713" s="2"/>
      <c r="BQ713" s="2"/>
      <c r="BR713" s="2"/>
      <c r="BS713" s="2"/>
      <c r="BT713" s="2"/>
      <c r="BU713" s="2"/>
      <c r="BV713" s="2"/>
      <c r="BW713" s="2"/>
      <c r="BX713" s="2"/>
      <c r="BY713" s="2"/>
      <c r="BZ713" s="2"/>
      <c r="CA713" s="2"/>
      <c r="CB713" s="2"/>
      <c r="CC713" s="2"/>
      <c r="CD713" s="2"/>
      <c r="CE713" s="2"/>
      <c r="CF713" s="2"/>
    </row>
    <row r="714" spans="1:84" ht="12.65" customHeight="1" x14ac:dyDescent="0.3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  <c r="AG714" s="2"/>
      <c r="AH714" s="2"/>
      <c r="AI714" s="2"/>
      <c r="AJ714" s="2"/>
      <c r="AK714" s="2"/>
      <c r="AL714" s="2"/>
      <c r="AM714" s="2"/>
      <c r="AN714" s="2"/>
      <c r="AO714" s="2"/>
      <c r="AP714" s="2"/>
      <c r="AQ714" s="2"/>
      <c r="AR714" s="2"/>
      <c r="AS714" s="2"/>
      <c r="AT714" s="2"/>
      <c r="AU714" s="2"/>
      <c r="AV714" s="2"/>
      <c r="AW714" s="2"/>
      <c r="AX714" s="2"/>
      <c r="AY714" s="2"/>
      <c r="AZ714" s="2"/>
      <c r="BA714" s="2"/>
      <c r="BB714" s="2"/>
      <c r="BC714" s="2"/>
      <c r="BD714" s="2"/>
      <c r="BE714" s="2"/>
      <c r="BF714" s="2"/>
      <c r="BG714" s="2"/>
      <c r="BH714" s="2"/>
      <c r="BI714" s="2"/>
      <c r="BJ714" s="2"/>
      <c r="BK714" s="2"/>
      <c r="BL714" s="2"/>
      <c r="BM714" s="2"/>
      <c r="BN714" s="2"/>
      <c r="BO714" s="2"/>
      <c r="BP714" s="2"/>
      <c r="BQ714" s="2"/>
      <c r="BR714" s="2"/>
      <c r="BS714" s="2"/>
      <c r="BT714" s="2"/>
      <c r="BU714" s="2"/>
      <c r="BV714" s="2"/>
      <c r="BW714" s="2"/>
      <c r="BX714" s="2"/>
      <c r="BY714" s="2"/>
      <c r="BZ714" s="2"/>
      <c r="CA714" s="2"/>
      <c r="CB714" s="2"/>
      <c r="CC714" s="2"/>
      <c r="CD714" s="2"/>
      <c r="CE714" s="2"/>
      <c r="CF714" s="2"/>
    </row>
    <row r="715" spans="1:84" ht="12.65" customHeight="1" x14ac:dyDescent="0.35">
      <c r="A715" s="2"/>
      <c r="B715" s="2"/>
      <c r="C715" s="2">
        <f>SUM(C614:C647)+SUM(C668:C713)</f>
        <v>706851682.63999999</v>
      </c>
      <c r="D715" s="2">
        <f>SUM(D616:D647)+SUM(D668:D713)</f>
        <v>22017182.759999998</v>
      </c>
      <c r="E715" s="2">
        <f>SUM(E624:E647)+SUM(E668:E713)</f>
        <v>40639724.225046873</v>
      </c>
      <c r="F715" s="2">
        <f>SUM(F625:F648)+SUM(F668:F713)</f>
        <v>3609113.8894991986</v>
      </c>
      <c r="G715" s="2">
        <f>SUM(G626:G647)+SUM(G668:G713)</f>
        <v>0</v>
      </c>
      <c r="H715" s="2">
        <f>SUM(H629:H647)+SUM(H668:H713)</f>
        <v>12472418.219187122</v>
      </c>
      <c r="I715" s="2">
        <f>SUM(I630:I647)+SUM(I668:I713)</f>
        <v>6953679.4660369363</v>
      </c>
      <c r="J715" s="2">
        <f>SUM(J631:J647)+SUM(J668:J713)</f>
        <v>531240.09759895166</v>
      </c>
      <c r="K715" s="2">
        <f>SUM(K668:K713)</f>
        <v>94533261.123110011</v>
      </c>
      <c r="L715" s="2">
        <f>SUM(L668:L713)</f>
        <v>11148182.775743116</v>
      </c>
      <c r="M715" s="2">
        <f>SUM(M668:M713)</f>
        <v>176081019</v>
      </c>
      <c r="N715" s="332" t="s">
        <v>742</v>
      </c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  <c r="AG715" s="2"/>
      <c r="AH715" s="2"/>
      <c r="AI715" s="2"/>
      <c r="AJ715" s="2"/>
      <c r="AK715" s="2"/>
      <c r="AL715" s="2"/>
      <c r="AM715" s="2"/>
      <c r="AN715" s="2"/>
      <c r="AO715" s="2"/>
      <c r="AP715" s="2"/>
      <c r="AQ715" s="2"/>
      <c r="AR715" s="2"/>
      <c r="AS715" s="2"/>
      <c r="AT715" s="2"/>
      <c r="AU715" s="2"/>
      <c r="AV715" s="2"/>
      <c r="AW715" s="2"/>
      <c r="AX715" s="2"/>
      <c r="AY715" s="2"/>
      <c r="AZ715" s="2"/>
      <c r="BA715" s="2"/>
      <c r="BB715" s="2"/>
      <c r="BC715" s="2"/>
      <c r="BD715" s="2"/>
      <c r="BE715" s="2"/>
      <c r="BF715" s="2"/>
      <c r="BG715" s="2"/>
      <c r="BH715" s="2"/>
      <c r="BI715" s="2"/>
      <c r="BJ715" s="2"/>
      <c r="BK715" s="2"/>
      <c r="BL715" s="2"/>
      <c r="BM715" s="2"/>
      <c r="BN715" s="2"/>
      <c r="BO715" s="2"/>
      <c r="BP715" s="2"/>
      <c r="BQ715" s="2"/>
      <c r="BR715" s="2"/>
      <c r="BS715" s="2"/>
      <c r="BT715" s="2"/>
      <c r="BU715" s="2"/>
      <c r="BV715" s="2"/>
      <c r="BW715" s="2"/>
      <c r="BX715" s="2"/>
      <c r="BY715" s="2"/>
      <c r="BZ715" s="2"/>
      <c r="CA715" s="2"/>
      <c r="CB715" s="2"/>
      <c r="CC715" s="2"/>
      <c r="CD715" s="2"/>
      <c r="CE715" s="2"/>
      <c r="CF715" s="2"/>
    </row>
    <row r="716" spans="1:84" ht="12.65" customHeight="1" x14ac:dyDescent="0.35">
      <c r="A716" s="2"/>
      <c r="B716" s="2"/>
      <c r="C716" s="2">
        <f>CE71</f>
        <v>706851682.64000022</v>
      </c>
      <c r="D716" s="2">
        <f>D615</f>
        <v>22017182.759999998</v>
      </c>
      <c r="E716" s="2">
        <f>E623</f>
        <v>40639724.225046888</v>
      </c>
      <c r="F716" s="2">
        <f>F624</f>
        <v>3609113.8894991991</v>
      </c>
      <c r="G716" s="2">
        <f>G625</f>
        <v>0</v>
      </c>
      <c r="H716" s="2">
        <f>H628</f>
        <v>12472418.219187126</v>
      </c>
      <c r="I716" s="2">
        <f>I629</f>
        <v>6953679.4660369363</v>
      </c>
      <c r="J716" s="2">
        <f>J630</f>
        <v>531240.09759895154</v>
      </c>
      <c r="K716" s="2">
        <f>K644</f>
        <v>94533261.123110041</v>
      </c>
      <c r="L716" s="2">
        <f>L647</f>
        <v>11148182.775743116</v>
      </c>
      <c r="M716" s="2">
        <f>C648</f>
        <v>176081018.77999997</v>
      </c>
      <c r="N716" s="332" t="s">
        <v>743</v>
      </c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  <c r="AG716" s="2"/>
      <c r="AH716" s="2"/>
      <c r="AI716" s="2"/>
      <c r="AJ716" s="2"/>
      <c r="AK716" s="2"/>
      <c r="AL716" s="2"/>
      <c r="AM716" s="2"/>
      <c r="AN716" s="2"/>
      <c r="AO716" s="2"/>
      <c r="AP716" s="2"/>
      <c r="AQ716" s="2"/>
      <c r="AR716" s="2"/>
      <c r="AS716" s="2"/>
      <c r="AT716" s="2"/>
      <c r="AU716" s="2"/>
      <c r="AV716" s="2"/>
      <c r="AW716" s="2"/>
      <c r="AX716" s="2"/>
      <c r="AY716" s="2"/>
      <c r="AZ716" s="2"/>
      <c r="BA716" s="2"/>
      <c r="BB716" s="2"/>
      <c r="BC716" s="2"/>
      <c r="BD716" s="2"/>
      <c r="BE716" s="2"/>
      <c r="BF716" s="2"/>
      <c r="BG716" s="2"/>
      <c r="BH716" s="2"/>
      <c r="BI716" s="2"/>
      <c r="BJ716" s="2"/>
      <c r="BK716" s="2"/>
      <c r="BL716" s="2"/>
      <c r="BM716" s="2"/>
      <c r="BN716" s="2"/>
      <c r="BO716" s="2"/>
      <c r="BP716" s="2"/>
      <c r="BQ716" s="2"/>
      <c r="BR716" s="2"/>
      <c r="BS716" s="2"/>
      <c r="BT716" s="2"/>
      <c r="BU716" s="2"/>
      <c r="BV716" s="2"/>
      <c r="BW716" s="2"/>
      <c r="BX716" s="2"/>
      <c r="BY716" s="2"/>
      <c r="BZ716" s="2"/>
      <c r="CA716" s="2"/>
      <c r="CB716" s="2"/>
      <c r="CC716" s="2"/>
      <c r="CD716" s="2"/>
      <c r="CE716" s="2"/>
      <c r="CF716" s="2"/>
    </row>
    <row r="717" spans="1:84" ht="12.65" customHeight="1" x14ac:dyDescent="0.35">
      <c r="O717" s="198"/>
    </row>
    <row r="718" spans="1:84" ht="12.65" customHeight="1" x14ac:dyDescent="0.35">
      <c r="O718" s="198"/>
    </row>
    <row r="719" spans="1:84" ht="12.65" customHeight="1" x14ac:dyDescent="0.35">
      <c r="A719" s="201" t="s">
        <v>744</v>
      </c>
      <c r="B719" s="201"/>
      <c r="C719" s="201"/>
      <c r="D719" s="201"/>
      <c r="E719" s="201"/>
      <c r="F719" s="201"/>
      <c r="G719" s="201"/>
      <c r="H719" s="201"/>
      <c r="I719" s="282"/>
      <c r="J719" s="282"/>
      <c r="K719" s="282"/>
      <c r="L719" s="282"/>
      <c r="M719" s="282"/>
      <c r="N719" s="282"/>
      <c r="O719" s="202"/>
      <c r="P719" s="282"/>
      <c r="Q719" s="282"/>
      <c r="R719" s="282"/>
      <c r="S719" s="282"/>
      <c r="T719" s="282"/>
      <c r="U719" s="282"/>
      <c r="V719" s="282"/>
      <c r="W719" s="282"/>
      <c r="X719" s="282"/>
      <c r="Y719" s="282"/>
      <c r="Z719" s="282"/>
      <c r="AA719" s="282"/>
      <c r="AB719" s="282"/>
      <c r="AC719" s="282"/>
      <c r="AD719" s="282"/>
      <c r="AE719" s="282"/>
      <c r="AF719" s="282"/>
      <c r="AG719" s="282"/>
      <c r="AH719" s="282"/>
      <c r="AI719" s="282"/>
      <c r="AJ719" s="282"/>
      <c r="AK719" s="282"/>
      <c r="AL719" s="282"/>
      <c r="AM719" s="282"/>
      <c r="AN719" s="282"/>
      <c r="AO719" s="282"/>
      <c r="AP719" s="282"/>
      <c r="AQ719" s="282"/>
      <c r="AR719" s="282"/>
      <c r="AS719" s="282"/>
      <c r="AT719" s="282"/>
      <c r="AU719" s="282"/>
      <c r="AV719" s="282"/>
      <c r="AW719" s="282"/>
      <c r="AX719" s="282"/>
      <c r="AY719" s="282"/>
      <c r="AZ719" s="282"/>
      <c r="BA719" s="282"/>
      <c r="BB719" s="282"/>
      <c r="BC719" s="282"/>
      <c r="BD719" s="282"/>
      <c r="BE719" s="282"/>
      <c r="BF719" s="282"/>
      <c r="BG719" s="282"/>
      <c r="BH719" s="282"/>
      <c r="BI719" s="282"/>
      <c r="BJ719" s="282"/>
      <c r="BK719" s="282"/>
      <c r="BL719" s="282"/>
      <c r="BM719" s="282"/>
      <c r="BN719" s="282"/>
      <c r="BO719" s="282"/>
      <c r="BP719" s="282"/>
      <c r="BQ719" s="282"/>
      <c r="BR719" s="282"/>
      <c r="BS719" s="282"/>
      <c r="BT719" s="282"/>
      <c r="BU719" s="282"/>
      <c r="BV719" s="282"/>
      <c r="BW719" s="282"/>
      <c r="BX719" s="282"/>
      <c r="BY719" s="282"/>
      <c r="BZ719" s="282"/>
      <c r="CA719" s="282"/>
      <c r="CB719" s="282"/>
      <c r="CC719" s="282"/>
      <c r="CD719" s="282"/>
    </row>
    <row r="720" spans="1:84" ht="12.65" customHeight="1" x14ac:dyDescent="0.35">
      <c r="A720" s="203" t="s">
        <v>745</v>
      </c>
      <c r="B720" s="203" t="s">
        <v>746</v>
      </c>
      <c r="C720" s="203" t="s">
        <v>747</v>
      </c>
      <c r="D720" s="203" t="s">
        <v>748</v>
      </c>
      <c r="E720" s="203" t="s">
        <v>749</v>
      </c>
      <c r="F720" s="203" t="s">
        <v>750</v>
      </c>
      <c r="G720" s="203" t="s">
        <v>751</v>
      </c>
      <c r="H720" s="203" t="s">
        <v>752</v>
      </c>
      <c r="I720" s="203" t="s">
        <v>753</v>
      </c>
      <c r="J720" s="203" t="s">
        <v>754</v>
      </c>
      <c r="K720" s="203" t="s">
        <v>755</v>
      </c>
      <c r="L720" s="203" t="s">
        <v>756</v>
      </c>
      <c r="M720" s="203" t="s">
        <v>757</v>
      </c>
      <c r="N720" s="203" t="s">
        <v>758</v>
      </c>
      <c r="O720" s="203" t="s">
        <v>759</v>
      </c>
      <c r="P720" s="203" t="s">
        <v>760</v>
      </c>
      <c r="Q720" s="203" t="s">
        <v>761</v>
      </c>
      <c r="R720" s="203" t="s">
        <v>762</v>
      </c>
      <c r="S720" s="203" t="s">
        <v>763</v>
      </c>
      <c r="T720" s="203" t="s">
        <v>764</v>
      </c>
      <c r="U720" s="203" t="s">
        <v>765</v>
      </c>
      <c r="V720" s="203" t="s">
        <v>766</v>
      </c>
      <c r="W720" s="203" t="s">
        <v>767</v>
      </c>
      <c r="X720" s="203" t="s">
        <v>768</v>
      </c>
      <c r="Y720" s="203" t="s">
        <v>769</v>
      </c>
      <c r="Z720" s="203" t="s">
        <v>770</v>
      </c>
      <c r="AA720" s="203" t="s">
        <v>771</v>
      </c>
      <c r="AB720" s="203" t="s">
        <v>772</v>
      </c>
      <c r="AC720" s="203" t="s">
        <v>773</v>
      </c>
      <c r="AD720" s="203" t="s">
        <v>774</v>
      </c>
      <c r="AE720" s="203" t="s">
        <v>775</v>
      </c>
      <c r="AF720" s="203" t="s">
        <v>776</v>
      </c>
      <c r="AG720" s="203" t="s">
        <v>777</v>
      </c>
      <c r="AH720" s="203" t="s">
        <v>778</v>
      </c>
      <c r="AI720" s="203" t="s">
        <v>779</v>
      </c>
      <c r="AJ720" s="203" t="s">
        <v>780</v>
      </c>
      <c r="AK720" s="203" t="s">
        <v>781</v>
      </c>
      <c r="AL720" s="203" t="s">
        <v>782</v>
      </c>
      <c r="AM720" s="203" t="s">
        <v>783</v>
      </c>
      <c r="AN720" s="203" t="s">
        <v>784</v>
      </c>
      <c r="AO720" s="203" t="s">
        <v>785</v>
      </c>
      <c r="AP720" s="203" t="s">
        <v>786</v>
      </c>
      <c r="AQ720" s="203" t="s">
        <v>787</v>
      </c>
      <c r="AR720" s="203" t="s">
        <v>788</v>
      </c>
      <c r="AS720" s="203" t="s">
        <v>789</v>
      </c>
      <c r="AT720" s="203" t="s">
        <v>790</v>
      </c>
      <c r="AU720" s="203" t="s">
        <v>791</v>
      </c>
      <c r="AV720" s="203" t="s">
        <v>792</v>
      </c>
      <c r="AW720" s="203" t="s">
        <v>793</v>
      </c>
      <c r="AX720" s="203" t="s">
        <v>794</v>
      </c>
      <c r="AY720" s="203" t="s">
        <v>795</v>
      </c>
      <c r="AZ720" s="203" t="s">
        <v>796</v>
      </c>
      <c r="BA720" s="203" t="s">
        <v>797</v>
      </c>
      <c r="BB720" s="203" t="s">
        <v>798</v>
      </c>
      <c r="BC720" s="203" t="s">
        <v>799</v>
      </c>
      <c r="BD720" s="203" t="s">
        <v>800</v>
      </c>
      <c r="BE720" s="203" t="s">
        <v>801</v>
      </c>
      <c r="BF720" s="203" t="s">
        <v>802</v>
      </c>
      <c r="BG720" s="203" t="s">
        <v>803</v>
      </c>
      <c r="BH720" s="203" t="s">
        <v>804</v>
      </c>
      <c r="BI720" s="203" t="s">
        <v>805</v>
      </c>
      <c r="BJ720" s="203" t="s">
        <v>806</v>
      </c>
      <c r="BK720" s="203" t="s">
        <v>807</v>
      </c>
      <c r="BL720" s="203" t="s">
        <v>808</v>
      </c>
      <c r="BM720" s="203" t="s">
        <v>809</v>
      </c>
      <c r="BN720" s="203" t="s">
        <v>810</v>
      </c>
      <c r="BO720" s="203" t="s">
        <v>811</v>
      </c>
      <c r="BP720" s="203" t="s">
        <v>812</v>
      </c>
      <c r="BQ720" s="203" t="s">
        <v>813</v>
      </c>
      <c r="BR720" s="203" t="s">
        <v>814</v>
      </c>
      <c r="BS720" s="203" t="s">
        <v>815</v>
      </c>
      <c r="BT720" s="203" t="s">
        <v>816</v>
      </c>
      <c r="BU720" s="203" t="s">
        <v>817</v>
      </c>
      <c r="BV720" s="203" t="s">
        <v>818</v>
      </c>
      <c r="BW720" s="203" t="s">
        <v>819</v>
      </c>
      <c r="BX720" s="203" t="s">
        <v>820</v>
      </c>
      <c r="BY720" s="203" t="s">
        <v>821</v>
      </c>
      <c r="BZ720" s="283" t="s">
        <v>822</v>
      </c>
      <c r="CA720" s="203" t="s">
        <v>823</v>
      </c>
      <c r="CB720" s="203" t="s">
        <v>824</v>
      </c>
      <c r="CC720" s="203" t="s">
        <v>825</v>
      </c>
    </row>
    <row r="721" spans="1:84" ht="12.65" customHeight="1" x14ac:dyDescent="0.35">
      <c r="A721" s="284" t="str">
        <f>RIGHT(C84,3)&amp;"*"&amp;RIGHT(C83,4)&amp;"*"&amp;"A"</f>
        <v xml:space="preserve"> #2*164*A</v>
      </c>
      <c r="B721" s="282">
        <f>ROUND(C166,0)</f>
        <v>1298310</v>
      </c>
      <c r="C721" s="282">
        <f>ROUND(C167,0)</f>
        <v>2638618</v>
      </c>
      <c r="D721" s="282">
        <f>ROUND(C168,0)</f>
        <v>40248712</v>
      </c>
      <c r="E721" s="282">
        <f>ROUND(C169,0)</f>
        <v>203216</v>
      </c>
      <c r="F721" s="282">
        <f>ROUND(C170,0)</f>
        <v>19533469</v>
      </c>
      <c r="G721" s="282">
        <f>ROUND(C171,0)</f>
        <v>3190480</v>
      </c>
      <c r="H721" s="282">
        <f>ROUND(C172+C173,0)</f>
        <v>0</v>
      </c>
      <c r="I721" s="282">
        <f>ROUND(C176,0)</f>
        <v>2946918</v>
      </c>
      <c r="J721" s="282">
        <f>ROUND(C177,0)</f>
        <v>0</v>
      </c>
      <c r="K721" s="282">
        <f>ROUND(C180,0)</f>
        <v>1383198</v>
      </c>
      <c r="L721" s="282">
        <f>ROUND(C181,0)</f>
        <v>0</v>
      </c>
      <c r="M721" s="282">
        <f>ROUND(C184,0)</f>
        <v>6687513</v>
      </c>
      <c r="N721" s="282">
        <f>ROUND(C185,0)</f>
        <v>0</v>
      </c>
      <c r="O721" s="282">
        <f>ROUND(C186,0)</f>
        <v>0</v>
      </c>
      <c r="P721" s="282">
        <f>ROUND(C189,0)</f>
        <v>0</v>
      </c>
      <c r="Q721" s="282">
        <f>ROUND(C190,0)</f>
        <v>0</v>
      </c>
      <c r="R721" s="282">
        <f>ROUND(B196,0)</f>
        <v>13718296</v>
      </c>
      <c r="S721" s="282">
        <f>ROUND(C196,0)</f>
        <v>0</v>
      </c>
      <c r="T721" s="282">
        <f>ROUND(D196,0)</f>
        <v>594384</v>
      </c>
      <c r="U721" s="282">
        <f>ROUND(B197,0)</f>
        <v>336138182</v>
      </c>
      <c r="V721" s="282">
        <f>ROUND(C197,0)</f>
        <v>4238176</v>
      </c>
      <c r="W721" s="282">
        <f>ROUND(D197,0)</f>
        <v>0</v>
      </c>
      <c r="X721" s="282">
        <f>ROUND(B198,0)</f>
        <v>127496858</v>
      </c>
      <c r="Y721" s="282">
        <f>ROUND(C198,0)</f>
        <v>2784576</v>
      </c>
      <c r="Z721" s="282">
        <f>ROUND(D198,0)</f>
        <v>1874</v>
      </c>
      <c r="AA721" s="282">
        <f>ROUND(B199,0)</f>
        <v>50609</v>
      </c>
      <c r="AB721" s="282">
        <f>ROUND(C199,0)</f>
        <v>0</v>
      </c>
      <c r="AC721" s="282">
        <f>ROUND(D199,0)</f>
        <v>27486</v>
      </c>
      <c r="AD721" s="282">
        <f>ROUND(B200,0)</f>
        <v>297478484</v>
      </c>
      <c r="AE721" s="282">
        <f>ROUND(C200,0)</f>
        <v>18248091</v>
      </c>
      <c r="AF721" s="282">
        <f>ROUND(D200,0)</f>
        <v>14623251</v>
      </c>
      <c r="AG721" s="282">
        <f>ROUND(B201,0)</f>
        <v>0</v>
      </c>
      <c r="AH721" s="282">
        <f>ROUND(C201,0)</f>
        <v>0</v>
      </c>
      <c r="AI721" s="282">
        <f>ROUND(D201,0)</f>
        <v>0</v>
      </c>
      <c r="AJ721" s="282">
        <f>ROUND(B202,0)</f>
        <v>38462716</v>
      </c>
      <c r="AK721" s="282">
        <f>ROUND(C202,0)</f>
        <v>1477906</v>
      </c>
      <c r="AL721" s="282">
        <f>ROUND(D202,0)</f>
        <v>0</v>
      </c>
      <c r="AM721" s="282">
        <f>ROUND(B203,0)</f>
        <v>25691087</v>
      </c>
      <c r="AN721" s="282">
        <f>ROUND(C203,0)</f>
        <v>24995417</v>
      </c>
      <c r="AO721" s="282">
        <f>ROUND(D203,0)</f>
        <v>26112651</v>
      </c>
      <c r="AP721" s="282">
        <f>ROUND(B204,0)</f>
        <v>843949891</v>
      </c>
      <c r="AQ721" s="282">
        <f>ROUND(C204,0)</f>
        <v>51744166</v>
      </c>
      <c r="AR721" s="282">
        <f>ROUND(D204,0)</f>
        <v>41359647</v>
      </c>
      <c r="AS721" s="282"/>
      <c r="AT721" s="282"/>
      <c r="AU721" s="282"/>
      <c r="AV721" s="282">
        <f>ROUND(B210,0)</f>
        <v>171122096</v>
      </c>
      <c r="AW721" s="282">
        <f>ROUND(C210,0)</f>
        <v>11338083</v>
      </c>
      <c r="AX721" s="282">
        <f>ROUND(D210,0)</f>
        <v>0</v>
      </c>
      <c r="AY721" s="282">
        <f>ROUND(B211,0)</f>
        <v>91988697</v>
      </c>
      <c r="AZ721" s="282">
        <f>ROUND(C211,0)</f>
        <v>4267676</v>
      </c>
      <c r="BA721" s="282">
        <f>ROUND(D211,0)</f>
        <v>1874</v>
      </c>
      <c r="BB721" s="282">
        <f>ROUND(B212,0)</f>
        <v>47807</v>
      </c>
      <c r="BC721" s="282">
        <f>ROUND(C212,0)</f>
        <v>947</v>
      </c>
      <c r="BD721" s="282">
        <f>ROUND(D212,0)</f>
        <v>27486</v>
      </c>
      <c r="BE721" s="282">
        <f>ROUND(B213,0)</f>
        <v>226932187</v>
      </c>
      <c r="BF721" s="282">
        <f>ROUND(C213,0)</f>
        <v>17854953</v>
      </c>
      <c r="BG721" s="282">
        <f>ROUND(D213,0)</f>
        <v>14623251</v>
      </c>
      <c r="BH721" s="282">
        <f>ROUND(B214,0)</f>
        <v>0</v>
      </c>
      <c r="BI721" s="282">
        <f>ROUND(C214,0)</f>
        <v>0</v>
      </c>
      <c r="BJ721" s="282">
        <f>ROUND(D214,0)</f>
        <v>0</v>
      </c>
      <c r="BK721" s="282">
        <f>ROUND(B215,0)</f>
        <v>21487265</v>
      </c>
      <c r="BL721" s="282">
        <f>ROUND(C215,0)</f>
        <v>2482053</v>
      </c>
      <c r="BM721" s="282">
        <f>ROUND(D215,0)</f>
        <v>0</v>
      </c>
      <c r="BN721" s="282">
        <f>ROUND(B216,0)</f>
        <v>0</v>
      </c>
      <c r="BO721" s="282">
        <f>ROUND(C216,0)</f>
        <v>0</v>
      </c>
      <c r="BP721" s="282">
        <f>ROUND(D216,0)</f>
        <v>0</v>
      </c>
      <c r="BQ721" s="282">
        <f>ROUND(B217,0)</f>
        <v>523121081</v>
      </c>
      <c r="BR721" s="282">
        <f>ROUND(C217,0)</f>
        <v>36303120</v>
      </c>
      <c r="BS721" s="282">
        <f>ROUND(D217,0)</f>
        <v>15246996</v>
      </c>
      <c r="BT721" s="282">
        <f>ROUND(C222,0)</f>
        <v>0</v>
      </c>
      <c r="BU721" s="282">
        <f>ROUND(C223,0)</f>
        <v>591409889</v>
      </c>
      <c r="BV721" s="282">
        <f>ROUND(C224,0)</f>
        <v>134379928</v>
      </c>
      <c r="BW721" s="282">
        <f>ROUND(C225,0)</f>
        <v>8744407</v>
      </c>
      <c r="BX721" s="282">
        <f>ROUND(C226,0)</f>
        <v>6818196</v>
      </c>
      <c r="BY721" s="282">
        <f>ROUND(C227,0)</f>
        <v>470314582</v>
      </c>
      <c r="BZ721" s="282">
        <f>ROUND(C230,0)</f>
        <v>0</v>
      </c>
      <c r="CA721" s="282">
        <f>ROUND(C232,0)</f>
        <v>0</v>
      </c>
      <c r="CB721" s="282">
        <f>ROUND(C233,0)</f>
        <v>3489992</v>
      </c>
      <c r="CC721" s="282">
        <f>ROUND(C237+C238,0)</f>
        <v>5233395</v>
      </c>
    </row>
    <row r="723" spans="1:84" ht="12.65" customHeight="1" x14ac:dyDescent="0.35">
      <c r="A723" s="201" t="s">
        <v>148</v>
      </c>
      <c r="B723" s="201"/>
      <c r="C723" s="201"/>
      <c r="D723" s="201"/>
      <c r="E723" s="201"/>
      <c r="F723" s="201"/>
      <c r="G723" s="201"/>
      <c r="H723" s="282"/>
      <c r="I723" s="282"/>
      <c r="J723" s="282"/>
      <c r="K723" s="282"/>
      <c r="L723" s="282"/>
      <c r="M723" s="282"/>
      <c r="N723" s="282"/>
      <c r="O723" s="282"/>
      <c r="P723" s="282"/>
      <c r="Q723" s="282"/>
      <c r="R723" s="282"/>
      <c r="S723" s="282"/>
      <c r="T723" s="282"/>
      <c r="U723" s="282"/>
      <c r="V723" s="282"/>
      <c r="W723" s="282"/>
      <c r="X723" s="282"/>
      <c r="Y723" s="282"/>
      <c r="Z723" s="282"/>
      <c r="AA723" s="282"/>
      <c r="AB723" s="282"/>
      <c r="AC723" s="282"/>
      <c r="AD723" s="282"/>
      <c r="AE723" s="282"/>
      <c r="AF723" s="282"/>
      <c r="AG723" s="282"/>
      <c r="AH723" s="282"/>
      <c r="AI723" s="282"/>
      <c r="AJ723" s="282"/>
      <c r="AK723" s="282"/>
      <c r="AL723" s="282"/>
      <c r="AM723" s="282"/>
      <c r="AN723" s="282"/>
      <c r="AO723" s="282"/>
      <c r="AP723" s="282"/>
      <c r="AQ723" s="282"/>
      <c r="AR723" s="282"/>
      <c r="AS723" s="282"/>
      <c r="AT723" s="282"/>
      <c r="AU723" s="282"/>
      <c r="AV723" s="282"/>
      <c r="AW723" s="282"/>
      <c r="AX723" s="282"/>
      <c r="AY723" s="282"/>
      <c r="AZ723" s="282"/>
      <c r="BA723" s="282"/>
      <c r="BB723" s="282"/>
      <c r="BC723" s="282"/>
      <c r="BD723" s="282"/>
      <c r="BE723" s="282"/>
      <c r="BF723" s="282"/>
      <c r="BG723" s="282"/>
      <c r="BH723" s="282"/>
      <c r="BI723" s="282"/>
      <c r="BJ723" s="282"/>
      <c r="BK723" s="282"/>
      <c r="BL723" s="282"/>
      <c r="BM723" s="282"/>
      <c r="BN723" s="282"/>
      <c r="BO723" s="282"/>
      <c r="BP723" s="282"/>
      <c r="BQ723" s="282"/>
      <c r="BR723" s="282"/>
    </row>
    <row r="724" spans="1:84" ht="12.65" customHeight="1" x14ac:dyDescent="0.35">
      <c r="A724" s="203" t="s">
        <v>745</v>
      </c>
      <c r="B724" s="203" t="s">
        <v>826</v>
      </c>
      <c r="C724" s="203" t="s">
        <v>827</v>
      </c>
      <c r="D724" s="203" t="s">
        <v>828</v>
      </c>
      <c r="E724" s="203" t="s">
        <v>829</v>
      </c>
      <c r="F724" s="203" t="s">
        <v>830</v>
      </c>
      <c r="G724" s="203" t="s">
        <v>831</v>
      </c>
      <c r="H724" s="203" t="s">
        <v>832</v>
      </c>
      <c r="I724" s="203" t="s">
        <v>833</v>
      </c>
      <c r="J724" s="203" t="s">
        <v>834</v>
      </c>
      <c r="K724" s="203" t="s">
        <v>835</v>
      </c>
      <c r="L724" s="203" t="s">
        <v>836</v>
      </c>
      <c r="M724" s="203" t="s">
        <v>837</v>
      </c>
      <c r="N724" s="203" t="s">
        <v>838</v>
      </c>
      <c r="O724" s="203" t="s">
        <v>839</v>
      </c>
      <c r="P724" s="203" t="s">
        <v>840</v>
      </c>
      <c r="Q724" s="203" t="s">
        <v>841</v>
      </c>
      <c r="R724" s="203" t="s">
        <v>842</v>
      </c>
      <c r="S724" s="203" t="s">
        <v>843</v>
      </c>
      <c r="T724" s="203" t="s">
        <v>844</v>
      </c>
      <c r="U724" s="203" t="s">
        <v>845</v>
      </c>
      <c r="V724" s="203" t="s">
        <v>846</v>
      </c>
      <c r="W724" s="203" t="s">
        <v>847</v>
      </c>
      <c r="X724" s="203" t="s">
        <v>848</v>
      </c>
      <c r="Y724" s="203" t="s">
        <v>849</v>
      </c>
      <c r="Z724" s="203" t="s">
        <v>850</v>
      </c>
      <c r="AA724" s="203" t="s">
        <v>851</v>
      </c>
      <c r="AB724" s="203" t="s">
        <v>852</v>
      </c>
      <c r="AC724" s="203" t="s">
        <v>853</v>
      </c>
      <c r="AD724" s="203" t="s">
        <v>854</v>
      </c>
      <c r="AE724" s="203" t="s">
        <v>855</v>
      </c>
      <c r="AF724" s="203" t="s">
        <v>856</v>
      </c>
      <c r="AG724" s="203" t="s">
        <v>857</v>
      </c>
      <c r="AH724" s="203" t="s">
        <v>858</v>
      </c>
      <c r="AI724" s="203" t="s">
        <v>859</v>
      </c>
      <c r="AJ724" s="203" t="s">
        <v>860</v>
      </c>
      <c r="AK724" s="203" t="s">
        <v>861</v>
      </c>
      <c r="AL724" s="203" t="s">
        <v>862</v>
      </c>
      <c r="AM724" s="203" t="s">
        <v>863</v>
      </c>
      <c r="AN724" s="203" t="s">
        <v>864</v>
      </c>
      <c r="AO724" s="203" t="s">
        <v>865</v>
      </c>
      <c r="AP724" s="203" t="s">
        <v>866</v>
      </c>
      <c r="AQ724" s="203" t="s">
        <v>867</v>
      </c>
      <c r="AR724" s="203" t="s">
        <v>868</v>
      </c>
      <c r="AS724" s="203" t="s">
        <v>869</v>
      </c>
      <c r="AT724" s="203" t="s">
        <v>870</v>
      </c>
      <c r="AU724" s="203" t="s">
        <v>871</v>
      </c>
      <c r="AV724" s="203" t="s">
        <v>872</v>
      </c>
      <c r="AW724" s="203" t="s">
        <v>873</v>
      </c>
      <c r="AX724" s="203" t="s">
        <v>874</v>
      </c>
      <c r="AY724" s="203" t="s">
        <v>875</v>
      </c>
      <c r="AZ724" s="203" t="s">
        <v>876</v>
      </c>
      <c r="BA724" s="203" t="s">
        <v>877</v>
      </c>
      <c r="BB724" s="203" t="s">
        <v>878</v>
      </c>
      <c r="BC724" s="203" t="s">
        <v>879</v>
      </c>
      <c r="BD724" s="203" t="s">
        <v>880</v>
      </c>
      <c r="BE724" s="203" t="s">
        <v>881</v>
      </c>
      <c r="BF724" s="203" t="s">
        <v>882</v>
      </c>
      <c r="BG724" s="203" t="s">
        <v>883</v>
      </c>
      <c r="BH724" s="203" t="s">
        <v>884</v>
      </c>
      <c r="BI724" s="203" t="s">
        <v>885</v>
      </c>
      <c r="BJ724" s="203" t="s">
        <v>886</v>
      </c>
      <c r="BK724" s="203" t="s">
        <v>887</v>
      </c>
      <c r="BL724" s="203" t="s">
        <v>888</v>
      </c>
      <c r="BM724" s="203" t="s">
        <v>889</v>
      </c>
      <c r="BN724" s="203" t="s">
        <v>890</v>
      </c>
      <c r="BO724" s="203" t="s">
        <v>891</v>
      </c>
      <c r="BP724" s="203" t="s">
        <v>892</v>
      </c>
      <c r="BQ724" s="203" t="s">
        <v>893</v>
      </c>
      <c r="BR724" s="203" t="s">
        <v>894</v>
      </c>
    </row>
    <row r="725" spans="1:84" ht="12.65" customHeight="1" x14ac:dyDescent="0.35">
      <c r="A725" s="284" t="str">
        <f>RIGHT(C84,3)&amp;"*"&amp;RIGHT(C83,4)&amp;"*"&amp;"A"</f>
        <v xml:space="preserve"> #2*164*A</v>
      </c>
      <c r="B725" s="282">
        <f>ROUND(C112,0)</f>
        <v>0</v>
      </c>
      <c r="C725" s="282">
        <f>ROUND(C113,0)</f>
        <v>0</v>
      </c>
      <c r="D725" s="282">
        <f>ROUND(C114,0)</f>
        <v>4451</v>
      </c>
      <c r="E725" s="282">
        <f>ROUND(C115,0)</f>
        <v>0</v>
      </c>
      <c r="F725" s="282">
        <f>ROUND(D112,0)</f>
        <v>0</v>
      </c>
      <c r="G725" s="282">
        <f>ROUND(D113,0)</f>
        <v>0</v>
      </c>
      <c r="H725" s="282">
        <f>ROUND(D114,0)</f>
        <v>0</v>
      </c>
      <c r="I725" s="282">
        <f>ROUND(D115,0)</f>
        <v>0</v>
      </c>
      <c r="J725" s="282">
        <f>ROUND(C117,0)</f>
        <v>31</v>
      </c>
      <c r="K725" s="282">
        <f>ROUND(C118,0)</f>
        <v>153</v>
      </c>
      <c r="L725" s="282">
        <f>ROUND(C119,0)</f>
        <v>1</v>
      </c>
      <c r="M725" s="282">
        <f>ROUND(C120,0)</f>
        <v>36</v>
      </c>
      <c r="N725" s="282">
        <f>ROUND(C121,0)</f>
        <v>14</v>
      </c>
      <c r="O725" s="282">
        <f>ROUND(C122,0)</f>
        <v>0</v>
      </c>
      <c r="P725" s="282">
        <f>ROUND(C123,0)</f>
        <v>0</v>
      </c>
      <c r="Q725" s="282">
        <f>ROUND(C124,0)</f>
        <v>0</v>
      </c>
      <c r="R725" s="282">
        <f>ROUND(C125,0)</f>
        <v>0</v>
      </c>
      <c r="S725" s="282">
        <f>ROUND(C126,0)</f>
        <v>41</v>
      </c>
      <c r="T725" s="282"/>
      <c r="U725" s="282">
        <f>ROUND(C127,0)</f>
        <v>0</v>
      </c>
      <c r="V725" s="282">
        <f>ROUND(C129,0)</f>
        <v>0</v>
      </c>
      <c r="W725" s="282">
        <f>ROUND(C130,0)</f>
        <v>0</v>
      </c>
      <c r="X725" s="282">
        <f>ROUND(B139,0)</f>
        <v>36261</v>
      </c>
      <c r="Y725" s="282">
        <f>ROUND(B140,0)</f>
        <v>0</v>
      </c>
      <c r="Z725" s="282">
        <f>ROUND(B141,0)</f>
        <v>384217848</v>
      </c>
      <c r="AA725" s="282">
        <f>ROUND(B142,0)</f>
        <v>427887519</v>
      </c>
      <c r="AB725" s="282">
        <f>ROUND(B143,0)</f>
        <v>0</v>
      </c>
      <c r="AC725" s="282">
        <f>ROUND(C139,0)</f>
        <v>10340</v>
      </c>
      <c r="AD725" s="282">
        <f>ROUND(C140,0)</f>
        <v>0</v>
      </c>
      <c r="AE725" s="282">
        <f>ROUND(C141,0)</f>
        <v>101925545</v>
      </c>
      <c r="AF725" s="282">
        <f>ROUND(C142,0)</f>
        <v>93151294</v>
      </c>
      <c r="AG725" s="282">
        <f>ROUND(C143,0)</f>
        <v>0</v>
      </c>
      <c r="AH725" s="282">
        <f>ROUND(D139,0)</f>
        <v>14691</v>
      </c>
      <c r="AI725" s="282">
        <f>ROUND(D140,0)</f>
        <v>0</v>
      </c>
      <c r="AJ725" s="282">
        <f>ROUND(D141,0)</f>
        <v>320203861</v>
      </c>
      <c r="AK725" s="282">
        <f>ROUND(D142,0)</f>
        <v>577139349</v>
      </c>
      <c r="AL725" s="282">
        <f>ROUND(D143,0)</f>
        <v>0</v>
      </c>
      <c r="AM725" s="282">
        <f>ROUND(B145,0)</f>
        <v>0</v>
      </c>
      <c r="AN725" s="282">
        <f>ROUND(B146,0)</f>
        <v>0</v>
      </c>
      <c r="AO725" s="282">
        <f>ROUND(B147,0)</f>
        <v>0</v>
      </c>
      <c r="AP725" s="282">
        <f>ROUND(B148,0)</f>
        <v>0</v>
      </c>
      <c r="AQ725" s="282">
        <f>ROUND(B149,0)</f>
        <v>0</v>
      </c>
      <c r="AR725" s="282">
        <f>ROUND(C145,0)</f>
        <v>0</v>
      </c>
      <c r="AS725" s="282">
        <f>ROUND(C146,0)</f>
        <v>0</v>
      </c>
      <c r="AT725" s="282">
        <f>ROUND(C147,0)</f>
        <v>0</v>
      </c>
      <c r="AU725" s="282">
        <f>ROUND(C148,0)</f>
        <v>0</v>
      </c>
      <c r="AV725" s="282">
        <f>ROUND(C149,0)</f>
        <v>0</v>
      </c>
      <c r="AW725" s="282">
        <f>ROUND(D145,0)</f>
        <v>0</v>
      </c>
      <c r="AX725" s="282">
        <f>ROUND(D146,0)</f>
        <v>0</v>
      </c>
      <c r="AY725" s="282">
        <f>ROUND(D147,0)</f>
        <v>0</v>
      </c>
      <c r="AZ725" s="282">
        <f>ROUND(D148,0)</f>
        <v>0</v>
      </c>
      <c r="BA725" s="282">
        <f>ROUND(D149,0)</f>
        <v>0</v>
      </c>
      <c r="BB725" s="282">
        <f>ROUND(B151,0)</f>
        <v>0</v>
      </c>
      <c r="BC725" s="282">
        <f>ROUND(B152,0)</f>
        <v>0</v>
      </c>
      <c r="BD725" s="282">
        <f>ROUND(B153,0)</f>
        <v>0</v>
      </c>
      <c r="BE725" s="282">
        <f>ROUND(B154,0)</f>
        <v>0</v>
      </c>
      <c r="BF725" s="282">
        <f>ROUND(B155,0)</f>
        <v>0</v>
      </c>
      <c r="BG725" s="282">
        <f>ROUND(C151,0)</f>
        <v>0</v>
      </c>
      <c r="BH725" s="282">
        <f>ROUND(C152,0)</f>
        <v>0</v>
      </c>
      <c r="BI725" s="282">
        <f>ROUND(C153,0)</f>
        <v>0</v>
      </c>
      <c r="BJ725" s="282">
        <f>ROUND(C154,0)</f>
        <v>0</v>
      </c>
      <c r="BK725" s="282">
        <f>ROUND(C155,0)</f>
        <v>0</v>
      </c>
      <c r="BL725" s="282">
        <f>ROUND(D151,0)</f>
        <v>0</v>
      </c>
      <c r="BM725" s="282">
        <f>ROUND(D152,0)</f>
        <v>0</v>
      </c>
      <c r="BN725" s="282">
        <f>ROUND(D153,0)</f>
        <v>0</v>
      </c>
      <c r="BO725" s="282">
        <f>ROUND(D154,0)</f>
        <v>0</v>
      </c>
      <c r="BP725" s="282">
        <f>ROUND(D155,0)</f>
        <v>0</v>
      </c>
      <c r="BQ725" s="282">
        <f>ROUND(B158,0)</f>
        <v>0</v>
      </c>
      <c r="BR725" s="282">
        <f>ROUND(C158,0)</f>
        <v>0</v>
      </c>
    </row>
    <row r="727" spans="1:84" ht="12.65" customHeight="1" x14ac:dyDescent="0.35">
      <c r="A727" s="201" t="s">
        <v>895</v>
      </c>
      <c r="B727" s="201"/>
      <c r="C727" s="201"/>
      <c r="D727" s="201"/>
      <c r="E727" s="201"/>
      <c r="F727" s="201"/>
      <c r="G727" s="201"/>
      <c r="H727" s="282"/>
      <c r="I727" s="282"/>
      <c r="J727" s="282"/>
      <c r="K727" s="282"/>
      <c r="L727" s="282"/>
      <c r="M727" s="282"/>
      <c r="N727" s="282"/>
      <c r="O727" s="282"/>
      <c r="P727" s="282"/>
      <c r="Q727" s="282"/>
      <c r="R727" s="282"/>
      <c r="S727" s="282"/>
      <c r="T727" s="282"/>
      <c r="U727" s="282"/>
      <c r="V727" s="282"/>
      <c r="W727" s="282"/>
      <c r="X727" s="282"/>
      <c r="Y727" s="282"/>
      <c r="Z727" s="282"/>
      <c r="AA727" s="282"/>
      <c r="AB727" s="282"/>
      <c r="AC727" s="282"/>
      <c r="AD727" s="282"/>
      <c r="AE727" s="282"/>
      <c r="AF727" s="282"/>
      <c r="AG727" s="282"/>
      <c r="AH727" s="282"/>
      <c r="AI727" s="282"/>
      <c r="AJ727" s="282"/>
      <c r="AK727" s="282"/>
      <c r="AL727" s="282"/>
      <c r="AM727" s="282"/>
      <c r="AN727" s="282"/>
      <c r="AO727" s="282"/>
      <c r="AP727" s="282"/>
      <c r="AQ727" s="282"/>
      <c r="AR727" s="282"/>
      <c r="AS727" s="282"/>
      <c r="AT727" s="282"/>
      <c r="AU727" s="282"/>
      <c r="AV727" s="282"/>
      <c r="AW727" s="282"/>
      <c r="AX727" s="282"/>
      <c r="AY727" s="282"/>
      <c r="AZ727" s="282"/>
      <c r="BA727" s="282"/>
      <c r="BB727" s="282"/>
      <c r="BC727" s="282"/>
      <c r="BD727" s="282"/>
      <c r="BE727" s="282"/>
      <c r="BF727" s="282"/>
      <c r="BG727" s="282"/>
      <c r="BH727" s="282"/>
      <c r="BI727" s="282"/>
      <c r="BJ727" s="282"/>
      <c r="BK727" s="282"/>
      <c r="BL727" s="282"/>
      <c r="BM727" s="282"/>
      <c r="BN727" s="282"/>
      <c r="BO727" s="282"/>
      <c r="BP727" s="282"/>
      <c r="BQ727" s="282"/>
      <c r="BR727" s="282"/>
      <c r="BS727" s="282"/>
      <c r="BT727" s="282"/>
      <c r="BU727" s="282"/>
      <c r="BV727" s="282"/>
      <c r="BW727" s="282"/>
      <c r="BX727" s="282"/>
      <c r="BY727" s="282"/>
      <c r="BZ727" s="282"/>
      <c r="CA727" s="282"/>
      <c r="CB727" s="282"/>
      <c r="CC727" s="282"/>
      <c r="CD727" s="282"/>
      <c r="CE727" s="282"/>
      <c r="CF727" s="282"/>
    </row>
    <row r="728" spans="1:84" ht="12.65" customHeight="1" x14ac:dyDescent="0.35">
      <c r="A728" s="203" t="s">
        <v>745</v>
      </c>
      <c r="B728" s="203" t="s">
        <v>896</v>
      </c>
      <c r="C728" s="203" t="s">
        <v>897</v>
      </c>
      <c r="D728" s="203" t="s">
        <v>898</v>
      </c>
      <c r="E728" s="203" t="s">
        <v>899</v>
      </c>
      <c r="F728" s="203" t="s">
        <v>900</v>
      </c>
      <c r="G728" s="203" t="s">
        <v>901</v>
      </c>
      <c r="H728" s="203" t="s">
        <v>902</v>
      </c>
      <c r="I728" s="203" t="s">
        <v>903</v>
      </c>
      <c r="J728" s="203" t="s">
        <v>904</v>
      </c>
      <c r="K728" s="203" t="s">
        <v>905</v>
      </c>
      <c r="L728" s="203" t="s">
        <v>906</v>
      </c>
      <c r="M728" s="203" t="s">
        <v>907</v>
      </c>
      <c r="N728" s="203" t="s">
        <v>908</v>
      </c>
      <c r="O728" s="203" t="s">
        <v>909</v>
      </c>
      <c r="P728" s="203" t="s">
        <v>910</v>
      </c>
      <c r="Q728" s="203" t="s">
        <v>911</v>
      </c>
      <c r="R728" s="203" t="s">
        <v>912</v>
      </c>
      <c r="S728" s="203" t="s">
        <v>913</v>
      </c>
      <c r="T728" s="203" t="s">
        <v>914</v>
      </c>
      <c r="U728" s="203" t="s">
        <v>915</v>
      </c>
      <c r="V728" s="203" t="s">
        <v>916</v>
      </c>
      <c r="W728" s="203" t="s">
        <v>917</v>
      </c>
      <c r="X728" s="203" t="s">
        <v>918</v>
      </c>
      <c r="Y728" s="203" t="s">
        <v>919</v>
      </c>
      <c r="Z728" s="203" t="s">
        <v>920</v>
      </c>
      <c r="AA728" s="203" t="s">
        <v>921</v>
      </c>
      <c r="AB728" s="203" t="s">
        <v>922</v>
      </c>
      <c r="AC728" s="203" t="s">
        <v>923</v>
      </c>
      <c r="AD728" s="203" t="s">
        <v>924</v>
      </c>
      <c r="AE728" s="203" t="s">
        <v>925</v>
      </c>
      <c r="AF728" s="203" t="s">
        <v>926</v>
      </c>
      <c r="AG728" s="203" t="s">
        <v>927</v>
      </c>
      <c r="AH728" s="203" t="s">
        <v>928</v>
      </c>
      <c r="AI728" s="203" t="s">
        <v>929</v>
      </c>
      <c r="AJ728" s="203" t="s">
        <v>930</v>
      </c>
      <c r="AK728" s="203" t="s">
        <v>931</v>
      </c>
      <c r="AL728" s="203" t="s">
        <v>932</v>
      </c>
      <c r="AM728" s="203" t="s">
        <v>933</v>
      </c>
      <c r="AN728" s="203" t="s">
        <v>934</v>
      </c>
      <c r="AO728" s="203" t="s">
        <v>935</v>
      </c>
      <c r="AP728" s="203" t="s">
        <v>936</v>
      </c>
      <c r="AQ728" s="203" t="s">
        <v>937</v>
      </c>
      <c r="AR728" s="203" t="s">
        <v>938</v>
      </c>
      <c r="AS728" s="203" t="s">
        <v>939</v>
      </c>
      <c r="AT728" s="203" t="s">
        <v>940</v>
      </c>
      <c r="AU728" s="203" t="s">
        <v>941</v>
      </c>
      <c r="AV728" s="203" t="s">
        <v>942</v>
      </c>
      <c r="AW728" s="203" t="s">
        <v>943</v>
      </c>
      <c r="AX728" s="203" t="s">
        <v>944</v>
      </c>
      <c r="AY728" s="203" t="s">
        <v>945</v>
      </c>
      <c r="AZ728" s="203" t="s">
        <v>946</v>
      </c>
      <c r="BA728" s="203" t="s">
        <v>947</v>
      </c>
      <c r="BB728" s="203" t="s">
        <v>948</v>
      </c>
      <c r="BC728" s="203" t="s">
        <v>949</v>
      </c>
      <c r="BD728" s="203" t="s">
        <v>950</v>
      </c>
      <c r="BE728" s="203" t="s">
        <v>951</v>
      </c>
      <c r="BF728" s="203" t="s">
        <v>952</v>
      </c>
      <c r="BG728" s="203" t="s">
        <v>953</v>
      </c>
      <c r="BH728" s="203" t="s">
        <v>954</v>
      </c>
      <c r="BI728" s="203" t="s">
        <v>955</v>
      </c>
      <c r="BJ728" s="203" t="s">
        <v>956</v>
      </c>
      <c r="BK728" s="203" t="s">
        <v>957</v>
      </c>
      <c r="BL728" s="203" t="s">
        <v>958</v>
      </c>
      <c r="BM728" s="203" t="s">
        <v>959</v>
      </c>
      <c r="BN728" s="203" t="s">
        <v>960</v>
      </c>
      <c r="BO728" s="203" t="s">
        <v>961</v>
      </c>
      <c r="BP728" s="203" t="s">
        <v>962</v>
      </c>
      <c r="BQ728" s="203" t="s">
        <v>963</v>
      </c>
      <c r="BR728" s="203" t="s">
        <v>964</v>
      </c>
      <c r="BS728" s="203" t="s">
        <v>965</v>
      </c>
      <c r="BT728" s="203" t="s">
        <v>966</v>
      </c>
      <c r="BU728" s="203" t="s">
        <v>967</v>
      </c>
      <c r="BV728" s="203" t="s">
        <v>968</v>
      </c>
      <c r="BW728" s="203" t="s">
        <v>969</v>
      </c>
      <c r="BX728" s="203" t="s">
        <v>970</v>
      </c>
      <c r="BY728" s="203" t="s">
        <v>971</v>
      </c>
      <c r="BZ728" s="203" t="s">
        <v>972</v>
      </c>
      <c r="CA728" s="203" t="s">
        <v>973</v>
      </c>
      <c r="CB728" s="203" t="s">
        <v>974</v>
      </c>
      <c r="CC728" s="203" t="s">
        <v>975</v>
      </c>
      <c r="CD728" s="203" t="s">
        <v>976</v>
      </c>
      <c r="CE728" s="203" t="s">
        <v>977</v>
      </c>
      <c r="CF728" s="203" t="s">
        <v>978</v>
      </c>
    </row>
    <row r="729" spans="1:84" ht="12.65" customHeight="1" x14ac:dyDescent="0.35">
      <c r="A729" s="284" t="str">
        <f>RIGHT(C84,3)&amp;"*"&amp;RIGHT(C83,4)&amp;"*"&amp;"A"</f>
        <v xml:space="preserve"> #2*164*A</v>
      </c>
      <c r="B729" s="282">
        <f>ROUND(C249,0)</f>
        <v>0</v>
      </c>
      <c r="C729" s="282">
        <f>ROUND(C250,0)</f>
        <v>83951383</v>
      </c>
      <c r="D729" s="282">
        <f>ROUND(C251,0)</f>
        <v>0</v>
      </c>
      <c r="E729" s="282">
        <f>ROUND(C252,0)</f>
        <v>272895317</v>
      </c>
      <c r="F729" s="282">
        <f>ROUND(C253,0)</f>
        <v>186599621</v>
      </c>
      <c r="G729" s="282">
        <f>ROUND(C254,0)</f>
        <v>2942452</v>
      </c>
      <c r="H729" s="282">
        <f>ROUND(C255,0)</f>
        <v>13937032</v>
      </c>
      <c r="I729" s="282">
        <f>ROUND(C256,0)</f>
        <v>1542955</v>
      </c>
      <c r="J729" s="282">
        <f>ROUND(C257,0)</f>
        <v>8920617</v>
      </c>
      <c r="K729" s="282">
        <f>ROUND(C258,0)</f>
        <v>10256205</v>
      </c>
      <c r="L729" s="282">
        <f>ROUND(C261,0)</f>
        <v>0</v>
      </c>
      <c r="M729" s="282">
        <f>ROUND(C262,0)</f>
        <v>307368753</v>
      </c>
      <c r="N729" s="282">
        <f>ROUND(C263,0)</f>
        <v>0</v>
      </c>
      <c r="O729" s="282">
        <f>ROUND(C266,0)</f>
        <v>0</v>
      </c>
      <c r="P729" s="282">
        <f>ROUND(C267,0)</f>
        <v>4913660</v>
      </c>
      <c r="Q729" s="282">
        <f>ROUND(C268,0)</f>
        <v>13123911</v>
      </c>
      <c r="R729" s="282">
        <f>ROUND(C269,0)</f>
        <v>340376358</v>
      </c>
      <c r="S729" s="282">
        <f>ROUND(C270,0)</f>
        <v>130279559</v>
      </c>
      <c r="T729" s="282">
        <f>ROUND(C271,0)</f>
        <v>23123</v>
      </c>
      <c r="U729" s="282">
        <f>ROUND(C272,0)</f>
        <v>301103323</v>
      </c>
      <c r="V729" s="282">
        <f>ROUND(C273,0)</f>
        <v>39940622</v>
      </c>
      <c r="W729" s="282">
        <f>ROUND(C274,0)</f>
        <v>24573853</v>
      </c>
      <c r="X729" s="282">
        <f>ROUND(C275,0)</f>
        <v>0</v>
      </c>
      <c r="Y729" s="282">
        <f>ROUND(C278,0)</f>
        <v>0</v>
      </c>
      <c r="Z729" s="282">
        <f>ROUND(C279,0)</f>
        <v>0</v>
      </c>
      <c r="AA729" s="282">
        <f>ROUND(C280,0)</f>
        <v>0</v>
      </c>
      <c r="AB729" s="282">
        <f>ROUND(C281,0)</f>
        <v>7771982</v>
      </c>
      <c r="AC729" s="282">
        <f>ROUND(C285,0)</f>
        <v>0</v>
      </c>
      <c r="AD729" s="282">
        <f>ROUND(C286,0)</f>
        <v>25055732</v>
      </c>
      <c r="AE729" s="282">
        <f>ROUND(C287,0)</f>
        <v>0</v>
      </c>
      <c r="AF729" s="282">
        <f>ROUND(C288,0)</f>
        <v>0</v>
      </c>
      <c r="AG729" s="282">
        <f>ROUND(C303,0)</f>
        <v>0</v>
      </c>
      <c r="AH729" s="282">
        <f>ROUND(C304,0)</f>
        <v>0</v>
      </c>
      <c r="AI729" s="282">
        <f>ROUND(C305,0)</f>
        <v>31037724</v>
      </c>
      <c r="AJ729" s="282">
        <f>ROUND(C306,0)</f>
        <v>46799779</v>
      </c>
      <c r="AK729" s="282">
        <f>ROUND(C307,0)</f>
        <v>802142</v>
      </c>
      <c r="AL729" s="282">
        <f>ROUND(C308,0)</f>
        <v>0</v>
      </c>
      <c r="AM729" s="282">
        <f>ROUND(C309,0)</f>
        <v>6069564</v>
      </c>
      <c r="AN729" s="282">
        <f>ROUND(C310,0)</f>
        <v>0</v>
      </c>
      <c r="AO729" s="282">
        <f>ROUND(C311,0)</f>
        <v>0</v>
      </c>
      <c r="AP729" s="282">
        <f>ROUND(C312,0)</f>
        <v>1222842</v>
      </c>
      <c r="AQ729" s="282">
        <f>ROUND(C315,0)</f>
        <v>0</v>
      </c>
      <c r="AR729" s="282">
        <f>ROUND(C316,0)</f>
        <v>0</v>
      </c>
      <c r="AS729" s="282">
        <f>ROUND(C317,0)</f>
        <v>14310623</v>
      </c>
      <c r="AT729" s="282">
        <f>ROUND(C320,0)</f>
        <v>0</v>
      </c>
      <c r="AU729" s="282">
        <f>ROUND(C321,0)</f>
        <v>0</v>
      </c>
      <c r="AV729" s="282">
        <f>ROUND(C322,0)</f>
        <v>0</v>
      </c>
      <c r="AW729" s="282">
        <f>ROUND(C323,0)</f>
        <v>0</v>
      </c>
      <c r="AX729" s="282">
        <f>ROUND(C324,0)</f>
        <v>7788078</v>
      </c>
      <c r="AY729" s="282">
        <f>ROUND(C325,0)</f>
        <v>269261609</v>
      </c>
      <c r="AZ729" s="282">
        <f>ROUND(C326,0)</f>
        <v>0</v>
      </c>
      <c r="BA729" s="282">
        <f>ROUND(C327,0)</f>
        <v>43605100</v>
      </c>
      <c r="BB729" s="282">
        <f>ROUND(C331,0)</f>
        <v>0</v>
      </c>
      <c r="BC729" s="282"/>
      <c r="BD729" s="282"/>
      <c r="BE729" s="282">
        <f>ROUND(C336,0)</f>
        <v>0</v>
      </c>
      <c r="BF729" s="282">
        <f>ROUND(C335,0)</f>
        <v>0</v>
      </c>
      <c r="BG729" s="282"/>
      <c r="BH729" s="282"/>
      <c r="BI729" s="285">
        <f>ROUND(CE60,2)</f>
        <v>3776.92</v>
      </c>
      <c r="BJ729" s="282">
        <f>ROUND(C358,0)</f>
        <v>0</v>
      </c>
      <c r="BK729" s="282">
        <f>ROUND(C359,0)</f>
        <v>806347253</v>
      </c>
      <c r="BL729" s="282">
        <f>ROUND(C362,0)</f>
        <v>0</v>
      </c>
      <c r="BM729" s="282">
        <f>ROUND(C363,0)</f>
        <v>14990941</v>
      </c>
      <c r="BN729" s="282">
        <f>ROUND(C364,0)</f>
        <v>1212049579</v>
      </c>
      <c r="BO729" s="282">
        <f>ROUND(C368,0)</f>
        <v>0</v>
      </c>
      <c r="BP729" s="282">
        <f>ROUND(C369,0)</f>
        <v>0</v>
      </c>
      <c r="BQ729" s="282">
        <f>ROUND(C376,0)</f>
        <v>0</v>
      </c>
      <c r="BR729" s="282">
        <f>ROUND(C377,0)</f>
        <v>0</v>
      </c>
      <c r="BS729" s="282">
        <f>ROUND(C378,0)</f>
        <v>396802109</v>
      </c>
      <c r="BT729" s="282">
        <f>ROUND(C379,0)</f>
        <v>92499075</v>
      </c>
      <c r="BU729" s="282">
        <f>ROUND(C380,0)</f>
        <v>18767520</v>
      </c>
      <c r="BV729" s="282">
        <f>ROUND(C381,0)</f>
        <v>104115544</v>
      </c>
      <c r="BW729" s="282">
        <f>ROUND(C382,0)</f>
        <v>6254681</v>
      </c>
      <c r="BX729" s="282">
        <f>ROUND(C383,0)</f>
        <v>64724254</v>
      </c>
      <c r="BY729" s="282">
        <f>ROUND(C384,0)</f>
        <v>35828141</v>
      </c>
      <c r="BZ729" s="282">
        <f>ROUND(C385,0)</f>
        <v>15464106</v>
      </c>
      <c r="CA729" s="282">
        <f>ROUND(C386,0)</f>
        <v>2777194</v>
      </c>
      <c r="CB729" s="282">
        <f>ROUND(C387,0)</f>
        <v>7090917</v>
      </c>
      <c r="CC729" s="282">
        <f>ROUND(C388,0)</f>
        <v>9105986</v>
      </c>
      <c r="CD729" s="282">
        <f>ROUND(C391,0)</f>
        <v>0</v>
      </c>
      <c r="CE729" s="282">
        <f>ROUND(C393,0)</f>
        <v>0</v>
      </c>
      <c r="CF729" s="282">
        <f>ROUND(C394,0)</f>
        <v>0</v>
      </c>
    </row>
    <row r="731" spans="1:84" ht="12.65" customHeight="1" x14ac:dyDescent="0.35">
      <c r="A731" s="201" t="s">
        <v>979</v>
      </c>
      <c r="B731" s="201"/>
      <c r="C731" s="201"/>
      <c r="D731" s="201"/>
      <c r="E731" s="201"/>
      <c r="F731" s="201"/>
      <c r="G731" s="201"/>
      <c r="H731" s="282"/>
      <c r="I731" s="282"/>
      <c r="J731" s="282"/>
      <c r="K731" s="282"/>
      <c r="L731" s="282"/>
      <c r="M731" s="282"/>
      <c r="N731" s="282"/>
      <c r="O731" s="282"/>
      <c r="P731" s="282"/>
      <c r="Q731" s="282"/>
      <c r="R731" s="282"/>
      <c r="S731" s="282"/>
      <c r="T731" s="282"/>
      <c r="U731" s="282"/>
      <c r="V731" s="282"/>
      <c r="W731" s="282"/>
      <c r="X731" s="282"/>
      <c r="BL731" s="197"/>
    </row>
    <row r="732" spans="1:84" ht="12.65" customHeight="1" x14ac:dyDescent="0.35">
      <c r="A732" s="203" t="s">
        <v>745</v>
      </c>
      <c r="B732" s="203" t="s">
        <v>980</v>
      </c>
      <c r="C732" s="203" t="s">
        <v>981</v>
      </c>
      <c r="D732" s="203" t="s">
        <v>982</v>
      </c>
      <c r="E732" s="203" t="s">
        <v>983</v>
      </c>
      <c r="F732" s="203" t="s">
        <v>984</v>
      </c>
      <c r="G732" s="203" t="s">
        <v>985</v>
      </c>
      <c r="H732" s="203" t="s">
        <v>986</v>
      </c>
      <c r="I732" s="203" t="s">
        <v>987</v>
      </c>
      <c r="J732" s="203" t="s">
        <v>988</v>
      </c>
      <c r="K732" s="203" t="s">
        <v>989</v>
      </c>
      <c r="L732" s="203" t="s">
        <v>990</v>
      </c>
      <c r="M732" s="203" t="s">
        <v>991</v>
      </c>
      <c r="N732" s="203" t="s">
        <v>992</v>
      </c>
      <c r="O732" s="203" t="s">
        <v>993</v>
      </c>
      <c r="P732" s="203" t="s">
        <v>994</v>
      </c>
      <c r="Q732" s="203" t="s">
        <v>995</v>
      </c>
      <c r="R732" s="203" t="s">
        <v>996</v>
      </c>
      <c r="S732" s="203" t="s">
        <v>997</v>
      </c>
      <c r="T732" s="203" t="s">
        <v>998</v>
      </c>
      <c r="U732" s="203" t="s">
        <v>999</v>
      </c>
      <c r="V732" s="203" t="s">
        <v>1259</v>
      </c>
      <c r="W732" s="203" t="s">
        <v>1000</v>
      </c>
      <c r="X732" s="203" t="s">
        <v>1001</v>
      </c>
      <c r="Y732" s="203" t="s">
        <v>1002</v>
      </c>
      <c r="Z732" s="203" t="s">
        <v>1003</v>
      </c>
    </row>
    <row r="733" spans="1:84" ht="12.65" customHeight="1" x14ac:dyDescent="0.35">
      <c r="A733" s="209" t="str">
        <f>RIGHT($C$84,3)&amp;"*"&amp;RIGHT($C$83,4)&amp;"*"&amp;C$55&amp;"*"&amp;"A"</f>
        <v xml:space="preserve"> #2*164*6010*A</v>
      </c>
      <c r="B733" s="282">
        <f>ROUND(C59,0)</f>
        <v>4944</v>
      </c>
      <c r="C733" s="285">
        <f>ROUND(C60,2)</f>
        <v>139.13</v>
      </c>
      <c r="D733" s="282">
        <f>ROUND(C61,0)</f>
        <v>15198529</v>
      </c>
      <c r="E733" s="282">
        <f>ROUND(C62,0)</f>
        <v>3288103</v>
      </c>
      <c r="F733" s="282">
        <f>ROUND(C63,0)</f>
        <v>669120</v>
      </c>
      <c r="G733" s="282">
        <f>ROUND(C64,0)</f>
        <v>1542863</v>
      </c>
      <c r="H733" s="282">
        <f>ROUND(C65,0)</f>
        <v>5294</v>
      </c>
      <c r="I733" s="282">
        <f>ROUND(C66,0)</f>
        <v>464655</v>
      </c>
      <c r="J733" s="282">
        <f>ROUND(C67,0)</f>
        <v>368069</v>
      </c>
      <c r="K733" s="282">
        <f>ROUND(C68,0)</f>
        <v>0</v>
      </c>
      <c r="L733" s="282">
        <f>ROUND(C70,0)</f>
        <v>21236</v>
      </c>
      <c r="M733" s="282">
        <f>ROUND(C71,0)</f>
        <v>21552545</v>
      </c>
      <c r="N733" s="282">
        <f>ROUND(C76,0)</f>
        <v>31983</v>
      </c>
      <c r="O733" s="282">
        <f>ROUND(C74,0)</f>
        <v>-76965</v>
      </c>
      <c r="P733" s="282">
        <f>IF(C77&gt;0,ROUND(C77,0),0)</f>
        <v>8550</v>
      </c>
      <c r="Q733" s="282">
        <f>IF(C78&gt;0,ROUND(C78,0),0)</f>
        <v>3999</v>
      </c>
      <c r="R733" s="282">
        <f>IF(C79&gt;0,ROUND(C79,0),0)</f>
        <v>204433</v>
      </c>
      <c r="S733" s="282">
        <f>IF(C80&gt;0,ROUND(C80,0),0)</f>
        <v>98</v>
      </c>
      <c r="T733" s="285">
        <f>IF(C81&gt;0,ROUND(C81,2),0)</f>
        <v>0</v>
      </c>
      <c r="U733" s="282"/>
      <c r="X733" s="282"/>
      <c r="Y733" s="282"/>
      <c r="Z733" s="282">
        <f>IF(M667&lt;&gt;0,ROUND(M667,0),0)</f>
        <v>0</v>
      </c>
    </row>
    <row r="734" spans="1:84" ht="12.65" customHeight="1" x14ac:dyDescent="0.35">
      <c r="A734" s="209" t="str">
        <f>RIGHT($C$84,3)&amp;"*"&amp;RIGHT($C$83,4)&amp;"*"&amp;D$55&amp;"*"&amp;"A"</f>
        <v xml:space="preserve"> #2*164*6030*A</v>
      </c>
      <c r="B734" s="282">
        <f>ROUND(D59,0)</f>
        <v>8914</v>
      </c>
      <c r="C734" s="285">
        <f>ROUND(D60,2)</f>
        <v>63.86</v>
      </c>
      <c r="D734" s="282">
        <f>ROUND(D61,0)</f>
        <v>6456943</v>
      </c>
      <c r="E734" s="282">
        <f>ROUND(D62,0)</f>
        <v>1600619</v>
      </c>
      <c r="F734" s="282">
        <f>ROUND(D63,0)</f>
        <v>0</v>
      </c>
      <c r="G734" s="282">
        <f>ROUND(D64,0)</f>
        <v>624556</v>
      </c>
      <c r="H734" s="282">
        <f>ROUND(D65,0)</f>
        <v>0</v>
      </c>
      <c r="I734" s="282">
        <f>ROUND(D66,0)</f>
        <v>287359</v>
      </c>
      <c r="J734" s="282">
        <f>ROUND(D67,0)</f>
        <v>1567884</v>
      </c>
      <c r="K734" s="282">
        <f>ROUND(D68,0)</f>
        <v>0</v>
      </c>
      <c r="L734" s="282">
        <f>ROUND(D70,0)</f>
        <v>0</v>
      </c>
      <c r="M734" s="282">
        <f>ROUND(D71,0)</f>
        <v>10539740</v>
      </c>
      <c r="N734" s="282">
        <f>ROUND(D76,0)</f>
        <v>24368</v>
      </c>
      <c r="O734" s="282">
        <f>ROUND(D74,0)</f>
        <v>128318</v>
      </c>
      <c r="P734" s="282">
        <f>IF(D77&gt;0,ROUND(D77,0),0)</f>
        <v>25907</v>
      </c>
      <c r="Q734" s="282">
        <f>IF(D78&gt;0,ROUND(D78,0),0)</f>
        <v>3047</v>
      </c>
      <c r="R734" s="282">
        <f>IF(D79&gt;0,ROUND(D79,0),0)</f>
        <v>203210</v>
      </c>
      <c r="S734" s="282">
        <f>IF(D80&gt;0,ROUND(D80,0),0)</f>
        <v>41</v>
      </c>
      <c r="T734" s="285">
        <f>IF(D81&gt;0,ROUND(D81,2),0)</f>
        <v>0</v>
      </c>
      <c r="U734" s="282"/>
      <c r="X734" s="282"/>
      <c r="Y734" s="282"/>
      <c r="Z734" s="282">
        <f t="shared" ref="Z734:Z778" si="22">IF(M668&lt;&gt;0,ROUND(M668,0),0)</f>
        <v>8009413</v>
      </c>
    </row>
    <row r="735" spans="1:84" ht="12.65" customHeight="1" x14ac:dyDescent="0.35">
      <c r="A735" s="209" t="str">
        <f>RIGHT($C$84,3)&amp;"*"&amp;RIGHT($C$83,4)&amp;"*"&amp;E$55&amp;"*"&amp;"A"</f>
        <v xml:space="preserve"> #2*164*6070*A</v>
      </c>
      <c r="B735" s="282">
        <f>ROUND(E59,0)</f>
        <v>37724</v>
      </c>
      <c r="C735" s="285">
        <f>ROUND(E60,2)</f>
        <v>268.37</v>
      </c>
      <c r="D735" s="282">
        <f>ROUND(E61,0)</f>
        <v>23847928</v>
      </c>
      <c r="E735" s="282">
        <f>ROUND(E62,0)</f>
        <v>5156004</v>
      </c>
      <c r="F735" s="282">
        <f>ROUND(E63,0)</f>
        <v>0</v>
      </c>
      <c r="G735" s="282">
        <f>ROUND(E64,0)</f>
        <v>1805062</v>
      </c>
      <c r="H735" s="282">
        <f>ROUND(E65,0)</f>
        <v>0</v>
      </c>
      <c r="I735" s="282">
        <f>ROUND(E66,0)</f>
        <v>845728</v>
      </c>
      <c r="J735" s="282">
        <f>ROUND(E67,0)</f>
        <v>2298276</v>
      </c>
      <c r="K735" s="282">
        <f>ROUND(E68,0)</f>
        <v>0</v>
      </c>
      <c r="L735" s="282">
        <f>ROUND(E70,0)</f>
        <v>50</v>
      </c>
      <c r="M735" s="282">
        <f>ROUND(E71,0)</f>
        <v>33958632</v>
      </c>
      <c r="N735" s="282">
        <f>ROUND(E76,0)</f>
        <v>112482</v>
      </c>
      <c r="O735" s="282">
        <f>ROUND(E74,0)</f>
        <v>3042168</v>
      </c>
      <c r="P735" s="282">
        <f>IF(E77&gt;0,ROUND(E77,0),0)</f>
        <v>112918</v>
      </c>
      <c r="Q735" s="282">
        <f>IF(E78&gt;0,ROUND(E78,0),0)</f>
        <v>14066</v>
      </c>
      <c r="R735" s="282">
        <f>IF(E79&gt;0,ROUND(E79,0),0)</f>
        <v>551206</v>
      </c>
      <c r="S735" s="282">
        <f>IF(E80&gt;0,ROUND(E80,0),0)</f>
        <v>165</v>
      </c>
      <c r="T735" s="285">
        <f>IF(E81&gt;0,ROUND(E81,2),0)</f>
        <v>0</v>
      </c>
      <c r="U735" s="282"/>
      <c r="X735" s="282"/>
      <c r="Y735" s="282"/>
      <c r="Z735" s="282">
        <f t="shared" si="22"/>
        <v>4453842</v>
      </c>
    </row>
    <row r="736" spans="1:84" ht="12.65" customHeight="1" x14ac:dyDescent="0.35">
      <c r="A736" s="209" t="str">
        <f>RIGHT($C$84,3)&amp;"*"&amp;RIGHT($C$83,4)&amp;"*"&amp;F$55&amp;"*"&amp;"A"</f>
        <v xml:space="preserve"> #2*164*6100*A</v>
      </c>
      <c r="B736" s="282">
        <f>ROUND(F59,0)</f>
        <v>0</v>
      </c>
      <c r="C736" s="285">
        <f>ROUND(F60,2)</f>
        <v>6.63</v>
      </c>
      <c r="D736" s="282">
        <f>ROUND(F61,0)</f>
        <v>646662</v>
      </c>
      <c r="E736" s="282">
        <f>ROUND(F62,0)</f>
        <v>165642</v>
      </c>
      <c r="F736" s="282">
        <f>ROUND(F63,0)</f>
        <v>0</v>
      </c>
      <c r="G736" s="282">
        <f>ROUND(F64,0)</f>
        <v>24939</v>
      </c>
      <c r="H736" s="282">
        <f>ROUND(F65,0)</f>
        <v>0</v>
      </c>
      <c r="I736" s="282">
        <f>ROUND(F66,0)</f>
        <v>1524</v>
      </c>
      <c r="J736" s="282">
        <f>ROUND(F67,0)</f>
        <v>0</v>
      </c>
      <c r="K736" s="282">
        <f>ROUND(F68,0)</f>
        <v>0</v>
      </c>
      <c r="L736" s="282">
        <f>ROUND(F70,0)</f>
        <v>0</v>
      </c>
      <c r="M736" s="282">
        <f>ROUND(F71,0)</f>
        <v>879058</v>
      </c>
      <c r="N736" s="282">
        <f>ROUND(F76,0)</f>
        <v>0</v>
      </c>
      <c r="O736" s="282">
        <f>ROUND(F74,0)</f>
        <v>0</v>
      </c>
      <c r="P736" s="282">
        <f>IF(F77&gt;0,ROUND(F77,0),0)</f>
        <v>0</v>
      </c>
      <c r="Q736" s="282">
        <f>IF(F78&gt;0,ROUND(F78,0),0)</f>
        <v>0</v>
      </c>
      <c r="R736" s="282">
        <f>IF(F79&gt;0,ROUND(F79,0),0)</f>
        <v>0</v>
      </c>
      <c r="S736" s="282">
        <f>IF(F80&gt;0,ROUND(F80,0),0)</f>
        <v>0</v>
      </c>
      <c r="T736" s="285">
        <f>IF(F81&gt;0,ROUND(F81,2),0)</f>
        <v>0</v>
      </c>
      <c r="U736" s="282"/>
      <c r="X736" s="282"/>
      <c r="Y736" s="282"/>
      <c r="Z736" s="282">
        <f t="shared" si="22"/>
        <v>15580859</v>
      </c>
    </row>
    <row r="737" spans="1:26" ht="12.65" customHeight="1" x14ac:dyDescent="0.35">
      <c r="A737" s="209" t="str">
        <f>RIGHT($C$84,3)&amp;"*"&amp;RIGHT($C$83,4)&amp;"*"&amp;G$55&amp;"*"&amp;"A"</f>
        <v xml:space="preserve"> #2*164*6120*A</v>
      </c>
      <c r="B737" s="282">
        <f>ROUND(G59,0)</f>
        <v>3434</v>
      </c>
      <c r="C737" s="285">
        <f>ROUND(G60,2)</f>
        <v>17.36</v>
      </c>
      <c r="D737" s="282">
        <f>ROUND(G61,0)</f>
        <v>1783726</v>
      </c>
      <c r="E737" s="282">
        <f>ROUND(G62,0)</f>
        <v>477339</v>
      </c>
      <c r="F737" s="282">
        <f>ROUND(G63,0)</f>
        <v>0</v>
      </c>
      <c r="G737" s="282">
        <f>ROUND(G64,0)</f>
        <v>82098</v>
      </c>
      <c r="H737" s="282">
        <f>ROUND(G65,0)</f>
        <v>0</v>
      </c>
      <c r="I737" s="282">
        <f>ROUND(G66,0)</f>
        <v>27045</v>
      </c>
      <c r="J737" s="282">
        <f>ROUND(G67,0)</f>
        <v>101731</v>
      </c>
      <c r="K737" s="282">
        <f>ROUND(G68,0)</f>
        <v>0</v>
      </c>
      <c r="L737" s="282">
        <f>ROUND(G70,0)</f>
        <v>0</v>
      </c>
      <c r="M737" s="282">
        <f>ROUND(G71,0)</f>
        <v>2482061</v>
      </c>
      <c r="N737" s="282">
        <f>ROUND(G76,0)</f>
        <v>9095</v>
      </c>
      <c r="O737" s="282">
        <f>ROUND(G74,0)</f>
        <v>0</v>
      </c>
      <c r="P737" s="282">
        <f>IF(G77&gt;0,ROUND(G77,0),0)</f>
        <v>10223</v>
      </c>
      <c r="Q737" s="282">
        <f>IF(G78&gt;0,ROUND(G78,0),0)</f>
        <v>1137</v>
      </c>
      <c r="R737" s="282">
        <f>IF(G79&gt;0,ROUND(G79,0),0)</f>
        <v>37966</v>
      </c>
      <c r="S737" s="282">
        <f>IF(G80&gt;0,ROUND(G80,0),0)</f>
        <v>11</v>
      </c>
      <c r="T737" s="285">
        <f>IF(G81&gt;0,ROUND(G81,2),0)</f>
        <v>0</v>
      </c>
      <c r="U737" s="282"/>
      <c r="X737" s="282"/>
      <c r="Y737" s="282"/>
      <c r="Z737" s="282">
        <f t="shared" si="22"/>
        <v>80566</v>
      </c>
    </row>
    <row r="738" spans="1:26" ht="12.65" customHeight="1" x14ac:dyDescent="0.35">
      <c r="A738" s="209" t="str">
        <f>RIGHT($C$84,3)&amp;"*"&amp;RIGHT($C$83,4)&amp;"*"&amp;H$55&amp;"*"&amp;"A"</f>
        <v xml:space="preserve"> #2*164*6140*A</v>
      </c>
      <c r="B738" s="282">
        <f>ROUND(H59,0)</f>
        <v>0</v>
      </c>
      <c r="C738" s="285">
        <f>ROUND(H60,2)</f>
        <v>0</v>
      </c>
      <c r="D738" s="282">
        <f>ROUND(H61,0)</f>
        <v>0</v>
      </c>
      <c r="E738" s="282">
        <f>ROUND(H62,0)</f>
        <v>0</v>
      </c>
      <c r="F738" s="282">
        <f>ROUND(H63,0)</f>
        <v>0</v>
      </c>
      <c r="G738" s="282">
        <f>ROUND(H64,0)</f>
        <v>0</v>
      </c>
      <c r="H738" s="282">
        <f>ROUND(H65,0)</f>
        <v>0</v>
      </c>
      <c r="I738" s="282">
        <f>ROUND(H66,0)</f>
        <v>0</v>
      </c>
      <c r="J738" s="282">
        <f>ROUND(H67,0)</f>
        <v>0</v>
      </c>
      <c r="K738" s="282">
        <f>ROUND(H68,0)</f>
        <v>0</v>
      </c>
      <c r="L738" s="282">
        <f>ROUND(H70,0)</f>
        <v>0</v>
      </c>
      <c r="M738" s="282">
        <f>ROUND(H71,0)</f>
        <v>0</v>
      </c>
      <c r="N738" s="282">
        <f>ROUND(H76,0)</f>
        <v>0</v>
      </c>
      <c r="O738" s="282">
        <f>ROUND(H74,0)</f>
        <v>0</v>
      </c>
      <c r="P738" s="282">
        <f>IF(H77&gt;0,ROUND(H77,0),0)</f>
        <v>0</v>
      </c>
      <c r="Q738" s="282">
        <f>IF(H78&gt;0,ROUND(H78,0),0)</f>
        <v>0</v>
      </c>
      <c r="R738" s="282">
        <f>IF(H79&gt;0,ROUND(H79,0),0)</f>
        <v>0</v>
      </c>
      <c r="S738" s="282">
        <f>IF(H80&gt;0,ROUND(H80,0),0)</f>
        <v>0</v>
      </c>
      <c r="T738" s="285">
        <f>IF(H81&gt;0,ROUND(H81,2),0)</f>
        <v>0</v>
      </c>
      <c r="U738" s="282"/>
      <c r="X738" s="282"/>
      <c r="Y738" s="282"/>
      <c r="Z738" s="282">
        <f t="shared" si="22"/>
        <v>1366671</v>
      </c>
    </row>
    <row r="739" spans="1:26" ht="12.65" customHeight="1" x14ac:dyDescent="0.35">
      <c r="A739" s="209" t="str">
        <f>RIGHT($C$84,3)&amp;"*"&amp;RIGHT($C$83,4)&amp;"*"&amp;I$55&amp;"*"&amp;"A"</f>
        <v xml:space="preserve"> #2*164*6150*A</v>
      </c>
      <c r="B739" s="282">
        <f>ROUND(I59,0)</f>
        <v>0</v>
      </c>
      <c r="C739" s="285">
        <f>ROUND(I60,2)</f>
        <v>0</v>
      </c>
      <c r="D739" s="282">
        <f>ROUND(I61,0)</f>
        <v>0</v>
      </c>
      <c r="E739" s="282">
        <f>ROUND(I62,0)</f>
        <v>0</v>
      </c>
      <c r="F739" s="282">
        <f>ROUND(I63,0)</f>
        <v>0</v>
      </c>
      <c r="G739" s="282">
        <f>ROUND(I64,0)</f>
        <v>0</v>
      </c>
      <c r="H739" s="282">
        <f>ROUND(I65,0)</f>
        <v>0</v>
      </c>
      <c r="I739" s="282">
        <f>ROUND(I66,0)</f>
        <v>0</v>
      </c>
      <c r="J739" s="282">
        <f>ROUND(I67,0)</f>
        <v>0</v>
      </c>
      <c r="K739" s="282">
        <f>ROUND(I68,0)</f>
        <v>0</v>
      </c>
      <c r="L739" s="282">
        <f>ROUND(I70,0)</f>
        <v>0</v>
      </c>
      <c r="M739" s="282">
        <f>ROUND(I71,0)</f>
        <v>0</v>
      </c>
      <c r="N739" s="282">
        <f>ROUND(I76,0)</f>
        <v>0</v>
      </c>
      <c r="O739" s="282">
        <f>ROUND(I74,0)</f>
        <v>0</v>
      </c>
      <c r="P739" s="282">
        <f>IF(I77&gt;0,ROUND(I77,0),0)</f>
        <v>0</v>
      </c>
      <c r="Q739" s="282">
        <f>IF(I78&gt;0,ROUND(I78,0),0)</f>
        <v>0</v>
      </c>
      <c r="R739" s="282">
        <f>IF(I79&gt;0,ROUND(I79,0),0)</f>
        <v>0</v>
      </c>
      <c r="S739" s="282">
        <f>IF(I80&gt;0,ROUND(I80,0),0)</f>
        <v>0</v>
      </c>
      <c r="T739" s="285">
        <f>IF(I81&gt;0,ROUND(I81,2),0)</f>
        <v>0</v>
      </c>
      <c r="U739" s="282"/>
      <c r="X739" s="282"/>
      <c r="Y739" s="282"/>
      <c r="Z739" s="282">
        <f t="shared" si="22"/>
        <v>0</v>
      </c>
    </row>
    <row r="740" spans="1:26" ht="12.65" customHeight="1" x14ac:dyDescent="0.35">
      <c r="A740" s="209" t="str">
        <f>RIGHT($C$84,3)&amp;"*"&amp;RIGHT($C$83,4)&amp;"*"&amp;J$55&amp;"*"&amp;"A"</f>
        <v xml:space="preserve"> #2*164*6170*A</v>
      </c>
      <c r="B740" s="282">
        <f>ROUND(J59,0)</f>
        <v>0</v>
      </c>
      <c r="C740" s="285">
        <f>ROUND(J60,2)</f>
        <v>0</v>
      </c>
      <c r="D740" s="282">
        <f>ROUND(J61,0)</f>
        <v>0</v>
      </c>
      <c r="E740" s="282">
        <f>ROUND(J62,0)</f>
        <v>0</v>
      </c>
      <c r="F740" s="282">
        <f>ROUND(J63,0)</f>
        <v>0</v>
      </c>
      <c r="G740" s="282">
        <f>ROUND(J64,0)</f>
        <v>0</v>
      </c>
      <c r="H740" s="282">
        <f>ROUND(J65,0)</f>
        <v>0</v>
      </c>
      <c r="I740" s="282">
        <f>ROUND(J66,0)</f>
        <v>0</v>
      </c>
      <c r="J740" s="282">
        <f>ROUND(J67,0)</f>
        <v>0</v>
      </c>
      <c r="K740" s="282">
        <f>ROUND(J68,0)</f>
        <v>0</v>
      </c>
      <c r="L740" s="282">
        <f>ROUND(J70,0)</f>
        <v>0</v>
      </c>
      <c r="M740" s="282">
        <f>ROUND(J71,0)</f>
        <v>0</v>
      </c>
      <c r="N740" s="282">
        <f>ROUND(J76,0)</f>
        <v>0</v>
      </c>
      <c r="O740" s="282">
        <f>ROUND(J74,0)</f>
        <v>0</v>
      </c>
      <c r="P740" s="282">
        <f>IF(J77&gt;0,ROUND(J77,0),0)</f>
        <v>0</v>
      </c>
      <c r="Q740" s="282">
        <f>IF(J78&gt;0,ROUND(J78,0),0)</f>
        <v>0</v>
      </c>
      <c r="R740" s="282">
        <f>IF(J79&gt;0,ROUND(J79,0),0)</f>
        <v>0</v>
      </c>
      <c r="S740" s="282">
        <f>IF(J80&gt;0,ROUND(J80,0),0)</f>
        <v>0</v>
      </c>
      <c r="T740" s="285">
        <f>IF(J81&gt;0,ROUND(J81,2),0)</f>
        <v>0</v>
      </c>
      <c r="U740" s="282"/>
      <c r="X740" s="282"/>
      <c r="Y740" s="282"/>
      <c r="Z740" s="282">
        <f t="shared" si="22"/>
        <v>0</v>
      </c>
    </row>
    <row r="741" spans="1:26" ht="12.65" customHeight="1" x14ac:dyDescent="0.35">
      <c r="A741" s="209" t="str">
        <f>RIGHT($C$84,3)&amp;"*"&amp;RIGHT($C$83,4)&amp;"*"&amp;K$55&amp;"*"&amp;"A"</f>
        <v xml:space="preserve"> #2*164*6200*A</v>
      </c>
      <c r="B741" s="282">
        <f>ROUND(K59,0)</f>
        <v>0</v>
      </c>
      <c r="C741" s="285">
        <f>ROUND(K60,2)</f>
        <v>0</v>
      </c>
      <c r="D741" s="282">
        <f>ROUND(K61,0)</f>
        <v>0</v>
      </c>
      <c r="E741" s="282">
        <f>ROUND(K62,0)</f>
        <v>0</v>
      </c>
      <c r="F741" s="282">
        <f>ROUND(K63,0)</f>
        <v>0</v>
      </c>
      <c r="G741" s="282">
        <f>ROUND(K64,0)</f>
        <v>0</v>
      </c>
      <c r="H741" s="282">
        <f>ROUND(K65,0)</f>
        <v>0</v>
      </c>
      <c r="I741" s="282">
        <f>ROUND(K66,0)</f>
        <v>0</v>
      </c>
      <c r="J741" s="282">
        <f>ROUND(K67,0)</f>
        <v>0</v>
      </c>
      <c r="K741" s="282">
        <f>ROUND(K68,0)</f>
        <v>0</v>
      </c>
      <c r="L741" s="282">
        <f>ROUND(K70,0)</f>
        <v>0</v>
      </c>
      <c r="M741" s="282">
        <f>ROUND(K71,0)</f>
        <v>0</v>
      </c>
      <c r="N741" s="282">
        <f>ROUND(K76,0)</f>
        <v>0</v>
      </c>
      <c r="O741" s="282">
        <f>ROUND(K74,0)</f>
        <v>0</v>
      </c>
      <c r="P741" s="282">
        <f>IF(K77&gt;0,ROUND(K77,0),0)</f>
        <v>0</v>
      </c>
      <c r="Q741" s="282">
        <f>IF(K78&gt;0,ROUND(K78,0),0)</f>
        <v>0</v>
      </c>
      <c r="R741" s="282">
        <f>IF(K79&gt;0,ROUND(K79,0),0)</f>
        <v>0</v>
      </c>
      <c r="S741" s="282">
        <f>IF(K80&gt;0,ROUND(K80,0),0)</f>
        <v>0</v>
      </c>
      <c r="T741" s="285">
        <f>IF(K81&gt;0,ROUND(K81,2),0)</f>
        <v>0</v>
      </c>
      <c r="U741" s="282"/>
      <c r="X741" s="282"/>
      <c r="Y741" s="282"/>
      <c r="Z741" s="282">
        <f t="shared" si="22"/>
        <v>0</v>
      </c>
    </row>
    <row r="742" spans="1:26" ht="12.65" customHeight="1" x14ac:dyDescent="0.35">
      <c r="A742" s="209" t="str">
        <f>RIGHT($C$84,3)&amp;"*"&amp;RIGHT($C$83,4)&amp;"*"&amp;L$55&amp;"*"&amp;"A"</f>
        <v xml:space="preserve"> #2*164*6210*A</v>
      </c>
      <c r="B742" s="282">
        <f>ROUND(L59,0)</f>
        <v>0</v>
      </c>
      <c r="C742" s="285">
        <f>ROUND(L60,2)</f>
        <v>0</v>
      </c>
      <c r="D742" s="282">
        <f>ROUND(L61,0)</f>
        <v>0</v>
      </c>
      <c r="E742" s="282">
        <f>ROUND(L62,0)</f>
        <v>0</v>
      </c>
      <c r="F742" s="282">
        <f>ROUND(L63,0)</f>
        <v>0</v>
      </c>
      <c r="G742" s="282">
        <f>ROUND(L64,0)</f>
        <v>0</v>
      </c>
      <c r="H742" s="282">
        <f>ROUND(L65,0)</f>
        <v>0</v>
      </c>
      <c r="I742" s="282">
        <f>ROUND(L66,0)</f>
        <v>0</v>
      </c>
      <c r="J742" s="282">
        <f>ROUND(L67,0)</f>
        <v>0</v>
      </c>
      <c r="K742" s="282">
        <f>ROUND(L68,0)</f>
        <v>0</v>
      </c>
      <c r="L742" s="282">
        <f>ROUND(L70,0)</f>
        <v>0</v>
      </c>
      <c r="M742" s="282">
        <f>ROUND(L71,0)</f>
        <v>0</v>
      </c>
      <c r="N742" s="282">
        <f>ROUND(L76,0)</f>
        <v>0</v>
      </c>
      <c r="O742" s="282">
        <f>ROUND(L74,0)</f>
        <v>0</v>
      </c>
      <c r="P742" s="282">
        <f>IF(L77&gt;0,ROUND(L77,0),0)</f>
        <v>0</v>
      </c>
      <c r="Q742" s="282">
        <f>IF(L78&gt;0,ROUND(L78,0),0)</f>
        <v>0</v>
      </c>
      <c r="R742" s="282">
        <f>IF(L79&gt;0,ROUND(L79,0),0)</f>
        <v>0</v>
      </c>
      <c r="S742" s="282">
        <f>IF(L80&gt;0,ROUND(L80,0),0)</f>
        <v>0</v>
      </c>
      <c r="T742" s="285">
        <f>IF(L81&gt;0,ROUND(L81,2),0)</f>
        <v>0</v>
      </c>
      <c r="U742" s="282"/>
      <c r="X742" s="282"/>
      <c r="Y742" s="282"/>
      <c r="Z742" s="282">
        <f t="shared" si="22"/>
        <v>0</v>
      </c>
    </row>
    <row r="743" spans="1:26" ht="12.65" customHeight="1" x14ac:dyDescent="0.35">
      <c r="A743" s="209" t="str">
        <f>RIGHT($C$84,3)&amp;"*"&amp;RIGHT($C$83,4)&amp;"*"&amp;M$55&amp;"*"&amp;"A"</f>
        <v xml:space="preserve"> #2*164*6330*A</v>
      </c>
      <c r="B743" s="282">
        <f>ROUND(M59,0)</f>
        <v>3836</v>
      </c>
      <c r="C743" s="285">
        <f>ROUND(M60,2)</f>
        <v>47.76</v>
      </c>
      <c r="D743" s="282">
        <f>ROUND(M61,0)</f>
        <v>4934914</v>
      </c>
      <c r="E743" s="282">
        <f>ROUND(M62,0)</f>
        <v>1252729</v>
      </c>
      <c r="F743" s="282">
        <f>ROUND(M63,0)</f>
        <v>5012</v>
      </c>
      <c r="G743" s="282">
        <f>ROUND(M64,0)</f>
        <v>137589</v>
      </c>
      <c r="H743" s="282">
        <f>ROUND(M65,0)</f>
        <v>7687</v>
      </c>
      <c r="I743" s="282">
        <f>ROUND(M66,0)</f>
        <v>125414</v>
      </c>
      <c r="J743" s="282">
        <f>ROUND(M67,0)</f>
        <v>114442</v>
      </c>
      <c r="K743" s="282">
        <f>ROUND(M68,0)</f>
        <v>72192</v>
      </c>
      <c r="L743" s="282">
        <f>ROUND(M70,0)</f>
        <v>207292</v>
      </c>
      <c r="M743" s="282">
        <f>ROUND(M71,0)</f>
        <v>6488094</v>
      </c>
      <c r="N743" s="282">
        <f>ROUND(M76,0)</f>
        <v>20520</v>
      </c>
      <c r="O743" s="282">
        <f>ROUND(M74,0)</f>
        <v>234069</v>
      </c>
      <c r="P743" s="282">
        <f>IF(M77&gt;0,ROUND(M77,0),0)</f>
        <v>5212</v>
      </c>
      <c r="Q743" s="282">
        <f>IF(M78&gt;0,ROUND(M78,0),0)</f>
        <v>2566</v>
      </c>
      <c r="R743" s="282">
        <f>IF(M79&gt;0,ROUND(M79,0),0)</f>
        <v>26676</v>
      </c>
      <c r="S743" s="282">
        <f>IF(M80&gt;0,ROUND(M80,0),0)</f>
        <v>18</v>
      </c>
      <c r="T743" s="285">
        <f>IF(M81&gt;0,ROUND(M81,2),0)</f>
        <v>0</v>
      </c>
      <c r="U743" s="282"/>
      <c r="X743" s="282"/>
      <c r="Y743" s="282"/>
      <c r="Z743" s="282">
        <f t="shared" si="22"/>
        <v>0</v>
      </c>
    </row>
    <row r="744" spans="1:26" ht="12.65" customHeight="1" x14ac:dyDescent="0.35">
      <c r="A744" s="209" t="str">
        <f>RIGHT($C$84,3)&amp;"*"&amp;RIGHT($C$83,4)&amp;"*"&amp;N$55&amp;"*"&amp;"A"</f>
        <v xml:space="preserve"> #2*164*6400*A</v>
      </c>
      <c r="B744" s="282">
        <f>ROUND(N59,0)</f>
        <v>0</v>
      </c>
      <c r="C744" s="285">
        <f>ROUND(N60,2)</f>
        <v>47.49</v>
      </c>
      <c r="D744" s="282">
        <f>ROUND(N61,0)</f>
        <v>15000633</v>
      </c>
      <c r="E744" s="282">
        <f>ROUND(N62,0)</f>
        <v>2772752</v>
      </c>
      <c r="F744" s="282">
        <f>ROUND(N63,0)</f>
        <v>689212</v>
      </c>
      <c r="G744" s="282">
        <f>ROUND(N64,0)</f>
        <v>14873</v>
      </c>
      <c r="H744" s="282">
        <f>ROUND(N65,0)</f>
        <v>22653</v>
      </c>
      <c r="I744" s="282">
        <f>ROUND(N66,0)</f>
        <v>3255</v>
      </c>
      <c r="J744" s="282">
        <f>ROUND(N67,0)</f>
        <v>5655</v>
      </c>
      <c r="K744" s="282">
        <f>ROUND(N68,0)</f>
        <v>0</v>
      </c>
      <c r="L744" s="282">
        <f>ROUND(N70,0)</f>
        <v>430166</v>
      </c>
      <c r="M744" s="282">
        <f>ROUND(N71,0)</f>
        <v>18217973</v>
      </c>
      <c r="N744" s="282">
        <f>ROUND(N76,0)</f>
        <v>5055</v>
      </c>
      <c r="O744" s="282">
        <f>ROUND(N74,0)</f>
        <v>1057493</v>
      </c>
      <c r="P744" s="282">
        <f>IF(N77&gt;0,ROUND(N77,0),0)</f>
        <v>0</v>
      </c>
      <c r="Q744" s="282">
        <f>IF(N78&gt;0,ROUND(N78,0),0)</f>
        <v>632</v>
      </c>
      <c r="R744" s="282">
        <f>IF(N79&gt;0,ROUND(N79,0),0)</f>
        <v>0</v>
      </c>
      <c r="S744" s="282">
        <f>IF(N80&gt;0,ROUND(N80,0),0)</f>
        <v>0</v>
      </c>
      <c r="T744" s="285">
        <f>IF(N81&gt;0,ROUND(N81,2),0)</f>
        <v>0</v>
      </c>
      <c r="U744" s="282"/>
      <c r="X744" s="282"/>
      <c r="Y744" s="282"/>
      <c r="Z744" s="282">
        <f t="shared" si="22"/>
        <v>1811936</v>
      </c>
    </row>
    <row r="745" spans="1:26" ht="12.65" customHeight="1" x14ac:dyDescent="0.35">
      <c r="A745" s="209" t="str">
        <f>RIGHT($C$84,3)&amp;"*"&amp;RIGHT($C$83,4)&amp;"*"&amp;O$55&amp;"*"&amp;"A"</f>
        <v xml:space="preserve"> #2*164*7010*A</v>
      </c>
      <c r="B745" s="282">
        <f>ROUND(O59,0)</f>
        <v>4367</v>
      </c>
      <c r="C745" s="285">
        <f>ROUND(O60,2)</f>
        <v>169.88</v>
      </c>
      <c r="D745" s="282">
        <f>ROUND(O61,0)</f>
        <v>17505984</v>
      </c>
      <c r="E745" s="282">
        <f>ROUND(O62,0)</f>
        <v>4421023</v>
      </c>
      <c r="F745" s="282">
        <f>ROUND(O63,0)</f>
        <v>1512186</v>
      </c>
      <c r="G745" s="282">
        <f>ROUND(O64,0)</f>
        <v>1788199</v>
      </c>
      <c r="H745" s="282">
        <f>ROUND(O65,0)</f>
        <v>741</v>
      </c>
      <c r="I745" s="282">
        <f>ROUND(O66,0)</f>
        <v>235965</v>
      </c>
      <c r="J745" s="282">
        <f>ROUND(O67,0)</f>
        <v>770240</v>
      </c>
      <c r="K745" s="282">
        <f>ROUND(O68,0)</f>
        <v>0</v>
      </c>
      <c r="L745" s="282">
        <f>ROUND(O70,0)</f>
        <v>22321</v>
      </c>
      <c r="M745" s="282">
        <f>ROUND(O71,0)</f>
        <v>26227739</v>
      </c>
      <c r="N745" s="282">
        <f>ROUND(O76,0)</f>
        <v>54397</v>
      </c>
      <c r="O745" s="282">
        <f>ROUND(O74,0)</f>
        <v>4011493</v>
      </c>
      <c r="P745" s="282">
        <f>IF(O77&gt;0,ROUND(O77,0),0)</f>
        <v>32290</v>
      </c>
      <c r="Q745" s="282">
        <f>IF(O78&gt;0,ROUND(O78,0),0)</f>
        <v>6802</v>
      </c>
      <c r="R745" s="282">
        <f>IF(O79&gt;0,ROUND(O79,0),0)</f>
        <v>330072</v>
      </c>
      <c r="S745" s="282">
        <f>IF(O80&gt;0,ROUND(O80,0),0)</f>
        <v>126</v>
      </c>
      <c r="T745" s="285">
        <f>IF(O81&gt;0,ROUND(O81,2),0)</f>
        <v>0</v>
      </c>
      <c r="U745" s="282"/>
      <c r="X745" s="282"/>
      <c r="Y745" s="282"/>
      <c r="Z745" s="282">
        <f t="shared" si="22"/>
        <v>2374511</v>
      </c>
    </row>
    <row r="746" spans="1:26" ht="12.65" customHeight="1" x14ac:dyDescent="0.35">
      <c r="A746" s="209" t="str">
        <f>RIGHT($C$84,3)&amp;"*"&amp;RIGHT($C$83,4)&amp;"*"&amp;P$55&amp;"*"&amp;"A"</f>
        <v xml:space="preserve"> #2*164*7020*A</v>
      </c>
      <c r="B746" s="282">
        <f>ROUND(P59,0)</f>
        <v>739476</v>
      </c>
      <c r="C746" s="285">
        <f>ROUND(P60,2)</f>
        <v>104.74</v>
      </c>
      <c r="D746" s="282">
        <f>ROUND(P61,0)</f>
        <v>9889291</v>
      </c>
      <c r="E746" s="282">
        <f>ROUND(P62,0)</f>
        <v>2271690</v>
      </c>
      <c r="F746" s="282">
        <f>ROUND(P63,0)</f>
        <v>7524</v>
      </c>
      <c r="G746" s="282">
        <f>ROUND(P64,0)</f>
        <v>36496756</v>
      </c>
      <c r="H746" s="282">
        <f>ROUND(P65,0)</f>
        <v>0</v>
      </c>
      <c r="I746" s="282">
        <f>ROUND(P66,0)</f>
        <v>2038286</v>
      </c>
      <c r="J746" s="282">
        <f>ROUND(P67,0)</f>
        <v>2677040</v>
      </c>
      <c r="K746" s="282">
        <f>ROUND(P68,0)</f>
        <v>81075</v>
      </c>
      <c r="L746" s="282">
        <f>ROUND(P70,0)</f>
        <v>0</v>
      </c>
      <c r="M746" s="282">
        <f>ROUND(P71,0)</f>
        <v>53477336</v>
      </c>
      <c r="N746" s="282">
        <f>ROUND(P76,0)</f>
        <v>71966</v>
      </c>
      <c r="O746" s="282">
        <f>ROUND(P74,0)</f>
        <v>181023533</v>
      </c>
      <c r="P746" s="282">
        <f>IF(P77&gt;0,ROUND(P77,0),0)</f>
        <v>0</v>
      </c>
      <c r="Q746" s="282">
        <f>IF(P78&gt;0,ROUND(P78,0),0)</f>
        <v>9002</v>
      </c>
      <c r="R746" s="282">
        <f>IF(P79&gt;0,ROUND(P79,0),0)</f>
        <v>166060</v>
      </c>
      <c r="S746" s="282">
        <f>IF(P80&gt;0,ROUND(P80,0),0)</f>
        <v>47</v>
      </c>
      <c r="T746" s="285">
        <f>IF(P81&gt;0,ROUND(P81,2),0)</f>
        <v>0</v>
      </c>
      <c r="U746" s="282"/>
      <c r="X746" s="282"/>
      <c r="Y746" s="282"/>
      <c r="Z746" s="282">
        <f t="shared" si="22"/>
        <v>11090142</v>
      </c>
    </row>
    <row r="747" spans="1:26" ht="12.65" customHeight="1" x14ac:dyDescent="0.35">
      <c r="A747" s="209" t="str">
        <f>RIGHT($C$84,3)&amp;"*"&amp;RIGHT($C$83,4)&amp;"*"&amp;Q$55&amp;"*"&amp;"A"</f>
        <v xml:space="preserve"> #2*164*7030*A</v>
      </c>
      <c r="B747" s="282">
        <f>ROUND(Q59,0)</f>
        <v>1821899</v>
      </c>
      <c r="C747" s="285">
        <f>ROUND(Q60,2)</f>
        <v>48.75</v>
      </c>
      <c r="D747" s="282">
        <f>ROUND(Q61,0)</f>
        <v>5607697</v>
      </c>
      <c r="E747" s="282">
        <f>ROUND(Q62,0)</f>
        <v>1485546</v>
      </c>
      <c r="F747" s="282">
        <f>ROUND(Q63,0)</f>
        <v>0</v>
      </c>
      <c r="G747" s="282">
        <f>ROUND(Q64,0)</f>
        <v>314913</v>
      </c>
      <c r="H747" s="282">
        <f>ROUND(Q65,0)</f>
        <v>652</v>
      </c>
      <c r="I747" s="282">
        <f>ROUND(Q66,0)</f>
        <v>68590</v>
      </c>
      <c r="J747" s="282">
        <f>ROUND(Q67,0)</f>
        <v>94819</v>
      </c>
      <c r="K747" s="282">
        <f>ROUND(Q68,0)</f>
        <v>649</v>
      </c>
      <c r="L747" s="282">
        <f>ROUND(Q70,0)</f>
        <v>0</v>
      </c>
      <c r="M747" s="282">
        <f>ROUND(Q71,0)</f>
        <v>7578328</v>
      </c>
      <c r="N747" s="282">
        <f>ROUND(Q76,0)</f>
        <v>5119</v>
      </c>
      <c r="O747" s="282">
        <f>ROUND(Q74,0)</f>
        <v>18942642</v>
      </c>
      <c r="P747" s="282">
        <f>IF(Q77&gt;0,ROUND(Q77,0),0)</f>
        <v>0</v>
      </c>
      <c r="Q747" s="282">
        <f>IF(Q78&gt;0,ROUND(Q78,0),0)</f>
        <v>640</v>
      </c>
      <c r="R747" s="282">
        <f>IF(Q79&gt;0,ROUND(Q79,0),0)</f>
        <v>0</v>
      </c>
      <c r="S747" s="282">
        <f>IF(Q80&gt;0,ROUND(Q80,0),0)</f>
        <v>39</v>
      </c>
      <c r="T747" s="285">
        <f>IF(Q81&gt;0,ROUND(Q81,2),0)</f>
        <v>0</v>
      </c>
      <c r="U747" s="282"/>
      <c r="X747" s="282"/>
      <c r="Y747" s="282"/>
      <c r="Z747" s="282">
        <f t="shared" si="22"/>
        <v>21057237</v>
      </c>
    </row>
    <row r="748" spans="1:26" ht="12.65" customHeight="1" x14ac:dyDescent="0.35">
      <c r="A748" s="209" t="str">
        <f>RIGHT($C$84,3)&amp;"*"&amp;RIGHT($C$83,4)&amp;"*"&amp;R$55&amp;"*"&amp;"A"</f>
        <v xml:space="preserve"> #2*164*7040*A</v>
      </c>
      <c r="B748" s="282">
        <f>ROUND(R59,0)</f>
        <v>1277090</v>
      </c>
      <c r="C748" s="285">
        <f>ROUND(R60,2)</f>
        <v>7.28</v>
      </c>
      <c r="D748" s="282">
        <f>ROUND(R61,0)</f>
        <v>532550</v>
      </c>
      <c r="E748" s="282">
        <f>ROUND(R62,0)</f>
        <v>130978</v>
      </c>
      <c r="F748" s="282">
        <f>ROUND(R63,0)</f>
        <v>0</v>
      </c>
      <c r="G748" s="282">
        <f>ROUND(R64,0)</f>
        <v>417630</v>
      </c>
      <c r="H748" s="282">
        <f>ROUND(R65,0)</f>
        <v>0</v>
      </c>
      <c r="I748" s="282">
        <f>ROUND(R66,0)</f>
        <v>78808</v>
      </c>
      <c r="J748" s="282">
        <f>ROUND(R67,0)</f>
        <v>134227</v>
      </c>
      <c r="K748" s="282">
        <f>ROUND(R68,0)</f>
        <v>0</v>
      </c>
      <c r="L748" s="282">
        <f>ROUND(R70,0)</f>
        <v>0</v>
      </c>
      <c r="M748" s="282">
        <f>ROUND(R71,0)</f>
        <v>1294192</v>
      </c>
      <c r="N748" s="282">
        <f>ROUND(R76,0)</f>
        <v>651</v>
      </c>
      <c r="O748" s="282">
        <f>ROUND(R74,0)</f>
        <v>30327902</v>
      </c>
      <c r="P748" s="282">
        <f>IF(R77&gt;0,ROUND(R77,0),0)</f>
        <v>49</v>
      </c>
      <c r="Q748" s="282">
        <f>IF(R78&gt;0,ROUND(R78,0),0)</f>
        <v>81</v>
      </c>
      <c r="R748" s="282">
        <f>IF(R79&gt;0,ROUND(R79,0),0)</f>
        <v>0</v>
      </c>
      <c r="S748" s="282">
        <f>IF(R80&gt;0,ROUND(R80,0),0)</f>
        <v>0</v>
      </c>
      <c r="T748" s="285">
        <f>IF(R81&gt;0,ROUND(R81,2),0)</f>
        <v>0</v>
      </c>
      <c r="U748" s="282"/>
      <c r="X748" s="282"/>
      <c r="Y748" s="282"/>
      <c r="Z748" s="282">
        <f t="shared" si="22"/>
        <v>2482803</v>
      </c>
    </row>
    <row r="749" spans="1:26" ht="12.65" customHeight="1" x14ac:dyDescent="0.35">
      <c r="A749" s="209" t="str">
        <f>RIGHT($C$84,3)&amp;"*"&amp;RIGHT($C$83,4)&amp;"*"&amp;S$55&amp;"*"&amp;"A"</f>
        <v xml:space="preserve"> #2*164*7050*A</v>
      </c>
      <c r="B749" s="282"/>
      <c r="C749" s="285">
        <f>ROUND(S60,2)</f>
        <v>19.95</v>
      </c>
      <c r="D749" s="282">
        <f>ROUND(S61,0)</f>
        <v>1297209</v>
      </c>
      <c r="E749" s="282">
        <f>ROUND(S62,0)</f>
        <v>302559</v>
      </c>
      <c r="F749" s="282">
        <f>ROUND(S63,0)</f>
        <v>0</v>
      </c>
      <c r="G749" s="282">
        <f>ROUND(S64,0)</f>
        <v>709109</v>
      </c>
      <c r="H749" s="282">
        <f>ROUND(S65,0)</f>
        <v>0</v>
      </c>
      <c r="I749" s="282">
        <f>ROUND(S66,0)</f>
        <v>254200</v>
      </c>
      <c r="J749" s="282">
        <f>ROUND(S67,0)</f>
        <v>335393</v>
      </c>
      <c r="K749" s="282">
        <f>ROUND(S68,0)</f>
        <v>417</v>
      </c>
      <c r="L749" s="282">
        <f>ROUND(S70,0)</f>
        <v>0</v>
      </c>
      <c r="M749" s="282">
        <f>ROUND(S71,0)</f>
        <v>2899012</v>
      </c>
      <c r="N749" s="282">
        <f>ROUND(S76,0)</f>
        <v>10270</v>
      </c>
      <c r="O749" s="282">
        <f>ROUND(S74,0)</f>
        <v>0</v>
      </c>
      <c r="P749" s="282">
        <f>IF(S77&gt;0,ROUND(S77,0),0)</f>
        <v>0</v>
      </c>
      <c r="Q749" s="282">
        <f>IF(S78&gt;0,ROUND(S78,0),0)</f>
        <v>1284</v>
      </c>
      <c r="R749" s="282">
        <f>IF(S79&gt;0,ROUND(S79,0),0)</f>
        <v>21321</v>
      </c>
      <c r="S749" s="282">
        <f>IF(S80&gt;0,ROUND(S80,0),0)</f>
        <v>0</v>
      </c>
      <c r="T749" s="285">
        <f>IF(S81&gt;0,ROUND(S81,2),0)</f>
        <v>0</v>
      </c>
      <c r="U749" s="282"/>
      <c r="X749" s="282"/>
      <c r="Y749" s="282"/>
      <c r="Z749" s="282">
        <f t="shared" si="22"/>
        <v>2200329</v>
      </c>
    </row>
    <row r="750" spans="1:26" ht="12.65" customHeight="1" x14ac:dyDescent="0.35">
      <c r="A750" s="209" t="str">
        <f>RIGHT($C$84,3)&amp;"*"&amp;RIGHT($C$83,4)&amp;"*"&amp;T$55&amp;"*"&amp;"A"</f>
        <v xml:space="preserve"> #2*164*7060*A</v>
      </c>
      <c r="B750" s="282"/>
      <c r="C750" s="285">
        <f>ROUND(T60,2)</f>
        <v>0</v>
      </c>
      <c r="D750" s="282">
        <f>ROUND(T61,0)</f>
        <v>0</v>
      </c>
      <c r="E750" s="282">
        <f>ROUND(T62,0)</f>
        <v>0</v>
      </c>
      <c r="F750" s="282">
        <f>ROUND(T63,0)</f>
        <v>0</v>
      </c>
      <c r="G750" s="282">
        <f>ROUND(T64,0)</f>
        <v>0</v>
      </c>
      <c r="H750" s="282">
        <f>ROUND(T65,0)</f>
        <v>0</v>
      </c>
      <c r="I750" s="282">
        <f>ROUND(T66,0)</f>
        <v>0</v>
      </c>
      <c r="J750" s="282">
        <f>ROUND(T67,0)</f>
        <v>0</v>
      </c>
      <c r="K750" s="282">
        <f>ROUND(T68,0)</f>
        <v>0</v>
      </c>
      <c r="L750" s="282">
        <f>ROUND(T70,0)</f>
        <v>0</v>
      </c>
      <c r="M750" s="282">
        <f>ROUND(T71,0)</f>
        <v>0</v>
      </c>
      <c r="N750" s="282">
        <f>ROUND(T76,0)</f>
        <v>0</v>
      </c>
      <c r="O750" s="282">
        <f>ROUND(T74,0)</f>
        <v>0</v>
      </c>
      <c r="P750" s="282">
        <f>IF(T77&gt;0,ROUND(T77,0),0)</f>
        <v>0</v>
      </c>
      <c r="Q750" s="282">
        <f>IF(T78&gt;0,ROUND(T78,0),0)</f>
        <v>0</v>
      </c>
      <c r="R750" s="282">
        <f>IF(T79&gt;0,ROUND(T79,0),0)</f>
        <v>0</v>
      </c>
      <c r="S750" s="282">
        <f>IF(T80&gt;0,ROUND(T80,0),0)</f>
        <v>0</v>
      </c>
      <c r="T750" s="285">
        <f>IF(T81&gt;0,ROUND(T81,2),0)</f>
        <v>0</v>
      </c>
      <c r="U750" s="282"/>
      <c r="X750" s="282"/>
      <c r="Y750" s="282"/>
      <c r="Z750" s="282">
        <f t="shared" si="22"/>
        <v>623182</v>
      </c>
    </row>
    <row r="751" spans="1:26" ht="12.65" customHeight="1" x14ac:dyDescent="0.35">
      <c r="A751" s="209" t="str">
        <f>RIGHT($C$84,3)&amp;"*"&amp;RIGHT($C$83,4)&amp;"*"&amp;U$55&amp;"*"&amp;"A"</f>
        <v xml:space="preserve"> #2*164*7070*A</v>
      </c>
      <c r="B751" s="282">
        <f>ROUND(U59,0)</f>
        <v>881954</v>
      </c>
      <c r="C751" s="285">
        <f>ROUND(U60,2)</f>
        <v>72.790000000000006</v>
      </c>
      <c r="D751" s="282">
        <f>ROUND(U61,0)</f>
        <v>5533655</v>
      </c>
      <c r="E751" s="282">
        <f>ROUND(U62,0)</f>
        <v>1543837</v>
      </c>
      <c r="F751" s="282">
        <f>ROUND(U63,0)</f>
        <v>138177</v>
      </c>
      <c r="G751" s="282">
        <f>ROUND(U64,0)</f>
        <v>4939988</v>
      </c>
      <c r="H751" s="282">
        <f>ROUND(U65,0)</f>
        <v>219</v>
      </c>
      <c r="I751" s="282">
        <f>ROUND(U66,0)</f>
        <v>5583381</v>
      </c>
      <c r="J751" s="282">
        <f>ROUND(U67,0)</f>
        <v>415415</v>
      </c>
      <c r="K751" s="282">
        <f>ROUND(U68,0)</f>
        <v>10068</v>
      </c>
      <c r="L751" s="282">
        <f>ROUND(U70,0)</f>
        <v>657811</v>
      </c>
      <c r="M751" s="282">
        <f>ROUND(U71,0)</f>
        <v>17543932</v>
      </c>
      <c r="N751" s="282">
        <f>ROUND(U76,0)</f>
        <v>15470</v>
      </c>
      <c r="O751" s="282">
        <f>ROUND(U74,0)</f>
        <v>52893136</v>
      </c>
      <c r="P751" s="282">
        <f>IF(U77&gt;0,ROUND(U77,0),0)</f>
        <v>0</v>
      </c>
      <c r="Q751" s="282">
        <f>IF(U78&gt;0,ROUND(U78,0),0)</f>
        <v>1935</v>
      </c>
      <c r="R751" s="282">
        <f>IF(U79&gt;0,ROUND(U79,0),0)</f>
        <v>2262</v>
      </c>
      <c r="S751" s="282">
        <f>IF(U80&gt;0,ROUND(U80,0),0)</f>
        <v>1</v>
      </c>
      <c r="T751" s="285">
        <f>IF(U81&gt;0,ROUND(U81,2),0)</f>
        <v>0</v>
      </c>
      <c r="U751" s="282"/>
      <c r="X751" s="282"/>
      <c r="Y751" s="282"/>
      <c r="Z751" s="282">
        <f t="shared" si="22"/>
        <v>0</v>
      </c>
    </row>
    <row r="752" spans="1:26" ht="12.65" customHeight="1" x14ac:dyDescent="0.35">
      <c r="A752" s="209" t="str">
        <f>RIGHT($C$84,3)&amp;"*"&amp;RIGHT($C$83,4)&amp;"*"&amp;V$55&amp;"*"&amp;"A"</f>
        <v xml:space="preserve"> #2*164*7110*A</v>
      </c>
      <c r="B752" s="282">
        <f>ROUND(V59,0)</f>
        <v>0</v>
      </c>
      <c r="C752" s="285">
        <f>ROUND(V60,2)</f>
        <v>2.35</v>
      </c>
      <c r="D752" s="282">
        <f>ROUND(V61,0)</f>
        <v>143720</v>
      </c>
      <c r="E752" s="282">
        <f>ROUND(V62,0)</f>
        <v>40156</v>
      </c>
      <c r="F752" s="282">
        <f>ROUND(V63,0)</f>
        <v>1975</v>
      </c>
      <c r="G752" s="282">
        <f>ROUND(V64,0)</f>
        <v>26821</v>
      </c>
      <c r="H752" s="282">
        <f>ROUND(V65,0)</f>
        <v>0</v>
      </c>
      <c r="I752" s="282">
        <f>ROUND(V66,0)</f>
        <v>0</v>
      </c>
      <c r="J752" s="282">
        <f>ROUND(V67,0)</f>
        <v>8294</v>
      </c>
      <c r="K752" s="282">
        <f>ROUND(V68,0)</f>
        <v>0</v>
      </c>
      <c r="L752" s="282">
        <f>ROUND(V70,0)</f>
        <v>2805</v>
      </c>
      <c r="M752" s="282">
        <f>ROUND(V71,0)</f>
        <v>218160</v>
      </c>
      <c r="N752" s="282">
        <f>ROUND(V76,0)</f>
        <v>298</v>
      </c>
      <c r="O752" s="282">
        <f>ROUND(V74,0)</f>
        <v>544677</v>
      </c>
      <c r="P752" s="282">
        <f>IF(V77&gt;0,ROUND(V77,0),0)</f>
        <v>0</v>
      </c>
      <c r="Q752" s="282">
        <f>IF(V78&gt;0,ROUND(V78,0),0)</f>
        <v>37</v>
      </c>
      <c r="R752" s="282">
        <f>IF(V79&gt;0,ROUND(V79,0),0)</f>
        <v>0</v>
      </c>
      <c r="S752" s="282">
        <f>IF(V80&gt;0,ROUND(V80,0),0)</f>
        <v>0</v>
      </c>
      <c r="T752" s="285">
        <f>IF(V81&gt;0,ROUND(V81,2),0)</f>
        <v>0</v>
      </c>
      <c r="U752" s="282"/>
      <c r="X752" s="282"/>
      <c r="Y752" s="282"/>
      <c r="Z752" s="282">
        <f t="shared" si="22"/>
        <v>7944939</v>
      </c>
    </row>
    <row r="753" spans="1:26" ht="12.65" customHeight="1" x14ac:dyDescent="0.35">
      <c r="A753" s="209" t="str">
        <f>RIGHT($C$84,3)&amp;"*"&amp;RIGHT($C$83,4)&amp;"*"&amp;W$55&amp;"*"&amp;"A"</f>
        <v xml:space="preserve"> #2*164*7120*A</v>
      </c>
      <c r="B753" s="282">
        <f>ROUND(W59,0)</f>
        <v>30017</v>
      </c>
      <c r="C753" s="285">
        <f>ROUND(W60,2)</f>
        <v>5.2</v>
      </c>
      <c r="D753" s="282">
        <f>ROUND(W61,0)</f>
        <v>681556</v>
      </c>
      <c r="E753" s="282">
        <f>ROUND(W62,0)</f>
        <v>128126</v>
      </c>
      <c r="F753" s="282">
        <f>ROUND(W63,0)</f>
        <v>0</v>
      </c>
      <c r="G753" s="282">
        <f>ROUND(W64,0)</f>
        <v>185087</v>
      </c>
      <c r="H753" s="282">
        <f>ROUND(W65,0)</f>
        <v>0</v>
      </c>
      <c r="I753" s="282">
        <f>ROUND(W66,0)</f>
        <v>143748</v>
      </c>
      <c r="J753" s="282">
        <f>ROUND(W67,0)</f>
        <v>221523</v>
      </c>
      <c r="K753" s="282">
        <f>ROUND(W68,0)</f>
        <v>0</v>
      </c>
      <c r="L753" s="282">
        <f>ROUND(W70,0)</f>
        <v>0</v>
      </c>
      <c r="M753" s="282">
        <f>ROUND(W71,0)</f>
        <v>1361517</v>
      </c>
      <c r="N753" s="282">
        <f>ROUND(W76,0)</f>
        <v>3104</v>
      </c>
      <c r="O753" s="282">
        <f>ROUND(W74,0)</f>
        <v>10048637</v>
      </c>
      <c r="P753" s="282">
        <f>IF(W77&gt;0,ROUND(W77,0),0)</f>
        <v>0</v>
      </c>
      <c r="Q753" s="282">
        <f>IF(W78&gt;0,ROUND(W78,0),0)</f>
        <v>388</v>
      </c>
      <c r="R753" s="282">
        <f>IF(W79&gt;0,ROUND(W79,0),0)</f>
        <v>20327</v>
      </c>
      <c r="S753" s="282">
        <f>IF(W80&gt;0,ROUND(W80,0),0)</f>
        <v>0</v>
      </c>
      <c r="T753" s="285">
        <f>IF(W81&gt;0,ROUND(W81,2),0)</f>
        <v>0</v>
      </c>
      <c r="U753" s="282"/>
      <c r="X753" s="282"/>
      <c r="Y753" s="282"/>
      <c r="Z753" s="282">
        <f t="shared" si="22"/>
        <v>139930</v>
      </c>
    </row>
    <row r="754" spans="1:26" ht="12.65" customHeight="1" x14ac:dyDescent="0.35">
      <c r="A754" s="209" t="str">
        <f>RIGHT($C$84,3)&amp;"*"&amp;RIGHT($C$83,4)&amp;"*"&amp;X$55&amp;"*"&amp;"A"</f>
        <v xml:space="preserve"> #2*164*7130*A</v>
      </c>
      <c r="B754" s="282">
        <f>ROUND(X59,0)</f>
        <v>138649</v>
      </c>
      <c r="C754" s="285">
        <f>ROUND(X60,2)</f>
        <v>12.99</v>
      </c>
      <c r="D754" s="282">
        <f>ROUND(X61,0)</f>
        <v>1366038</v>
      </c>
      <c r="E754" s="282">
        <f>ROUND(X62,0)</f>
        <v>269026</v>
      </c>
      <c r="F754" s="282">
        <f>ROUND(X63,0)</f>
        <v>0</v>
      </c>
      <c r="G754" s="282">
        <f>ROUND(X64,0)</f>
        <v>371837</v>
      </c>
      <c r="H754" s="282">
        <f>ROUND(X65,0)</f>
        <v>0</v>
      </c>
      <c r="I754" s="282">
        <f>ROUND(X66,0)</f>
        <v>475512</v>
      </c>
      <c r="J754" s="282">
        <f>ROUND(X67,0)</f>
        <v>121137</v>
      </c>
      <c r="K754" s="282">
        <f>ROUND(X68,0)</f>
        <v>0</v>
      </c>
      <c r="L754" s="282">
        <f>ROUND(X70,0)</f>
        <v>0</v>
      </c>
      <c r="M754" s="282">
        <f>ROUND(X71,0)</f>
        <v>2606731</v>
      </c>
      <c r="N754" s="282">
        <f>ROUND(X76,0)</f>
        <v>3166</v>
      </c>
      <c r="O754" s="282">
        <f>ROUND(X74,0)</f>
        <v>42948403</v>
      </c>
      <c r="P754" s="282">
        <f>IF(X77&gt;0,ROUND(X77,0),0)</f>
        <v>0</v>
      </c>
      <c r="Q754" s="282">
        <f>IF(X78&gt;0,ROUND(X78,0),0)</f>
        <v>396</v>
      </c>
      <c r="R754" s="282">
        <f>IF(X79&gt;0,ROUND(X79,0),0)</f>
        <v>0</v>
      </c>
      <c r="S754" s="282">
        <f>IF(X80&gt;0,ROUND(X80,0),0)</f>
        <v>0</v>
      </c>
      <c r="T754" s="285">
        <f>IF(X81&gt;0,ROUND(X81,2),0)</f>
        <v>0</v>
      </c>
      <c r="U754" s="282"/>
      <c r="X754" s="282"/>
      <c r="Y754" s="282"/>
      <c r="Z754" s="282">
        <f t="shared" si="22"/>
        <v>970695</v>
      </c>
    </row>
    <row r="755" spans="1:26" ht="12.65" customHeight="1" x14ac:dyDescent="0.35">
      <c r="A755" s="209" t="str">
        <f>RIGHT($C$84,3)&amp;"*"&amp;RIGHT($C$83,4)&amp;"*"&amp;Y$55&amp;"*"&amp;"A"</f>
        <v xml:space="preserve"> #2*164*7140*A</v>
      </c>
      <c r="B755" s="282">
        <f>ROUND(Y59,0)</f>
        <v>336276</v>
      </c>
      <c r="C755" s="285">
        <f>ROUND(Y60,2)</f>
        <v>136.04</v>
      </c>
      <c r="D755" s="282">
        <f>ROUND(Y61,0)</f>
        <v>13579741</v>
      </c>
      <c r="E755" s="282">
        <f>ROUND(Y62,0)</f>
        <v>3308640</v>
      </c>
      <c r="F755" s="282">
        <f>ROUND(Y63,0)</f>
        <v>138097</v>
      </c>
      <c r="G755" s="282">
        <f>ROUND(Y64,0)</f>
        <v>6030149</v>
      </c>
      <c r="H755" s="282">
        <f>ROUND(Y65,0)</f>
        <v>15128</v>
      </c>
      <c r="I755" s="282">
        <f>ROUND(Y66,0)</f>
        <v>3993265</v>
      </c>
      <c r="J755" s="282">
        <f>ROUND(Y67,0)</f>
        <v>2982585</v>
      </c>
      <c r="K755" s="282">
        <f>ROUND(Y68,0)</f>
        <v>446004</v>
      </c>
      <c r="L755" s="282">
        <f>ROUND(Y70,0)</f>
        <v>12919</v>
      </c>
      <c r="M755" s="282">
        <f>ROUND(Y71,0)</f>
        <v>30539350</v>
      </c>
      <c r="N755" s="282">
        <f>ROUND(Y76,0)</f>
        <v>50628</v>
      </c>
      <c r="O755" s="282">
        <f>ROUND(Y74,0)</f>
        <v>124081507</v>
      </c>
      <c r="P755" s="282">
        <f>IF(Y77&gt;0,ROUND(Y77,0),0)</f>
        <v>0</v>
      </c>
      <c r="Q755" s="282">
        <f>IF(Y78&gt;0,ROUND(Y78,0),0)</f>
        <v>6331</v>
      </c>
      <c r="R755" s="282">
        <f>IF(Y79&gt;0,ROUND(Y79,0),0)</f>
        <v>256891</v>
      </c>
      <c r="S755" s="282">
        <f>IF(Y80&gt;0,ROUND(Y80,0),0)</f>
        <v>22</v>
      </c>
      <c r="T755" s="285">
        <f>IF(Y81&gt;0,ROUND(Y81,2),0)</f>
        <v>0</v>
      </c>
      <c r="U755" s="282"/>
      <c r="X755" s="282"/>
      <c r="Y755" s="282"/>
      <c r="Z755" s="282">
        <f t="shared" si="22"/>
        <v>3506498</v>
      </c>
    </row>
    <row r="756" spans="1:26" ht="12.65" customHeight="1" x14ac:dyDescent="0.35">
      <c r="A756" s="209" t="str">
        <f>RIGHT($C$84,3)&amp;"*"&amp;RIGHT($C$83,4)&amp;"*"&amp;Z$55&amp;"*"&amp;"A"</f>
        <v xml:space="preserve"> #2*164*7150*A</v>
      </c>
      <c r="B756" s="282">
        <f>ROUND(Z59,0)</f>
        <v>60040</v>
      </c>
      <c r="C756" s="285">
        <f>ROUND(Z60,2)</f>
        <v>20.79</v>
      </c>
      <c r="D756" s="282">
        <f>ROUND(Z61,0)</f>
        <v>4151003</v>
      </c>
      <c r="E756" s="282">
        <f>ROUND(Z62,0)</f>
        <v>714784</v>
      </c>
      <c r="F756" s="282">
        <f>ROUND(Z63,0)</f>
        <v>0</v>
      </c>
      <c r="G756" s="282">
        <f>ROUND(Z64,0)</f>
        <v>518119</v>
      </c>
      <c r="H756" s="282">
        <f>ROUND(Z65,0)</f>
        <v>2517</v>
      </c>
      <c r="I756" s="282">
        <f>ROUND(Z66,0)</f>
        <v>1501287</v>
      </c>
      <c r="J756" s="282">
        <f>ROUND(Z67,0)</f>
        <v>1241999</v>
      </c>
      <c r="K756" s="282">
        <f>ROUND(Z68,0)</f>
        <v>0</v>
      </c>
      <c r="L756" s="282">
        <f>ROUND(Z70,0)</f>
        <v>17409</v>
      </c>
      <c r="M756" s="282">
        <f>ROUND(Z71,0)</f>
        <v>8133401</v>
      </c>
      <c r="N756" s="282">
        <f>ROUND(Z76,0)</f>
        <v>16493</v>
      </c>
      <c r="O756" s="282">
        <f>ROUND(Z74,0)</f>
        <v>38516890</v>
      </c>
      <c r="P756" s="282">
        <f>IF(Z77&gt;0,ROUND(Z77,0),0)</f>
        <v>0</v>
      </c>
      <c r="Q756" s="282">
        <f>IF(Z78&gt;0,ROUND(Z78,0),0)</f>
        <v>2062</v>
      </c>
      <c r="R756" s="282">
        <f>IF(Z79&gt;0,ROUND(Z79,0),0)</f>
        <v>45209</v>
      </c>
      <c r="S756" s="282">
        <f>IF(Z80&gt;0,ROUND(Z80,0),0)</f>
        <v>4</v>
      </c>
      <c r="T756" s="285">
        <f>IF(Z81&gt;0,ROUND(Z81,2),0)</f>
        <v>0</v>
      </c>
      <c r="U756" s="282"/>
      <c r="X756" s="282"/>
      <c r="Y756" s="282"/>
      <c r="Z756" s="282">
        <f t="shared" si="22"/>
        <v>12884354</v>
      </c>
    </row>
    <row r="757" spans="1:26" ht="12.65" customHeight="1" x14ac:dyDescent="0.35">
      <c r="A757" s="209" t="str">
        <f>RIGHT($C$84,3)&amp;"*"&amp;RIGHT($C$83,4)&amp;"*"&amp;AA$55&amp;"*"&amp;"A"</f>
        <v xml:space="preserve"> #2*164*7160*A</v>
      </c>
      <c r="B757" s="282">
        <f>ROUND(AA59,0)</f>
        <v>13413</v>
      </c>
      <c r="C757" s="285">
        <f>ROUND(AA60,2)</f>
        <v>3.08</v>
      </c>
      <c r="D757" s="282">
        <f>ROUND(AA61,0)</f>
        <v>425187</v>
      </c>
      <c r="E757" s="282">
        <f>ROUND(AA62,0)</f>
        <v>79950</v>
      </c>
      <c r="F757" s="282">
        <f>ROUND(AA63,0)</f>
        <v>0</v>
      </c>
      <c r="G757" s="282">
        <f>ROUND(AA64,0)</f>
        <v>448641</v>
      </c>
      <c r="H757" s="282">
        <f>ROUND(AA65,0)</f>
        <v>0</v>
      </c>
      <c r="I757" s="282">
        <f>ROUND(AA66,0)</f>
        <v>99682</v>
      </c>
      <c r="J757" s="282">
        <f>ROUND(AA67,0)</f>
        <v>164491</v>
      </c>
      <c r="K757" s="282">
        <f>ROUND(AA68,0)</f>
        <v>0</v>
      </c>
      <c r="L757" s="282">
        <f>ROUND(AA70,0)</f>
        <v>0</v>
      </c>
      <c r="M757" s="282">
        <f>ROUND(AA71,0)</f>
        <v>1227813</v>
      </c>
      <c r="N757" s="282">
        <f>ROUND(AA76,0)</f>
        <v>1139</v>
      </c>
      <c r="O757" s="282">
        <f>ROUND(AA74,0)</f>
        <v>3610414</v>
      </c>
      <c r="P757" s="282">
        <f>IF(AA77&gt;0,ROUND(AA77,0),0)</f>
        <v>0</v>
      </c>
      <c r="Q757" s="282">
        <f>IF(AA78&gt;0,ROUND(AA78,0),0)</f>
        <v>142</v>
      </c>
      <c r="R757" s="282">
        <f>IF(AA79&gt;0,ROUND(AA79,0),0)</f>
        <v>0</v>
      </c>
      <c r="S757" s="282">
        <f>IF(AA80&gt;0,ROUND(AA80,0),0)</f>
        <v>0</v>
      </c>
      <c r="T757" s="285">
        <f>IF(AA81&gt;0,ROUND(AA81,2),0)</f>
        <v>0</v>
      </c>
      <c r="U757" s="282"/>
      <c r="X757" s="282"/>
      <c r="Y757" s="282"/>
      <c r="Z757" s="282">
        <f t="shared" si="22"/>
        <v>3157371</v>
      </c>
    </row>
    <row r="758" spans="1:26" ht="12.65" customHeight="1" x14ac:dyDescent="0.35">
      <c r="A758" s="209" t="str">
        <f>RIGHT($C$84,3)&amp;"*"&amp;RIGHT($C$83,4)&amp;"*"&amp;AB$55&amp;"*"&amp;"A"</f>
        <v xml:space="preserve"> #2*164*7170*A</v>
      </c>
      <c r="B758" s="282"/>
      <c r="C758" s="285">
        <f>ROUND(AB60,2)</f>
        <v>55.25</v>
      </c>
      <c r="D758" s="282">
        <f>ROUND(AB61,0)</f>
        <v>5952130</v>
      </c>
      <c r="E758" s="282">
        <f>ROUND(AB62,0)</f>
        <v>1361836</v>
      </c>
      <c r="F758" s="282">
        <f>ROUND(AB63,0)</f>
        <v>0</v>
      </c>
      <c r="G758" s="282">
        <f>ROUND(AB64,0)</f>
        <v>17314356</v>
      </c>
      <c r="H758" s="282">
        <f>ROUND(AB65,0)</f>
        <v>0</v>
      </c>
      <c r="I758" s="282">
        <f>ROUND(AB66,0)</f>
        <v>241603</v>
      </c>
      <c r="J758" s="282">
        <f>ROUND(AB67,0)</f>
        <v>223023</v>
      </c>
      <c r="K758" s="282">
        <f>ROUND(AB68,0)</f>
        <v>0</v>
      </c>
      <c r="L758" s="282">
        <f>ROUND(AB70,0)</f>
        <v>1518</v>
      </c>
      <c r="M758" s="282">
        <f>ROUND(AB71,0)</f>
        <v>25126454</v>
      </c>
      <c r="N758" s="282">
        <f>ROUND(AB76,0)</f>
        <v>7695</v>
      </c>
      <c r="O758" s="282">
        <f>ROUND(AB74,0)</f>
        <v>68859984</v>
      </c>
      <c r="P758" s="282">
        <f>IF(AB77&gt;0,ROUND(AB77,0),0)</f>
        <v>0</v>
      </c>
      <c r="Q758" s="282">
        <f>IF(AB78&gt;0,ROUND(AB78,0),0)</f>
        <v>962</v>
      </c>
      <c r="R758" s="282">
        <f>IF(AB79&gt;0,ROUND(AB79,0),0)</f>
        <v>0</v>
      </c>
      <c r="S758" s="282">
        <f>IF(AB80&gt;0,ROUND(AB80,0),0)</f>
        <v>0</v>
      </c>
      <c r="T758" s="285">
        <f>IF(AB81&gt;0,ROUND(AB81,2),0)</f>
        <v>0</v>
      </c>
      <c r="U758" s="282"/>
      <c r="X758" s="282"/>
      <c r="Y758" s="282"/>
      <c r="Z758" s="282">
        <f t="shared" si="22"/>
        <v>371133</v>
      </c>
    </row>
    <row r="759" spans="1:26" ht="12.65" customHeight="1" x14ac:dyDescent="0.35">
      <c r="A759" s="209" t="str">
        <f>RIGHT($C$84,3)&amp;"*"&amp;RIGHT($C$83,4)&amp;"*"&amp;AC$55&amp;"*"&amp;"A"</f>
        <v xml:space="preserve"> #2*164*7180*A</v>
      </c>
      <c r="B759" s="282">
        <f>ROUND(AC59,0)</f>
        <v>24457</v>
      </c>
      <c r="C759" s="285">
        <f>ROUND(AC60,2)</f>
        <v>28.68</v>
      </c>
      <c r="D759" s="282">
        <f>ROUND(AC61,0)</f>
        <v>2708296</v>
      </c>
      <c r="E759" s="282">
        <f>ROUND(AC62,0)</f>
        <v>580149</v>
      </c>
      <c r="F759" s="282">
        <f>ROUND(AC63,0)</f>
        <v>0</v>
      </c>
      <c r="G759" s="282">
        <f>ROUND(AC64,0)</f>
        <v>398576</v>
      </c>
      <c r="H759" s="282">
        <f>ROUND(AC65,0)</f>
        <v>0</v>
      </c>
      <c r="I759" s="282">
        <f>ROUND(AC66,0)</f>
        <v>7663</v>
      </c>
      <c r="J759" s="282">
        <f>ROUND(AC67,0)</f>
        <v>78846</v>
      </c>
      <c r="K759" s="282">
        <f>ROUND(AC68,0)</f>
        <v>474</v>
      </c>
      <c r="L759" s="282">
        <f>ROUND(AC70,0)</f>
        <v>0</v>
      </c>
      <c r="M759" s="282">
        <f>ROUND(AC71,0)</f>
        <v>3776362</v>
      </c>
      <c r="N759" s="282">
        <f>ROUND(AC76,0)</f>
        <v>2635</v>
      </c>
      <c r="O759" s="282">
        <f>ROUND(AC74,0)</f>
        <v>606808</v>
      </c>
      <c r="P759" s="282">
        <f>IF(AC77&gt;0,ROUND(AC77,0),0)</f>
        <v>0</v>
      </c>
      <c r="Q759" s="282">
        <f>IF(AC78&gt;0,ROUND(AC78,0),0)</f>
        <v>330</v>
      </c>
      <c r="R759" s="282">
        <f>IF(AC79&gt;0,ROUND(AC79,0),0)</f>
        <v>0</v>
      </c>
      <c r="S759" s="282">
        <f>IF(AC80&gt;0,ROUND(AC80,0),0)</f>
        <v>0</v>
      </c>
      <c r="T759" s="285">
        <f>IF(AC81&gt;0,ROUND(AC81,2),0)</f>
        <v>0</v>
      </c>
      <c r="U759" s="282"/>
      <c r="X759" s="282"/>
      <c r="Y759" s="282"/>
      <c r="Z759" s="282">
        <f t="shared" si="22"/>
        <v>9567539</v>
      </c>
    </row>
    <row r="760" spans="1:26" ht="12.65" customHeight="1" x14ac:dyDescent="0.35">
      <c r="A760" s="209" t="str">
        <f>RIGHT($C$84,3)&amp;"*"&amp;RIGHT($C$83,4)&amp;"*"&amp;AD$55&amp;"*"&amp;"A"</f>
        <v xml:space="preserve"> #2*164*7190*A</v>
      </c>
      <c r="B760" s="282">
        <f>ROUND(AD59,0)</f>
        <v>0</v>
      </c>
      <c r="C760" s="285">
        <f>ROUND(AD60,2)</f>
        <v>0</v>
      </c>
      <c r="D760" s="282">
        <f>ROUND(AD61,0)</f>
        <v>0</v>
      </c>
      <c r="E760" s="282">
        <f>ROUND(AD62,0)</f>
        <v>0</v>
      </c>
      <c r="F760" s="282">
        <f>ROUND(AD63,0)</f>
        <v>0</v>
      </c>
      <c r="G760" s="282">
        <f>ROUND(AD64,0)</f>
        <v>0</v>
      </c>
      <c r="H760" s="282">
        <f>ROUND(AD65,0)</f>
        <v>0</v>
      </c>
      <c r="I760" s="282">
        <f>ROUND(AD66,0)</f>
        <v>0</v>
      </c>
      <c r="J760" s="282">
        <f>ROUND(AD67,0)</f>
        <v>0</v>
      </c>
      <c r="K760" s="282">
        <f>ROUND(AD68,0)</f>
        <v>0</v>
      </c>
      <c r="L760" s="282">
        <f>ROUND(AD70,0)</f>
        <v>0</v>
      </c>
      <c r="M760" s="282">
        <f>ROUND(AD71,0)</f>
        <v>0</v>
      </c>
      <c r="N760" s="282">
        <f>ROUND(AD76,0)</f>
        <v>0</v>
      </c>
      <c r="O760" s="282">
        <f>ROUND(AD74,0)</f>
        <v>0</v>
      </c>
      <c r="P760" s="282">
        <f>IF(AD77&gt;0,ROUND(AD77,0),0)</f>
        <v>0</v>
      </c>
      <c r="Q760" s="282">
        <f>IF(AD78&gt;0,ROUND(AD78,0),0)</f>
        <v>0</v>
      </c>
      <c r="R760" s="282">
        <f>IF(AD79&gt;0,ROUND(AD79,0),0)</f>
        <v>0</v>
      </c>
      <c r="S760" s="282">
        <f>IF(AD80&gt;0,ROUND(AD80,0),0)</f>
        <v>0</v>
      </c>
      <c r="T760" s="285">
        <f>IF(AD81&gt;0,ROUND(AD81,2),0)</f>
        <v>0</v>
      </c>
      <c r="U760" s="282"/>
      <c r="X760" s="282"/>
      <c r="Y760" s="282"/>
      <c r="Z760" s="282">
        <f t="shared" si="22"/>
        <v>1444750</v>
      </c>
    </row>
    <row r="761" spans="1:26" ht="12.65" customHeight="1" x14ac:dyDescent="0.35">
      <c r="A761" s="209" t="str">
        <f>RIGHT($C$84,3)&amp;"*"&amp;RIGHT($C$83,4)&amp;"*"&amp;AE$55&amp;"*"&amp;"A"</f>
        <v xml:space="preserve"> #2*164*7200*A</v>
      </c>
      <c r="B761" s="282">
        <f>ROUND(AE59,0)</f>
        <v>72038</v>
      </c>
      <c r="C761" s="285">
        <f>ROUND(AE60,2)</f>
        <v>53.08</v>
      </c>
      <c r="D761" s="282">
        <f>ROUND(AE61,0)</f>
        <v>4613403</v>
      </c>
      <c r="E761" s="282">
        <f>ROUND(AE62,0)</f>
        <v>1233556</v>
      </c>
      <c r="F761" s="282">
        <f>ROUND(AE63,0)</f>
        <v>0</v>
      </c>
      <c r="G761" s="282">
        <f>ROUND(AE64,0)</f>
        <v>72766</v>
      </c>
      <c r="H761" s="282">
        <f>ROUND(AE65,0)</f>
        <v>4837</v>
      </c>
      <c r="I761" s="282">
        <f>ROUND(AE66,0)</f>
        <v>56057</v>
      </c>
      <c r="J761" s="282">
        <f>ROUND(AE67,0)</f>
        <v>190643</v>
      </c>
      <c r="K761" s="282">
        <f>ROUND(AE68,0)</f>
        <v>153572</v>
      </c>
      <c r="L761" s="282">
        <f>ROUND(AE70,0)</f>
        <v>4379</v>
      </c>
      <c r="M761" s="282">
        <f>ROUND(AE71,0)</f>
        <v>6331646</v>
      </c>
      <c r="N761" s="282">
        <f>ROUND(AE76,0)</f>
        <v>17259</v>
      </c>
      <c r="O761" s="282">
        <f>ROUND(AE74,0)</f>
        <v>15036713</v>
      </c>
      <c r="P761" s="282">
        <f>IF(AE77&gt;0,ROUND(AE77,0),0)</f>
        <v>0</v>
      </c>
      <c r="Q761" s="282">
        <f>IF(AE78&gt;0,ROUND(AE78,0),0)</f>
        <v>2192</v>
      </c>
      <c r="R761" s="282">
        <f>IF(AE79&gt;0,ROUND(AE79,0),0)</f>
        <v>0</v>
      </c>
      <c r="S761" s="282">
        <f>IF(AE80&gt;0,ROUND(AE80,0),0)</f>
        <v>0</v>
      </c>
      <c r="T761" s="285">
        <f>IF(AE81&gt;0,ROUND(AE81,2),0)</f>
        <v>0</v>
      </c>
      <c r="U761" s="282"/>
      <c r="X761" s="282"/>
      <c r="Y761" s="282"/>
      <c r="Z761" s="282">
        <f t="shared" si="22"/>
        <v>0</v>
      </c>
    </row>
    <row r="762" spans="1:26" ht="12.65" customHeight="1" x14ac:dyDescent="0.35">
      <c r="A762" s="209" t="str">
        <f>RIGHT($C$84,3)&amp;"*"&amp;RIGHT($C$83,4)&amp;"*"&amp;AF$55&amp;"*"&amp;"A"</f>
        <v xml:space="preserve"> #2*164*7220*A</v>
      </c>
      <c r="B762" s="282">
        <f>ROUND(AF59,0)</f>
        <v>0</v>
      </c>
      <c r="C762" s="285">
        <f>ROUND(AF60,2)</f>
        <v>0</v>
      </c>
      <c r="D762" s="282">
        <f>ROUND(AF61,0)</f>
        <v>0</v>
      </c>
      <c r="E762" s="282">
        <f>ROUND(AF62,0)</f>
        <v>0</v>
      </c>
      <c r="F762" s="282">
        <f>ROUND(AF63,0)</f>
        <v>0</v>
      </c>
      <c r="G762" s="282">
        <f>ROUND(AF64,0)</f>
        <v>0</v>
      </c>
      <c r="H762" s="282">
        <f>ROUND(AF65,0)</f>
        <v>0</v>
      </c>
      <c r="I762" s="282">
        <f>ROUND(AF66,0)</f>
        <v>0</v>
      </c>
      <c r="J762" s="282">
        <f>ROUND(AF67,0)</f>
        <v>0</v>
      </c>
      <c r="K762" s="282">
        <f>ROUND(AF68,0)</f>
        <v>0</v>
      </c>
      <c r="L762" s="282">
        <f>ROUND(AF70,0)</f>
        <v>0</v>
      </c>
      <c r="M762" s="282">
        <f>ROUND(AF71,0)</f>
        <v>0</v>
      </c>
      <c r="N762" s="282">
        <f>ROUND(AF76,0)</f>
        <v>0</v>
      </c>
      <c r="O762" s="282">
        <f>ROUND(AF74,0)</f>
        <v>0</v>
      </c>
      <c r="P762" s="282">
        <f>IF(AF77&gt;0,ROUND(AF77,0),0)</f>
        <v>0</v>
      </c>
      <c r="Q762" s="282">
        <f>IF(AF78&gt;0,ROUND(AF78,0),0)</f>
        <v>0</v>
      </c>
      <c r="R762" s="282">
        <f>IF(AF79&gt;0,ROUND(AF79,0),0)</f>
        <v>0</v>
      </c>
      <c r="S762" s="282">
        <f>IF(AF80&gt;0,ROUND(AF80,0),0)</f>
        <v>0</v>
      </c>
      <c r="T762" s="285">
        <f>IF(AF81&gt;0,ROUND(AF81,2),0)</f>
        <v>0</v>
      </c>
      <c r="U762" s="282"/>
      <c r="X762" s="282"/>
      <c r="Y762" s="282"/>
      <c r="Z762" s="282">
        <f t="shared" si="22"/>
        <v>2606454</v>
      </c>
    </row>
    <row r="763" spans="1:26" ht="12.65" customHeight="1" x14ac:dyDescent="0.35">
      <c r="A763" s="209" t="str">
        <f>RIGHT($C$84,3)&amp;"*"&amp;RIGHT($C$83,4)&amp;"*"&amp;AG$55&amp;"*"&amp;"A"</f>
        <v xml:space="preserve"> #2*164*7230*A</v>
      </c>
      <c r="B763" s="282">
        <f>ROUND(AG59,0)</f>
        <v>95286</v>
      </c>
      <c r="C763" s="285">
        <f>ROUND(AG60,2)</f>
        <v>105.21</v>
      </c>
      <c r="D763" s="282">
        <f>ROUND(AG61,0)</f>
        <v>9600024</v>
      </c>
      <c r="E763" s="282">
        <f>ROUND(AG62,0)</f>
        <v>2589663</v>
      </c>
      <c r="F763" s="282">
        <f>ROUND(AG63,0)</f>
        <v>660704</v>
      </c>
      <c r="G763" s="282">
        <f>ROUND(AG64,0)</f>
        <v>1499176</v>
      </c>
      <c r="H763" s="282">
        <f>ROUND(AG65,0)</f>
        <v>9630</v>
      </c>
      <c r="I763" s="282">
        <f>ROUND(AG66,0)</f>
        <v>590704</v>
      </c>
      <c r="J763" s="282">
        <f>ROUND(AG67,0)</f>
        <v>1055602</v>
      </c>
      <c r="K763" s="282">
        <f>ROUND(AG68,0)</f>
        <v>599099</v>
      </c>
      <c r="L763" s="282">
        <f>ROUND(AG70,0)</f>
        <v>4297</v>
      </c>
      <c r="M763" s="282">
        <f>ROUND(AG71,0)</f>
        <v>16616043</v>
      </c>
      <c r="N763" s="282">
        <f>ROUND(AG76,0)</f>
        <v>55060</v>
      </c>
      <c r="O763" s="282">
        <f>ROUND(AG74,0)</f>
        <v>112603488</v>
      </c>
      <c r="P763" s="282">
        <f>IF(AG77&gt;0,ROUND(AG77,0),0)</f>
        <v>3113</v>
      </c>
      <c r="Q763" s="282">
        <f>IF(AG78&gt;0,ROUND(AG78,0),0)</f>
        <v>6885</v>
      </c>
      <c r="R763" s="282">
        <f>IF(AG79&gt;0,ROUND(AG79,0),0)</f>
        <v>366846</v>
      </c>
      <c r="S763" s="282">
        <f>IF(AG80&gt;0,ROUND(AG80,0),0)</f>
        <v>63</v>
      </c>
      <c r="T763" s="285">
        <f>IF(AG81&gt;0,ROUND(AG81,2),0)</f>
        <v>0</v>
      </c>
      <c r="U763" s="282"/>
      <c r="X763" s="282"/>
      <c r="Y763" s="282"/>
      <c r="Z763" s="282">
        <f t="shared" si="22"/>
        <v>0</v>
      </c>
    </row>
    <row r="764" spans="1:26" ht="12.65" customHeight="1" x14ac:dyDescent="0.35">
      <c r="A764" s="209" t="str">
        <f>RIGHT($C$84,3)&amp;"*"&amp;RIGHT($C$83,4)&amp;"*"&amp;AH$55&amp;"*"&amp;"A"</f>
        <v xml:space="preserve"> #2*164*7240*A</v>
      </c>
      <c r="B764" s="282">
        <f>ROUND(AH59,0)</f>
        <v>0</v>
      </c>
      <c r="C764" s="285">
        <f>ROUND(AH60,2)</f>
        <v>0</v>
      </c>
      <c r="D764" s="282">
        <f>ROUND(AH61,0)</f>
        <v>0</v>
      </c>
      <c r="E764" s="282">
        <f>ROUND(AH62,0)</f>
        <v>0</v>
      </c>
      <c r="F764" s="282">
        <f>ROUND(AH63,0)</f>
        <v>0</v>
      </c>
      <c r="G764" s="282">
        <f>ROUND(AH64,0)</f>
        <v>0</v>
      </c>
      <c r="H764" s="282">
        <f>ROUND(AH65,0)</f>
        <v>0</v>
      </c>
      <c r="I764" s="282">
        <f>ROUND(AH66,0)</f>
        <v>0</v>
      </c>
      <c r="J764" s="282">
        <f>ROUND(AH67,0)</f>
        <v>0</v>
      </c>
      <c r="K764" s="282">
        <f>ROUND(AH68,0)</f>
        <v>0</v>
      </c>
      <c r="L764" s="282">
        <f>ROUND(AH70,0)</f>
        <v>0</v>
      </c>
      <c r="M764" s="282">
        <f>ROUND(AH71,0)</f>
        <v>0</v>
      </c>
      <c r="N764" s="282">
        <f>ROUND(AH76,0)</f>
        <v>0</v>
      </c>
      <c r="O764" s="282">
        <f>ROUND(AH74,0)</f>
        <v>0</v>
      </c>
      <c r="P764" s="282">
        <f>IF(AH77&gt;0,ROUND(AH77,0),0)</f>
        <v>0</v>
      </c>
      <c r="Q764" s="282">
        <f>IF(AH78&gt;0,ROUND(AH78,0),0)</f>
        <v>0</v>
      </c>
      <c r="R764" s="282">
        <f>IF(AH79&gt;0,ROUND(AH79,0),0)</f>
        <v>0</v>
      </c>
      <c r="S764" s="282">
        <f>IF(AH80&gt;0,ROUND(AH80,0),0)</f>
        <v>0</v>
      </c>
      <c r="T764" s="285">
        <f>IF(AH81&gt;0,ROUND(AH81,2),0)</f>
        <v>0</v>
      </c>
      <c r="U764" s="282"/>
      <c r="X764" s="282"/>
      <c r="Y764" s="282"/>
      <c r="Z764" s="282">
        <f t="shared" si="22"/>
        <v>11449844</v>
      </c>
    </row>
    <row r="765" spans="1:26" ht="12.65" customHeight="1" x14ac:dyDescent="0.35">
      <c r="A765" s="209" t="str">
        <f>RIGHT($C$84,3)&amp;"*"&amp;RIGHT($C$83,4)&amp;"*"&amp;AI$55&amp;"*"&amp;"A"</f>
        <v xml:space="preserve"> #2*164*7250*A</v>
      </c>
      <c r="B765" s="282">
        <f>ROUND(AI59,0)</f>
        <v>0</v>
      </c>
      <c r="C765" s="285">
        <f>ROUND(AI60,2)</f>
        <v>0</v>
      </c>
      <c r="D765" s="282">
        <f>ROUND(AI61,0)</f>
        <v>0</v>
      </c>
      <c r="E765" s="282">
        <f>ROUND(AI62,0)</f>
        <v>0</v>
      </c>
      <c r="F765" s="282">
        <f>ROUND(AI63,0)</f>
        <v>0</v>
      </c>
      <c r="G765" s="282">
        <f>ROUND(AI64,0)</f>
        <v>0</v>
      </c>
      <c r="H765" s="282">
        <f>ROUND(AI65,0)</f>
        <v>0</v>
      </c>
      <c r="I765" s="282">
        <f>ROUND(AI66,0)</f>
        <v>0</v>
      </c>
      <c r="J765" s="282">
        <f>ROUND(AI67,0)</f>
        <v>0</v>
      </c>
      <c r="K765" s="282">
        <f>ROUND(AI68,0)</f>
        <v>0</v>
      </c>
      <c r="L765" s="282">
        <f>ROUND(AI70,0)</f>
        <v>0</v>
      </c>
      <c r="M765" s="282">
        <f>ROUND(AI71,0)</f>
        <v>0</v>
      </c>
      <c r="N765" s="282">
        <f>ROUND(AI76,0)</f>
        <v>0</v>
      </c>
      <c r="O765" s="282">
        <f>ROUND(AI74,0)</f>
        <v>0</v>
      </c>
      <c r="P765" s="282">
        <f>IF(AI77&gt;0,ROUND(AI77,0),0)</f>
        <v>0</v>
      </c>
      <c r="Q765" s="282">
        <f>IF(AI78&gt;0,ROUND(AI78,0),0)</f>
        <v>0</v>
      </c>
      <c r="R765" s="282">
        <f>IF(AI79&gt;0,ROUND(AI79,0),0)</f>
        <v>0</v>
      </c>
      <c r="S765" s="282">
        <f>IF(AI80&gt;0,ROUND(AI80,0),0)</f>
        <v>0</v>
      </c>
      <c r="T765" s="285">
        <f>IF(AI81&gt;0,ROUND(AI81,2),0)</f>
        <v>0</v>
      </c>
      <c r="U765" s="282"/>
      <c r="X765" s="282"/>
      <c r="Y765" s="282"/>
      <c r="Z765" s="282">
        <f t="shared" si="22"/>
        <v>0</v>
      </c>
    </row>
    <row r="766" spans="1:26" ht="12.65" customHeight="1" x14ac:dyDescent="0.35">
      <c r="A766" s="209" t="str">
        <f>RIGHT($C$84,3)&amp;"*"&amp;RIGHT($C$83,4)&amp;"*"&amp;AJ$55&amp;"*"&amp;"A"</f>
        <v xml:space="preserve"> #2*164*7260*A</v>
      </c>
      <c r="B766" s="282">
        <f>ROUND(AJ59,0)</f>
        <v>249762</v>
      </c>
      <c r="C766" s="285">
        <f>ROUND(AJ60,2)</f>
        <v>452.11</v>
      </c>
      <c r="D766" s="282">
        <f>ROUND(AJ61,0)</f>
        <v>67040973</v>
      </c>
      <c r="E766" s="282">
        <f>ROUND(AJ62,0)</f>
        <v>13459316</v>
      </c>
      <c r="F766" s="282">
        <f>ROUND(AJ63,0)</f>
        <v>1695805</v>
      </c>
      <c r="G766" s="282">
        <f>ROUND(AJ64,0)</f>
        <v>5053280</v>
      </c>
      <c r="H766" s="282">
        <f>ROUND(AJ65,0)</f>
        <v>82660</v>
      </c>
      <c r="I766" s="282">
        <f>ROUND(AJ66,0)</f>
        <v>1065091</v>
      </c>
      <c r="J766" s="282">
        <f>ROUND(AJ67,0)</f>
        <v>3170361</v>
      </c>
      <c r="K766" s="282">
        <f>ROUND(AJ68,0)</f>
        <v>136053</v>
      </c>
      <c r="L766" s="282">
        <f>ROUND(AJ70,0)</f>
        <v>3669979</v>
      </c>
      <c r="M766" s="282">
        <f>ROUND(AJ71,0)</f>
        <v>89150309</v>
      </c>
      <c r="N766" s="282">
        <f>ROUND(AJ76,0)</f>
        <v>144637</v>
      </c>
      <c r="O766" s="282">
        <f>ROUND(AJ74,0)</f>
        <v>142159013</v>
      </c>
      <c r="P766" s="282">
        <f>IF(AJ77&gt;0,ROUND(AJ77,0),0)</f>
        <v>0</v>
      </c>
      <c r="Q766" s="282">
        <f>IF(AJ78&gt;0,ROUND(AJ78,0),0)</f>
        <v>18087</v>
      </c>
      <c r="R766" s="282">
        <f>IF(AJ79&gt;0,ROUND(AJ79,0),0)</f>
        <v>76047</v>
      </c>
      <c r="S766" s="282">
        <f>IF(AJ80&gt;0,ROUND(AJ80,0),0)</f>
        <v>49</v>
      </c>
      <c r="T766" s="285">
        <f>IF(AJ81&gt;0,ROUND(AJ81,2),0)</f>
        <v>0</v>
      </c>
      <c r="U766" s="282"/>
      <c r="X766" s="282"/>
      <c r="Y766" s="282"/>
      <c r="Z766" s="282">
        <f t="shared" si="22"/>
        <v>0</v>
      </c>
    </row>
    <row r="767" spans="1:26" ht="12.65" customHeight="1" x14ac:dyDescent="0.35">
      <c r="A767" s="209" t="str">
        <f>RIGHT($C$84,3)&amp;"*"&amp;RIGHT($C$83,4)&amp;"*"&amp;AK$55&amp;"*"&amp;"A"</f>
        <v xml:space="preserve"> #2*164*7310*A</v>
      </c>
      <c r="B767" s="282">
        <f>ROUND(AK59,0)</f>
        <v>0</v>
      </c>
      <c r="C767" s="285">
        <f>ROUND(AK60,2)</f>
        <v>0</v>
      </c>
      <c r="D767" s="282">
        <f>ROUND(AK61,0)</f>
        <v>0</v>
      </c>
      <c r="E767" s="282">
        <f>ROUND(AK62,0)</f>
        <v>0</v>
      </c>
      <c r="F767" s="282">
        <f>ROUND(AK63,0)</f>
        <v>0</v>
      </c>
      <c r="G767" s="282">
        <f>ROUND(AK64,0)</f>
        <v>0</v>
      </c>
      <c r="H767" s="282">
        <f>ROUND(AK65,0)</f>
        <v>0</v>
      </c>
      <c r="I767" s="282">
        <f>ROUND(AK66,0)</f>
        <v>0</v>
      </c>
      <c r="J767" s="282">
        <f>ROUND(AK67,0)</f>
        <v>0</v>
      </c>
      <c r="K767" s="282">
        <f>ROUND(AK68,0)</f>
        <v>0</v>
      </c>
      <c r="L767" s="282">
        <f>ROUND(AK70,0)</f>
        <v>0</v>
      </c>
      <c r="M767" s="282">
        <f>ROUND(AK71,0)</f>
        <v>0</v>
      </c>
      <c r="N767" s="282">
        <f>ROUND(AK76,0)</f>
        <v>0</v>
      </c>
      <c r="O767" s="282">
        <f>ROUND(AK74,0)</f>
        <v>0</v>
      </c>
      <c r="P767" s="282">
        <f>IF(AK77&gt;0,ROUND(AK77,0),0)</f>
        <v>0</v>
      </c>
      <c r="Q767" s="282">
        <f>IF(AK78&gt;0,ROUND(AK78,0),0)</f>
        <v>0</v>
      </c>
      <c r="R767" s="282">
        <f>IF(AK79&gt;0,ROUND(AK79,0),0)</f>
        <v>0</v>
      </c>
      <c r="S767" s="282">
        <f>IF(AK80&gt;0,ROUND(AK80,0),0)</f>
        <v>0</v>
      </c>
      <c r="T767" s="285">
        <f>IF(AK81&gt;0,ROUND(AK81,2),0)</f>
        <v>0</v>
      </c>
      <c r="U767" s="282"/>
      <c r="X767" s="282"/>
      <c r="Y767" s="282"/>
      <c r="Z767" s="282">
        <f t="shared" si="22"/>
        <v>21030675</v>
      </c>
    </row>
    <row r="768" spans="1:26" ht="12.65" customHeight="1" x14ac:dyDescent="0.35">
      <c r="A768" s="209" t="str">
        <f>RIGHT($C$84,3)&amp;"*"&amp;RIGHT($C$83,4)&amp;"*"&amp;AL$55&amp;"*"&amp;"A"</f>
        <v xml:space="preserve"> #2*164*7320*A</v>
      </c>
      <c r="B768" s="282">
        <f>ROUND(AL59,0)</f>
        <v>0</v>
      </c>
      <c r="C768" s="285">
        <f>ROUND(AL60,2)</f>
        <v>0</v>
      </c>
      <c r="D768" s="282">
        <f>ROUND(AL61,0)</f>
        <v>0</v>
      </c>
      <c r="E768" s="282">
        <f>ROUND(AL62,0)</f>
        <v>0</v>
      </c>
      <c r="F768" s="282">
        <f>ROUND(AL63,0)</f>
        <v>0</v>
      </c>
      <c r="G768" s="282">
        <f>ROUND(AL64,0)</f>
        <v>0</v>
      </c>
      <c r="H768" s="282">
        <f>ROUND(AL65,0)</f>
        <v>0</v>
      </c>
      <c r="I768" s="282">
        <f>ROUND(AL66,0)</f>
        <v>0</v>
      </c>
      <c r="J768" s="282">
        <f>ROUND(AL67,0)</f>
        <v>0</v>
      </c>
      <c r="K768" s="282">
        <f>ROUND(AL68,0)</f>
        <v>0</v>
      </c>
      <c r="L768" s="282">
        <f>ROUND(AL70,0)</f>
        <v>0</v>
      </c>
      <c r="M768" s="282">
        <f>ROUND(AL71,0)</f>
        <v>0</v>
      </c>
      <c r="N768" s="282">
        <f>ROUND(AL76,0)</f>
        <v>0</v>
      </c>
      <c r="O768" s="282">
        <f>ROUND(AL74,0)</f>
        <v>0</v>
      </c>
      <c r="P768" s="282">
        <f>IF(AL77&gt;0,ROUND(AL77,0),0)</f>
        <v>0</v>
      </c>
      <c r="Q768" s="282">
        <f>IF(AL78&gt;0,ROUND(AL78,0),0)</f>
        <v>0</v>
      </c>
      <c r="R768" s="282">
        <f>IF(AL79&gt;0,ROUND(AL79,0),0)</f>
        <v>0</v>
      </c>
      <c r="S768" s="282">
        <f>IF(AL80&gt;0,ROUND(AL80,0),0)</f>
        <v>0</v>
      </c>
      <c r="T768" s="285">
        <f>IF(AL81&gt;0,ROUND(AL81,2),0)</f>
        <v>0</v>
      </c>
      <c r="U768" s="282"/>
      <c r="X768" s="282"/>
      <c r="Y768" s="282"/>
      <c r="Z768" s="282">
        <f t="shared" si="22"/>
        <v>0</v>
      </c>
    </row>
    <row r="769" spans="1:26" ht="12.65" customHeight="1" x14ac:dyDescent="0.35">
      <c r="A769" s="209" t="str">
        <f>RIGHT($C$84,3)&amp;"*"&amp;RIGHT($C$83,4)&amp;"*"&amp;AM$55&amp;"*"&amp;"A"</f>
        <v xml:space="preserve"> #2*164*7330*A</v>
      </c>
      <c r="B769" s="282">
        <f>ROUND(AM59,0)</f>
        <v>0</v>
      </c>
      <c r="C769" s="285">
        <f>ROUND(AM60,2)</f>
        <v>0</v>
      </c>
      <c r="D769" s="282">
        <f>ROUND(AM61,0)</f>
        <v>0</v>
      </c>
      <c r="E769" s="282">
        <f>ROUND(AM62,0)</f>
        <v>0</v>
      </c>
      <c r="F769" s="282">
        <f>ROUND(AM63,0)</f>
        <v>0</v>
      </c>
      <c r="G769" s="282">
        <f>ROUND(AM64,0)</f>
        <v>0</v>
      </c>
      <c r="H769" s="282">
        <f>ROUND(AM65,0)</f>
        <v>0</v>
      </c>
      <c r="I769" s="282">
        <f>ROUND(AM66,0)</f>
        <v>0</v>
      </c>
      <c r="J769" s="282">
        <f>ROUND(AM67,0)</f>
        <v>0</v>
      </c>
      <c r="K769" s="282">
        <f>ROUND(AM68,0)</f>
        <v>0</v>
      </c>
      <c r="L769" s="282">
        <f>ROUND(AM70,0)</f>
        <v>0</v>
      </c>
      <c r="M769" s="282">
        <f>ROUND(AM71,0)</f>
        <v>0</v>
      </c>
      <c r="N769" s="282">
        <f>ROUND(AM76,0)</f>
        <v>0</v>
      </c>
      <c r="O769" s="282">
        <f>ROUND(AM74,0)</f>
        <v>0</v>
      </c>
      <c r="P769" s="282">
        <f>IF(AM77&gt;0,ROUND(AM77,0),0)</f>
        <v>0</v>
      </c>
      <c r="Q769" s="282">
        <f>IF(AM78&gt;0,ROUND(AM78,0),0)</f>
        <v>0</v>
      </c>
      <c r="R769" s="282">
        <f>IF(AM79&gt;0,ROUND(AM79,0),0)</f>
        <v>0</v>
      </c>
      <c r="S769" s="282">
        <f>IF(AM80&gt;0,ROUND(AM80,0),0)</f>
        <v>0</v>
      </c>
      <c r="T769" s="285">
        <f>IF(AM81&gt;0,ROUND(AM81,2),0)</f>
        <v>0</v>
      </c>
      <c r="U769" s="282"/>
      <c r="X769" s="282"/>
      <c r="Y769" s="282"/>
      <c r="Z769" s="282">
        <f t="shared" si="22"/>
        <v>0</v>
      </c>
    </row>
    <row r="770" spans="1:26" ht="12.65" customHeight="1" x14ac:dyDescent="0.35">
      <c r="A770" s="209" t="str">
        <f>RIGHT($C$84,3)&amp;"*"&amp;RIGHT($C$83,4)&amp;"*"&amp;AN$55&amp;"*"&amp;"A"</f>
        <v xml:space="preserve"> #2*164*7340*A</v>
      </c>
      <c r="B770" s="282">
        <f>ROUND(AN59,0)</f>
        <v>0</v>
      </c>
      <c r="C770" s="285">
        <f>ROUND(AN60,2)</f>
        <v>0</v>
      </c>
      <c r="D770" s="282">
        <f>ROUND(AN61,0)</f>
        <v>0</v>
      </c>
      <c r="E770" s="282">
        <f>ROUND(AN62,0)</f>
        <v>0</v>
      </c>
      <c r="F770" s="282">
        <f>ROUND(AN63,0)</f>
        <v>0</v>
      </c>
      <c r="G770" s="282">
        <f>ROUND(AN64,0)</f>
        <v>0</v>
      </c>
      <c r="H770" s="282">
        <f>ROUND(AN65,0)</f>
        <v>0</v>
      </c>
      <c r="I770" s="282">
        <f>ROUND(AN66,0)</f>
        <v>0</v>
      </c>
      <c r="J770" s="282">
        <f>ROUND(AN67,0)</f>
        <v>0</v>
      </c>
      <c r="K770" s="282">
        <f>ROUND(AN68,0)</f>
        <v>0</v>
      </c>
      <c r="L770" s="282">
        <f>ROUND(AN70,0)</f>
        <v>0</v>
      </c>
      <c r="M770" s="282">
        <f>ROUND(AN71,0)</f>
        <v>0</v>
      </c>
      <c r="N770" s="282">
        <f>ROUND(AN76,0)</f>
        <v>0</v>
      </c>
      <c r="O770" s="282">
        <f>ROUND(AN74,0)</f>
        <v>0</v>
      </c>
      <c r="P770" s="282">
        <f>IF(AN77&gt;0,ROUND(AN77,0),0)</f>
        <v>0</v>
      </c>
      <c r="Q770" s="282">
        <f>IF(AN78&gt;0,ROUND(AN78,0),0)</f>
        <v>0</v>
      </c>
      <c r="R770" s="282">
        <f>IF(AN79&gt;0,ROUND(AN79,0),0)</f>
        <v>0</v>
      </c>
      <c r="S770" s="282">
        <f>IF(AN80&gt;0,ROUND(AN80,0),0)</f>
        <v>0</v>
      </c>
      <c r="T770" s="285">
        <f>IF(AN81&gt;0,ROUND(AN81,2),0)</f>
        <v>0</v>
      </c>
      <c r="U770" s="282"/>
      <c r="X770" s="282"/>
      <c r="Y770" s="282"/>
      <c r="Z770" s="282">
        <f t="shared" si="22"/>
        <v>0</v>
      </c>
    </row>
    <row r="771" spans="1:26" ht="12.65" customHeight="1" x14ac:dyDescent="0.35">
      <c r="A771" s="209" t="str">
        <f>RIGHT($C$84,3)&amp;"*"&amp;RIGHT($C$83,4)&amp;"*"&amp;AO$55&amp;"*"&amp;"A"</f>
        <v xml:space="preserve"> #2*164*7350*A</v>
      </c>
      <c r="B771" s="282">
        <f>ROUND(AO59,0)</f>
        <v>0</v>
      </c>
      <c r="C771" s="285">
        <f>ROUND(AO60,2)</f>
        <v>0</v>
      </c>
      <c r="D771" s="282">
        <f>ROUND(AO61,0)</f>
        <v>0</v>
      </c>
      <c r="E771" s="282">
        <f>ROUND(AO62,0)</f>
        <v>0</v>
      </c>
      <c r="F771" s="282">
        <f>ROUND(AO63,0)</f>
        <v>0</v>
      </c>
      <c r="G771" s="282">
        <f>ROUND(AO64,0)</f>
        <v>0</v>
      </c>
      <c r="H771" s="282">
        <f>ROUND(AO65,0)</f>
        <v>0</v>
      </c>
      <c r="I771" s="282">
        <f>ROUND(AO66,0)</f>
        <v>0</v>
      </c>
      <c r="J771" s="282">
        <f>ROUND(AO67,0)</f>
        <v>0</v>
      </c>
      <c r="K771" s="282">
        <f>ROUND(AO68,0)</f>
        <v>0</v>
      </c>
      <c r="L771" s="282">
        <f>ROUND(AO70,0)</f>
        <v>0</v>
      </c>
      <c r="M771" s="282">
        <f>ROUND(AO71,0)</f>
        <v>0</v>
      </c>
      <c r="N771" s="282">
        <f>ROUND(AO76,0)</f>
        <v>0</v>
      </c>
      <c r="O771" s="282">
        <f>ROUND(AO74,0)</f>
        <v>0</v>
      </c>
      <c r="P771" s="282">
        <f>IF(AO77&gt;0,ROUND(AO77,0),0)</f>
        <v>0</v>
      </c>
      <c r="Q771" s="282">
        <f>IF(AO78&gt;0,ROUND(AO78,0),0)</f>
        <v>0</v>
      </c>
      <c r="R771" s="282">
        <f>IF(AO79&gt;0,ROUND(AO79,0),0)</f>
        <v>0</v>
      </c>
      <c r="S771" s="282">
        <f>IF(AO80&gt;0,ROUND(AO80,0),0)</f>
        <v>0</v>
      </c>
      <c r="T771" s="285">
        <f>IF(AO81&gt;0,ROUND(AO81,2),0)</f>
        <v>0</v>
      </c>
      <c r="U771" s="282"/>
      <c r="X771" s="282"/>
      <c r="Y771" s="282"/>
      <c r="Z771" s="282">
        <f t="shared" si="22"/>
        <v>0</v>
      </c>
    </row>
    <row r="772" spans="1:26" ht="12.65" customHeight="1" x14ac:dyDescent="0.35">
      <c r="A772" s="209" t="str">
        <f>RIGHT($C$84,3)&amp;"*"&amp;RIGHT($C$83,4)&amp;"*"&amp;AP$55&amp;"*"&amp;"A"</f>
        <v xml:space="preserve"> #2*164*7380*A</v>
      </c>
      <c r="B772" s="282">
        <f>ROUND(AP59,0)</f>
        <v>330570</v>
      </c>
      <c r="C772" s="285">
        <f>ROUND(AP60,2)</f>
        <v>375.67</v>
      </c>
      <c r="D772" s="282">
        <f>ROUND(AP61,0)</f>
        <v>44273580</v>
      </c>
      <c r="E772" s="282">
        <f>ROUND(AP62,0)</f>
        <v>9838403</v>
      </c>
      <c r="F772" s="282">
        <f>ROUND(AP63,0)</f>
        <v>4827935</v>
      </c>
      <c r="G772" s="282">
        <f>ROUND(AP64,0)</f>
        <v>5393143</v>
      </c>
      <c r="H772" s="282">
        <f>ROUND(AP65,0)</f>
        <v>173866</v>
      </c>
      <c r="I772" s="282">
        <f>ROUND(AP66,0)</f>
        <v>1522407</v>
      </c>
      <c r="J772" s="282">
        <f>ROUND(AP67,0)</f>
        <v>3097009</v>
      </c>
      <c r="K772" s="282">
        <f>ROUND(AP68,0)</f>
        <v>6244110</v>
      </c>
      <c r="L772" s="282">
        <f>ROUND(AP70,0)</f>
        <v>3285153</v>
      </c>
      <c r="M772" s="282">
        <f>ROUND(AP71,0)</f>
        <v>73089663</v>
      </c>
      <c r="N772" s="282">
        <f>ROUND(AP76,0)</f>
        <v>45968</v>
      </c>
      <c r="O772" s="282">
        <f>ROUND(AP74,0)</f>
        <v>109486875</v>
      </c>
      <c r="P772" s="282">
        <f>IF(AP77&gt;0,ROUND(AP77,0),0)</f>
        <v>0</v>
      </c>
      <c r="Q772" s="282">
        <f>IF(AP78&gt;0,ROUND(AP78,0),0)</f>
        <v>5748</v>
      </c>
      <c r="R772" s="282">
        <f>IF(AP79&gt;0,ROUND(AP79,0),0)</f>
        <v>0</v>
      </c>
      <c r="S772" s="282">
        <f>IF(AP80&gt;0,ROUND(AP80,0),0)</f>
        <v>14</v>
      </c>
      <c r="T772" s="285">
        <f>IF(AP81&gt;0,ROUND(AP81,2),0)</f>
        <v>0</v>
      </c>
      <c r="U772" s="282"/>
      <c r="X772" s="282"/>
      <c r="Y772" s="282"/>
      <c r="Z772" s="282">
        <f t="shared" si="22"/>
        <v>0</v>
      </c>
    </row>
    <row r="773" spans="1:26" ht="12.65" customHeight="1" x14ac:dyDescent="0.35">
      <c r="A773" s="209" t="str">
        <f>RIGHT($C$84,3)&amp;"*"&amp;RIGHT($C$83,4)&amp;"*"&amp;AQ$55&amp;"*"&amp;"A"</f>
        <v xml:space="preserve"> #2*164*7390*A</v>
      </c>
      <c r="B773" s="282">
        <f>ROUND(AQ59,0)</f>
        <v>0</v>
      </c>
      <c r="C773" s="285">
        <f>ROUND(AQ60,2)</f>
        <v>0</v>
      </c>
      <c r="D773" s="282">
        <f>ROUND(AQ61,0)</f>
        <v>0</v>
      </c>
      <c r="E773" s="282">
        <f>ROUND(AQ62,0)</f>
        <v>0</v>
      </c>
      <c r="F773" s="282">
        <f>ROUND(AQ63,0)</f>
        <v>0</v>
      </c>
      <c r="G773" s="282">
        <f>ROUND(AQ64,0)</f>
        <v>0</v>
      </c>
      <c r="H773" s="282">
        <f>ROUND(AQ65,0)</f>
        <v>0</v>
      </c>
      <c r="I773" s="282">
        <f>ROUND(AQ66,0)</f>
        <v>0</v>
      </c>
      <c r="J773" s="282">
        <f>ROUND(AQ67,0)</f>
        <v>0</v>
      </c>
      <c r="K773" s="282">
        <f>ROUND(AQ68,0)</f>
        <v>0</v>
      </c>
      <c r="L773" s="282">
        <f>ROUND(AQ70,0)</f>
        <v>0</v>
      </c>
      <c r="M773" s="282">
        <f>ROUND(AQ71,0)</f>
        <v>0</v>
      </c>
      <c r="N773" s="282">
        <f>ROUND(AQ76,0)</f>
        <v>0</v>
      </c>
      <c r="O773" s="282">
        <f>ROUND(AQ74,0)</f>
        <v>0</v>
      </c>
      <c r="P773" s="282">
        <f>IF(AQ77&gt;0,ROUND(AQ77,0),0)</f>
        <v>0</v>
      </c>
      <c r="Q773" s="282">
        <f>IF(AQ78&gt;0,ROUND(AQ78,0),0)</f>
        <v>0</v>
      </c>
      <c r="R773" s="282">
        <f>IF(AQ79&gt;0,ROUND(AQ79,0),0)</f>
        <v>0</v>
      </c>
      <c r="S773" s="282">
        <f>IF(AQ80&gt;0,ROUND(AQ80,0),0)</f>
        <v>0</v>
      </c>
      <c r="T773" s="285">
        <f>IF(AQ81&gt;0,ROUND(AQ81,2),0)</f>
        <v>0</v>
      </c>
      <c r="U773" s="282"/>
      <c r="X773" s="282"/>
      <c r="Y773" s="282"/>
      <c r="Z773" s="282">
        <f t="shared" si="22"/>
        <v>13348925</v>
      </c>
    </row>
    <row r="774" spans="1:26" ht="12.65" customHeight="1" x14ac:dyDescent="0.35">
      <c r="A774" s="209" t="str">
        <f>RIGHT($C$84,3)&amp;"*"&amp;RIGHT($C$83,4)&amp;"*"&amp;AR$55&amp;"*"&amp;"A"</f>
        <v xml:space="preserve"> #2*164*7400*A</v>
      </c>
      <c r="B774" s="282">
        <f>ROUND(AR59,0)</f>
        <v>0</v>
      </c>
      <c r="C774" s="285">
        <f>ROUND(AR60,2)</f>
        <v>439.44</v>
      </c>
      <c r="D774" s="282">
        <f>ROUND(AR61,0)</f>
        <v>44696481</v>
      </c>
      <c r="E774" s="282">
        <f>ROUND(AR62,0)</f>
        <v>11259535</v>
      </c>
      <c r="F774" s="282">
        <f>ROUND(AR63,0)</f>
        <v>40240</v>
      </c>
      <c r="G774" s="282">
        <f>ROUND(AR64,0)</f>
        <v>3499469</v>
      </c>
      <c r="H774" s="282">
        <f>ROUND(AR65,0)</f>
        <v>288709</v>
      </c>
      <c r="I774" s="282">
        <f>ROUND(AR66,0)</f>
        <v>3248872</v>
      </c>
      <c r="J774" s="282">
        <f>ROUND(AR67,0)</f>
        <v>97941</v>
      </c>
      <c r="K774" s="282">
        <f>ROUND(AR68,0)</f>
        <v>1424789</v>
      </c>
      <c r="L774" s="282">
        <f>ROUND(AR70,0)</f>
        <v>72191</v>
      </c>
      <c r="M774" s="282">
        <f>ROUND(AR71,0)</f>
        <v>65774181</v>
      </c>
      <c r="N774" s="282">
        <f>ROUND(AR76,0)</f>
        <v>0</v>
      </c>
      <c r="O774" s="282">
        <f>ROUND(AR74,0)</f>
        <v>129888231</v>
      </c>
      <c r="P774" s="282">
        <f>IF(AR77&gt;0,ROUND(AR77,0),0)</f>
        <v>0</v>
      </c>
      <c r="Q774" s="282">
        <f>IF(AR78&gt;0,ROUND(AR78,0),0)</f>
        <v>0</v>
      </c>
      <c r="R774" s="282">
        <f>IF(AR79&gt;0,ROUND(AR79,0),0)</f>
        <v>0</v>
      </c>
      <c r="S774" s="282">
        <f>IF(AR80&gt;0,ROUND(AR80,0),0)</f>
        <v>165</v>
      </c>
      <c r="T774" s="285">
        <f>IF(AR81&gt;0,ROUND(AR81,2),0)</f>
        <v>0</v>
      </c>
      <c r="U774" s="282"/>
      <c r="X774" s="282"/>
      <c r="Y774" s="282"/>
      <c r="Z774" s="282">
        <f t="shared" si="22"/>
        <v>0</v>
      </c>
    </row>
    <row r="775" spans="1:26" ht="12.65" customHeight="1" x14ac:dyDescent="0.35">
      <c r="A775" s="209" t="str">
        <f>RIGHT($C$84,3)&amp;"*"&amp;RIGHT($C$83,4)&amp;"*"&amp;AS$55&amp;"*"&amp;"A"</f>
        <v xml:space="preserve"> #2*164*7410*A</v>
      </c>
      <c r="B775" s="282">
        <f>ROUND(AS59,0)</f>
        <v>0</v>
      </c>
      <c r="C775" s="285">
        <f>ROUND(AS60,2)</f>
        <v>0</v>
      </c>
      <c r="D775" s="282">
        <f>ROUND(AS61,0)</f>
        <v>0</v>
      </c>
      <c r="E775" s="282">
        <f>ROUND(AS62,0)</f>
        <v>0</v>
      </c>
      <c r="F775" s="282">
        <f>ROUND(AS63,0)</f>
        <v>0</v>
      </c>
      <c r="G775" s="282">
        <f>ROUND(AS64,0)</f>
        <v>0</v>
      </c>
      <c r="H775" s="282">
        <f>ROUND(AS65,0)</f>
        <v>0</v>
      </c>
      <c r="I775" s="282">
        <f>ROUND(AS66,0)</f>
        <v>0</v>
      </c>
      <c r="J775" s="282">
        <f>ROUND(AS67,0)</f>
        <v>0</v>
      </c>
      <c r="K775" s="282">
        <f>ROUND(AS68,0)</f>
        <v>0</v>
      </c>
      <c r="L775" s="282">
        <f>ROUND(AS70,0)</f>
        <v>0</v>
      </c>
      <c r="M775" s="282">
        <f>ROUND(AS71,0)</f>
        <v>0</v>
      </c>
      <c r="N775" s="282">
        <f>ROUND(AS76,0)</f>
        <v>0</v>
      </c>
      <c r="O775" s="282">
        <f>ROUND(AS74,0)</f>
        <v>0</v>
      </c>
      <c r="P775" s="282">
        <f>IF(AS77&gt;0,ROUND(AS77,0),0)</f>
        <v>0</v>
      </c>
      <c r="Q775" s="282">
        <f>IF(AS78&gt;0,ROUND(AS78,0),0)</f>
        <v>0</v>
      </c>
      <c r="R775" s="282">
        <f>IF(AS79&gt;0,ROUND(AS79,0),0)</f>
        <v>0</v>
      </c>
      <c r="S775" s="282">
        <f>IF(AS80&gt;0,ROUND(AS80,0),0)</f>
        <v>0</v>
      </c>
      <c r="T775" s="285">
        <f>IF(AS81&gt;0,ROUND(AS81,2),0)</f>
        <v>0</v>
      </c>
      <c r="U775" s="282"/>
      <c r="X775" s="282"/>
      <c r="Y775" s="282"/>
      <c r="Z775" s="282">
        <f t="shared" si="22"/>
        <v>14152200</v>
      </c>
    </row>
    <row r="776" spans="1:26" ht="12.65" customHeight="1" x14ac:dyDescent="0.35">
      <c r="A776" s="209" t="str">
        <f>RIGHT($C$84,3)&amp;"*"&amp;RIGHT($C$83,4)&amp;"*"&amp;AT$55&amp;"*"&amp;"A"</f>
        <v xml:space="preserve"> #2*164*7420*A</v>
      </c>
      <c r="B776" s="282">
        <f>ROUND(AT59,0)</f>
        <v>0</v>
      </c>
      <c r="C776" s="285">
        <f>ROUND(AT60,2)</f>
        <v>0</v>
      </c>
      <c r="D776" s="282">
        <f>ROUND(AT61,0)</f>
        <v>0</v>
      </c>
      <c r="E776" s="282">
        <f>ROUND(AT62,0)</f>
        <v>0</v>
      </c>
      <c r="F776" s="282">
        <f>ROUND(AT63,0)</f>
        <v>0</v>
      </c>
      <c r="G776" s="282">
        <f>ROUND(AT64,0)</f>
        <v>0</v>
      </c>
      <c r="H776" s="282">
        <f>ROUND(AT65,0)</f>
        <v>0</v>
      </c>
      <c r="I776" s="282">
        <f>ROUND(AT66,0)</f>
        <v>0</v>
      </c>
      <c r="J776" s="282">
        <f>ROUND(AT67,0)</f>
        <v>0</v>
      </c>
      <c r="K776" s="282">
        <f>ROUND(AT68,0)</f>
        <v>0</v>
      </c>
      <c r="L776" s="282">
        <f>ROUND(AT70,0)</f>
        <v>0</v>
      </c>
      <c r="M776" s="282">
        <f>ROUND(AT71,0)</f>
        <v>0</v>
      </c>
      <c r="N776" s="282">
        <f>ROUND(AT76,0)</f>
        <v>0</v>
      </c>
      <c r="O776" s="282">
        <f>ROUND(AT74,0)</f>
        <v>0</v>
      </c>
      <c r="P776" s="282">
        <f>IF(AT77&gt;0,ROUND(AT77,0),0)</f>
        <v>0</v>
      </c>
      <c r="Q776" s="282">
        <f>IF(AT78&gt;0,ROUND(AT78,0),0)</f>
        <v>0</v>
      </c>
      <c r="R776" s="282">
        <f>IF(AT79&gt;0,ROUND(AT79,0),0)</f>
        <v>0</v>
      </c>
      <c r="S776" s="282">
        <f>IF(AT80&gt;0,ROUND(AT80,0),0)</f>
        <v>0</v>
      </c>
      <c r="T776" s="285">
        <f>IF(AT81&gt;0,ROUND(AT81,2),0)</f>
        <v>0</v>
      </c>
      <c r="U776" s="282"/>
      <c r="X776" s="282"/>
      <c r="Y776" s="282"/>
      <c r="Z776" s="282">
        <f t="shared" si="22"/>
        <v>0</v>
      </c>
    </row>
    <row r="777" spans="1:26" ht="12.65" customHeight="1" x14ac:dyDescent="0.35">
      <c r="A777" s="209" t="str">
        <f>RIGHT($C$84,3)&amp;"*"&amp;RIGHT($C$83,4)&amp;"*"&amp;AU$55&amp;"*"&amp;"A"</f>
        <v xml:space="preserve"> #2*164*7430*A</v>
      </c>
      <c r="B777" s="282">
        <f>ROUND(AU59,0)</f>
        <v>0</v>
      </c>
      <c r="C777" s="285">
        <f>ROUND(AU60,2)</f>
        <v>0</v>
      </c>
      <c r="D777" s="282">
        <f>ROUND(AU61,0)</f>
        <v>0</v>
      </c>
      <c r="E777" s="282">
        <f>ROUND(AU62,0)</f>
        <v>0</v>
      </c>
      <c r="F777" s="282">
        <f>ROUND(AU63,0)</f>
        <v>0</v>
      </c>
      <c r="G777" s="282">
        <f>ROUND(AU64,0)</f>
        <v>0</v>
      </c>
      <c r="H777" s="282">
        <f>ROUND(AU65,0)</f>
        <v>0</v>
      </c>
      <c r="I777" s="282">
        <f>ROUND(AU66,0)</f>
        <v>0</v>
      </c>
      <c r="J777" s="282">
        <f>ROUND(AU67,0)</f>
        <v>0</v>
      </c>
      <c r="K777" s="282">
        <f>ROUND(AU68,0)</f>
        <v>0</v>
      </c>
      <c r="L777" s="282">
        <f>ROUND(AU70,0)</f>
        <v>0</v>
      </c>
      <c r="M777" s="282">
        <f>ROUND(AU71,0)</f>
        <v>0</v>
      </c>
      <c r="N777" s="282">
        <f>ROUND(AU76,0)</f>
        <v>0</v>
      </c>
      <c r="O777" s="282">
        <f>ROUND(AU74,0)</f>
        <v>0</v>
      </c>
      <c r="P777" s="282">
        <f>IF(AU77&gt;0,ROUND(AU77,0),0)</f>
        <v>0</v>
      </c>
      <c r="Q777" s="282">
        <f>IF(AU78&gt;0,ROUND(AU78,0),0)</f>
        <v>0</v>
      </c>
      <c r="R777" s="282">
        <f>IF(AU79&gt;0,ROUND(AU79,0),0)</f>
        <v>0</v>
      </c>
      <c r="S777" s="282">
        <f>IF(AU80&gt;0,ROUND(AU80,0),0)</f>
        <v>0</v>
      </c>
      <c r="T777" s="285">
        <f>IF(AU81&gt;0,ROUND(AU81,2),0)</f>
        <v>0</v>
      </c>
      <c r="U777" s="282"/>
      <c r="X777" s="282"/>
      <c r="Y777" s="282"/>
      <c r="Z777" s="282">
        <f t="shared" si="22"/>
        <v>0</v>
      </c>
    </row>
    <row r="778" spans="1:26" ht="12.65" customHeight="1" x14ac:dyDescent="0.35">
      <c r="A778" s="209" t="str">
        <f>RIGHT($C$84,3)&amp;"*"&amp;RIGHT($C$83,4)&amp;"*"&amp;AV$55&amp;"*"&amp;"A"</f>
        <v xml:space="preserve"> #2*164*7490*A</v>
      </c>
      <c r="B778" s="282"/>
      <c r="C778" s="285">
        <f>ROUND(AV60,2)</f>
        <v>22.17</v>
      </c>
      <c r="D778" s="282">
        <f>ROUND(AV61,0)</f>
        <v>2334743</v>
      </c>
      <c r="E778" s="282">
        <f>ROUND(AV62,0)</f>
        <v>569248</v>
      </c>
      <c r="F778" s="282">
        <f>ROUND(AV63,0)</f>
        <v>0</v>
      </c>
      <c r="G778" s="282">
        <f>ROUND(AV64,0)</f>
        <v>6246387</v>
      </c>
      <c r="H778" s="282">
        <f>ROUND(AV65,0)</f>
        <v>5106</v>
      </c>
      <c r="I778" s="282">
        <f>ROUND(AV66,0)</f>
        <v>328818</v>
      </c>
      <c r="J778" s="282">
        <f>ROUND(AV67,0)</f>
        <v>228823</v>
      </c>
      <c r="K778" s="282">
        <f>ROUND(AV68,0)</f>
        <v>0</v>
      </c>
      <c r="L778" s="282">
        <f>ROUND(AV70,0)</f>
        <v>6046951</v>
      </c>
      <c r="M778" s="282">
        <f>ROUND(AV71,0)</f>
        <v>3680391</v>
      </c>
      <c r="N778" s="282">
        <f>ROUND(AV76,0)</f>
        <v>13135</v>
      </c>
      <c r="O778" s="282">
        <f>ROUND(AV74,0)</f>
        <v>8202734</v>
      </c>
      <c r="P778" s="282">
        <f>IF(AV77&gt;0,ROUND(AV77,0),0)</f>
        <v>0</v>
      </c>
      <c r="Q778" s="282">
        <f>IF(AV78&gt;0,ROUND(AV78,0),0)</f>
        <v>1642</v>
      </c>
      <c r="R778" s="282">
        <f>IF(AV79&gt;0,ROUND(AV79,0),0)</f>
        <v>38998</v>
      </c>
      <c r="S778" s="282">
        <f>IF(AV80&gt;0,ROUND(AV80,0),0)</f>
        <v>76</v>
      </c>
      <c r="T778" s="285">
        <f>IF(AV81&gt;0,ROUND(AV81,2),0)</f>
        <v>0</v>
      </c>
      <c r="U778" s="282"/>
      <c r="X778" s="282"/>
      <c r="Y778" s="282"/>
      <c r="Z778" s="282">
        <f t="shared" si="22"/>
        <v>0</v>
      </c>
    </row>
    <row r="779" spans="1:26" ht="12.65" customHeight="1" x14ac:dyDescent="0.35">
      <c r="A779" s="209" t="str">
        <f>RIGHT($C$84,3)&amp;"*"&amp;RIGHT($C$83,4)&amp;"*"&amp;AW$55&amp;"*"&amp;"A"</f>
        <v xml:space="preserve"> #2*164*8200*A</v>
      </c>
      <c r="B779" s="282"/>
      <c r="C779" s="285">
        <f>ROUND(AW60,2)</f>
        <v>16.86</v>
      </c>
      <c r="D779" s="282">
        <f>ROUND(AW61,0)</f>
        <v>1239469</v>
      </c>
      <c r="E779" s="282">
        <f>ROUND(AW62,0)</f>
        <v>267100</v>
      </c>
      <c r="F779" s="282">
        <f>ROUND(AW63,0)</f>
        <v>660692</v>
      </c>
      <c r="G779" s="282">
        <f>ROUND(AW64,0)</f>
        <v>38567</v>
      </c>
      <c r="H779" s="282">
        <f>ROUND(AW65,0)</f>
        <v>165</v>
      </c>
      <c r="I779" s="282">
        <f>ROUND(AW66,0)</f>
        <v>82642</v>
      </c>
      <c r="J779" s="282">
        <f>ROUND(AW67,0)</f>
        <v>26637</v>
      </c>
      <c r="K779" s="282">
        <f>ROUND(AW68,0)</f>
        <v>0</v>
      </c>
      <c r="L779" s="282">
        <f>ROUND(AW70,0)</f>
        <v>3917310</v>
      </c>
      <c r="M779" s="282">
        <f>ROUND(AW71,0)</f>
        <v>-1520587</v>
      </c>
      <c r="N779" s="282"/>
      <c r="O779" s="282"/>
      <c r="P779" s="282">
        <f>IF(AW77&gt;0,ROUND(AW77,0),0)</f>
        <v>0</v>
      </c>
      <c r="Q779" s="282">
        <f>IF(AW78&gt;0,ROUND(AW78,0),0)</f>
        <v>489</v>
      </c>
      <c r="R779" s="282">
        <f>IF(AW79&gt;0,ROUND(AW79,0),0)</f>
        <v>0</v>
      </c>
      <c r="S779" s="282">
        <f>IF(AW80&gt;0,ROUND(AW80,0),0)</f>
        <v>0</v>
      </c>
      <c r="T779" s="285">
        <f>IF(AW81&gt;0,ROUND(AW81,2),0)</f>
        <v>0</v>
      </c>
      <c r="U779" s="282"/>
      <c r="X779" s="282"/>
      <c r="Y779" s="282"/>
      <c r="Z779" s="282"/>
    </row>
    <row r="780" spans="1:26" ht="12.65" customHeight="1" x14ac:dyDescent="0.35">
      <c r="A780" s="209" t="str">
        <f>RIGHT($C$84,3)&amp;"*"&amp;RIGHT($C$83,4)&amp;"*"&amp;AX$55&amp;"*"&amp;"A"</f>
        <v xml:space="preserve"> #2*164*8310*A</v>
      </c>
      <c r="B780" s="282"/>
      <c r="C780" s="285">
        <f>ROUND(AX60,2)</f>
        <v>0</v>
      </c>
      <c r="D780" s="282">
        <f>ROUND(AX61,0)</f>
        <v>0</v>
      </c>
      <c r="E780" s="282">
        <f>ROUND(AX62,0)</f>
        <v>0</v>
      </c>
      <c r="F780" s="282">
        <f>ROUND(AX63,0)</f>
        <v>0</v>
      </c>
      <c r="G780" s="282">
        <f>ROUND(AX64,0)</f>
        <v>378796</v>
      </c>
      <c r="H780" s="282">
        <f>ROUND(AX65,0)</f>
        <v>7181</v>
      </c>
      <c r="I780" s="282">
        <f>ROUND(AX66,0)</f>
        <v>2793883</v>
      </c>
      <c r="J780" s="282">
        <f>ROUND(AX67,0)</f>
        <v>0</v>
      </c>
      <c r="K780" s="282">
        <f>ROUND(AX68,0)</f>
        <v>1829845</v>
      </c>
      <c r="L780" s="282">
        <f>ROUND(AX70,0)</f>
        <v>0</v>
      </c>
      <c r="M780" s="282">
        <f>ROUND(AX71,0)</f>
        <v>5028772</v>
      </c>
      <c r="N780" s="282"/>
      <c r="O780" s="282"/>
      <c r="P780" s="282">
        <f>IF(AX77&gt;0,ROUND(AX77,0),0)</f>
        <v>0</v>
      </c>
      <c r="Q780" s="282">
        <f>IF(AX78&gt;0,ROUND(AX78,0),0)</f>
        <v>0</v>
      </c>
      <c r="R780" s="282">
        <f>IF(AX79&gt;0,ROUND(AX79,0),0)</f>
        <v>0</v>
      </c>
      <c r="S780" s="282">
        <f>IF(AX80&gt;0,ROUND(AX80,0),0)</f>
        <v>0</v>
      </c>
      <c r="T780" s="285">
        <f>IF(AX81&gt;0,ROUND(AX81,2),0)</f>
        <v>0</v>
      </c>
      <c r="U780" s="282"/>
      <c r="X780" s="282"/>
      <c r="Y780" s="282"/>
      <c r="Z780" s="282"/>
    </row>
    <row r="781" spans="1:26" ht="12.65" customHeight="1" x14ac:dyDescent="0.35">
      <c r="A781" s="209" t="str">
        <f>RIGHT($C$84,3)&amp;"*"&amp;RIGHT($C$83,4)&amp;"*"&amp;AY$55&amp;"*"&amp;"A"</f>
        <v xml:space="preserve"> #2*164*8320*A</v>
      </c>
      <c r="B781" s="282">
        <f>ROUND(AY59,0)</f>
        <v>0</v>
      </c>
      <c r="C781" s="285">
        <f>ROUND(AY60,2)</f>
        <v>0</v>
      </c>
      <c r="D781" s="282">
        <f>ROUND(AY61,0)</f>
        <v>0</v>
      </c>
      <c r="E781" s="282">
        <f>ROUND(AY62,0)</f>
        <v>0</v>
      </c>
      <c r="F781" s="282">
        <f>ROUND(AY63,0)</f>
        <v>0</v>
      </c>
      <c r="G781" s="282">
        <f>ROUND(AY64,0)</f>
        <v>0</v>
      </c>
      <c r="H781" s="282">
        <f>ROUND(AY65,0)</f>
        <v>0</v>
      </c>
      <c r="I781" s="282">
        <f>ROUND(AY66,0)</f>
        <v>0</v>
      </c>
      <c r="J781" s="282">
        <f>ROUND(AY67,0)</f>
        <v>0</v>
      </c>
      <c r="K781" s="282">
        <f>ROUND(AY68,0)</f>
        <v>0</v>
      </c>
      <c r="L781" s="282">
        <f>ROUND(AY70,0)</f>
        <v>0</v>
      </c>
      <c r="M781" s="282">
        <f>ROUND(AY71,0)</f>
        <v>0</v>
      </c>
      <c r="N781" s="282"/>
      <c r="O781" s="282"/>
      <c r="P781" s="282">
        <f>IF(AY77&gt;0,ROUND(AY77,0),0)</f>
        <v>0</v>
      </c>
      <c r="Q781" s="282">
        <f>IF(AY78&gt;0,ROUND(AY78,0),0)</f>
        <v>0</v>
      </c>
      <c r="R781" s="282">
        <f>IF(AY79&gt;0,ROUND(AY79,0),0)</f>
        <v>0</v>
      </c>
      <c r="S781" s="282">
        <f>IF(AY80&gt;0,ROUND(AY80,0),0)</f>
        <v>0</v>
      </c>
      <c r="T781" s="285">
        <f>IF(AY81&gt;0,ROUND(AY81,2),0)</f>
        <v>0</v>
      </c>
      <c r="U781" s="282"/>
      <c r="X781" s="282"/>
      <c r="Y781" s="282"/>
      <c r="Z781" s="282"/>
    </row>
    <row r="782" spans="1:26" ht="12.65" customHeight="1" x14ac:dyDescent="0.35">
      <c r="A782" s="209" t="str">
        <f>RIGHT($C$84,3)&amp;"*"&amp;RIGHT($C$83,4)&amp;"*"&amp;AZ$55&amp;"*"&amp;"A"</f>
        <v xml:space="preserve"> #2*164*8330*A</v>
      </c>
      <c r="B782" s="282">
        <f>ROUND(AZ59,0)</f>
        <v>721632</v>
      </c>
      <c r="C782" s="285">
        <f>ROUND(AZ60,2)</f>
        <v>58.68</v>
      </c>
      <c r="D782" s="282">
        <f>ROUND(AZ61,0)</f>
        <v>2787298</v>
      </c>
      <c r="E782" s="282">
        <f>ROUND(AZ62,0)</f>
        <v>959884</v>
      </c>
      <c r="F782" s="282">
        <f>ROUND(AZ63,0)</f>
        <v>0</v>
      </c>
      <c r="G782" s="282">
        <f>ROUND(AZ64,0)</f>
        <v>1647785</v>
      </c>
      <c r="H782" s="282">
        <f>ROUND(AZ65,0)</f>
        <v>0</v>
      </c>
      <c r="I782" s="282">
        <f>ROUND(AZ66,0)</f>
        <v>171410</v>
      </c>
      <c r="J782" s="282">
        <f>ROUND(AZ67,0)</f>
        <v>777133</v>
      </c>
      <c r="K782" s="282">
        <f>ROUND(AZ68,0)</f>
        <v>8447</v>
      </c>
      <c r="L782" s="282">
        <f>ROUND(AZ70,0)</f>
        <v>1442909</v>
      </c>
      <c r="M782" s="282">
        <f>ROUND(AZ71,0)</f>
        <v>4909692</v>
      </c>
      <c r="N782" s="282"/>
      <c r="O782" s="282"/>
      <c r="P782" s="282">
        <f>IF(AZ77&gt;0,ROUND(AZ77,0),0)</f>
        <v>0</v>
      </c>
      <c r="Q782" s="282">
        <f>IF(AZ78&gt;0,ROUND(AZ78,0),0)</f>
        <v>0</v>
      </c>
      <c r="R782" s="282">
        <f>IF(AZ79&gt;0,ROUND(AZ79,0),0)</f>
        <v>0</v>
      </c>
      <c r="S782" s="282">
        <f>IF(AZ80&gt;0,ROUND(AZ80,0),0)</f>
        <v>0</v>
      </c>
      <c r="T782" s="285">
        <f>IF(AZ81&gt;0,ROUND(AZ81,2),0)</f>
        <v>0</v>
      </c>
      <c r="U782" s="282"/>
      <c r="X782" s="282"/>
      <c r="Y782" s="282"/>
      <c r="Z782" s="282"/>
    </row>
    <row r="783" spans="1:26" ht="12.65" customHeight="1" x14ac:dyDescent="0.35">
      <c r="A783" s="209" t="str">
        <f>RIGHT($C$84,3)&amp;"*"&amp;RIGHT($C$83,4)&amp;"*"&amp;BA$55&amp;"*"&amp;"A"</f>
        <v xml:space="preserve"> #2*164*8350*A</v>
      </c>
      <c r="B783" s="282">
        <f>ROUND(BA59,0)</f>
        <v>0</v>
      </c>
      <c r="C783" s="285">
        <f>ROUND(BA60,2)</f>
        <v>5.17</v>
      </c>
      <c r="D783" s="282">
        <f>ROUND(BA61,0)</f>
        <v>240539</v>
      </c>
      <c r="E783" s="282">
        <f>ROUND(BA62,0)</f>
        <v>99160</v>
      </c>
      <c r="F783" s="282">
        <f>ROUND(BA63,0)</f>
        <v>0</v>
      </c>
      <c r="G783" s="282">
        <f>ROUND(BA64,0)</f>
        <v>20446</v>
      </c>
      <c r="H783" s="282">
        <f>ROUND(BA65,0)</f>
        <v>0</v>
      </c>
      <c r="I783" s="282">
        <f>ROUND(BA66,0)</f>
        <v>1349</v>
      </c>
      <c r="J783" s="282">
        <f>ROUND(BA67,0)</f>
        <v>7348</v>
      </c>
      <c r="K783" s="282">
        <f>ROUND(BA68,0)</f>
        <v>0</v>
      </c>
      <c r="L783" s="282">
        <f>ROUND(BA70,0)</f>
        <v>0</v>
      </c>
      <c r="M783" s="282">
        <f>ROUND(BA71,0)</f>
        <v>368843</v>
      </c>
      <c r="N783" s="282"/>
      <c r="O783" s="282"/>
      <c r="P783" s="282">
        <f>IF(BA77&gt;0,ROUND(BA77,0),0)</f>
        <v>0</v>
      </c>
      <c r="Q783" s="282">
        <f>IF(BA78&gt;0,ROUND(BA78,0),0)</f>
        <v>449</v>
      </c>
      <c r="R783" s="282">
        <f>IF(BA79&gt;0,ROUND(BA79,0),0)</f>
        <v>0</v>
      </c>
      <c r="S783" s="282">
        <f>IF(BA80&gt;0,ROUND(BA80,0),0)</f>
        <v>0</v>
      </c>
      <c r="T783" s="285">
        <f>IF(BA81&gt;0,ROUND(BA81,2),0)</f>
        <v>0</v>
      </c>
      <c r="U783" s="282"/>
      <c r="X783" s="282"/>
      <c r="Y783" s="282"/>
      <c r="Z783" s="282"/>
    </row>
    <row r="784" spans="1:26" ht="12.65" customHeight="1" x14ac:dyDescent="0.35">
      <c r="A784" s="209" t="str">
        <f>RIGHT($C$84,3)&amp;"*"&amp;RIGHT($C$83,4)&amp;"*"&amp;BB$55&amp;"*"&amp;"A"</f>
        <v xml:space="preserve"> #2*164*8360*A</v>
      </c>
      <c r="B784" s="282"/>
      <c r="C784" s="285">
        <f>ROUND(BB60,2)</f>
        <v>0</v>
      </c>
      <c r="D784" s="282">
        <f>ROUND(BB61,0)</f>
        <v>0</v>
      </c>
      <c r="E784" s="282">
        <f>ROUND(BB62,0)</f>
        <v>0</v>
      </c>
      <c r="F784" s="282">
        <f>ROUND(BB63,0)</f>
        <v>0</v>
      </c>
      <c r="G784" s="282">
        <f>ROUND(BB64,0)</f>
        <v>0</v>
      </c>
      <c r="H784" s="282">
        <f>ROUND(BB65,0)</f>
        <v>0</v>
      </c>
      <c r="I784" s="282">
        <f>ROUND(BB66,0)</f>
        <v>227840</v>
      </c>
      <c r="J784" s="282">
        <f>ROUND(BB67,0)</f>
        <v>0</v>
      </c>
      <c r="K784" s="282">
        <f>ROUND(BB68,0)</f>
        <v>0</v>
      </c>
      <c r="L784" s="282">
        <f>ROUND(BB70,0)</f>
        <v>0</v>
      </c>
      <c r="M784" s="282">
        <f>ROUND(BB71,0)</f>
        <v>227840</v>
      </c>
      <c r="N784" s="282"/>
      <c r="O784" s="282"/>
      <c r="P784" s="282">
        <f>IF(BB77&gt;0,ROUND(BB77,0),0)</f>
        <v>0</v>
      </c>
      <c r="Q784" s="282">
        <f>IF(BB78&gt;0,ROUND(BB78,0),0)</f>
        <v>0</v>
      </c>
      <c r="R784" s="282">
        <f>IF(BB79&gt;0,ROUND(BB79,0),0)</f>
        <v>0</v>
      </c>
      <c r="S784" s="282">
        <f>IF(BB80&gt;0,ROUND(BB80,0),0)</f>
        <v>0</v>
      </c>
      <c r="T784" s="285">
        <f>IF(BB81&gt;0,ROUND(BB81,2),0)</f>
        <v>0</v>
      </c>
      <c r="U784" s="282"/>
      <c r="X784" s="282"/>
      <c r="Y784" s="282"/>
      <c r="Z784" s="282"/>
    </row>
    <row r="785" spans="1:26" ht="12.65" customHeight="1" x14ac:dyDescent="0.35">
      <c r="A785" s="209" t="str">
        <f>RIGHT($C$84,3)&amp;"*"&amp;RIGHT($C$83,4)&amp;"*"&amp;BC$55&amp;"*"&amp;"A"</f>
        <v xml:space="preserve"> #2*164*8370*A</v>
      </c>
      <c r="B785" s="282"/>
      <c r="C785" s="285">
        <f>ROUND(BC60,2)</f>
        <v>5.86</v>
      </c>
      <c r="D785" s="282">
        <f>ROUND(BC61,0)</f>
        <v>262418</v>
      </c>
      <c r="E785" s="282">
        <f>ROUND(BC62,0)</f>
        <v>62755</v>
      </c>
      <c r="F785" s="282">
        <f>ROUND(BC63,0)</f>
        <v>0</v>
      </c>
      <c r="G785" s="282">
        <f>ROUND(BC64,0)</f>
        <v>652</v>
      </c>
      <c r="H785" s="282">
        <f>ROUND(BC65,0)</f>
        <v>0</v>
      </c>
      <c r="I785" s="282">
        <f>ROUND(BC66,0)</f>
        <v>52</v>
      </c>
      <c r="J785" s="282">
        <f>ROUND(BC67,0)</f>
        <v>16371</v>
      </c>
      <c r="K785" s="282">
        <f>ROUND(BC68,0)</f>
        <v>0</v>
      </c>
      <c r="L785" s="282">
        <f>ROUND(BC70,0)</f>
        <v>0</v>
      </c>
      <c r="M785" s="282">
        <f>ROUND(BC71,0)</f>
        <v>342609</v>
      </c>
      <c r="N785" s="282"/>
      <c r="O785" s="282"/>
      <c r="P785" s="282">
        <f>IF(BC77&gt;0,ROUND(BC77,0),0)</f>
        <v>0</v>
      </c>
      <c r="Q785" s="282">
        <f>IF(BC78&gt;0,ROUND(BC78,0),0)</f>
        <v>0</v>
      </c>
      <c r="R785" s="282">
        <f>IF(BC79&gt;0,ROUND(BC79,0),0)</f>
        <v>0</v>
      </c>
      <c r="S785" s="282">
        <f>IF(BC80&gt;0,ROUND(BC80,0),0)</f>
        <v>0</v>
      </c>
      <c r="T785" s="285">
        <f>IF(BC81&gt;0,ROUND(BC81,2),0)</f>
        <v>0</v>
      </c>
      <c r="U785" s="282"/>
      <c r="X785" s="282"/>
      <c r="Y785" s="282"/>
      <c r="Z785" s="282"/>
    </row>
    <row r="786" spans="1:26" ht="12.65" customHeight="1" x14ac:dyDescent="0.35">
      <c r="A786" s="209" t="str">
        <f>RIGHT($C$84,3)&amp;"*"&amp;RIGHT($C$83,4)&amp;"*"&amp;BD$55&amp;"*"&amp;"A"</f>
        <v xml:space="preserve"> #2*164*8420*A</v>
      </c>
      <c r="B786" s="282"/>
      <c r="C786" s="285">
        <f>ROUND(BD60,2)</f>
        <v>34.770000000000003</v>
      </c>
      <c r="D786" s="282">
        <f>ROUND(BD61,0)</f>
        <v>2157936</v>
      </c>
      <c r="E786" s="282">
        <f>ROUND(BD62,0)</f>
        <v>670298</v>
      </c>
      <c r="F786" s="282">
        <f>ROUND(BD63,0)</f>
        <v>0</v>
      </c>
      <c r="G786" s="282">
        <f>ROUND(BD64,0)</f>
        <v>34754</v>
      </c>
      <c r="H786" s="282">
        <f>ROUND(BD65,0)</f>
        <v>334</v>
      </c>
      <c r="I786" s="282">
        <f>ROUND(BD66,0)</f>
        <v>15679</v>
      </c>
      <c r="J786" s="282">
        <f>ROUND(BD67,0)</f>
        <v>75348</v>
      </c>
      <c r="K786" s="282">
        <f>ROUND(BD68,0)</f>
        <v>0</v>
      </c>
      <c r="L786" s="282">
        <f>ROUND(BD70,0)</f>
        <v>7</v>
      </c>
      <c r="M786" s="282">
        <f>ROUND(BD71,0)</f>
        <v>3185816</v>
      </c>
      <c r="N786" s="282"/>
      <c r="O786" s="282"/>
      <c r="P786" s="282">
        <f>IF(BD77&gt;0,ROUND(BD77,0),0)</f>
        <v>0</v>
      </c>
      <c r="Q786" s="282">
        <f>IF(BD78&gt;0,ROUND(BD78,0),0)</f>
        <v>0</v>
      </c>
      <c r="R786" s="282">
        <f>IF(BD79&gt;0,ROUND(BD79,0),0)</f>
        <v>0</v>
      </c>
      <c r="S786" s="282">
        <f>IF(BD80&gt;0,ROUND(BD80,0),0)</f>
        <v>0</v>
      </c>
      <c r="T786" s="285">
        <f>IF(BD81&gt;0,ROUND(BD81,2),0)</f>
        <v>0</v>
      </c>
      <c r="U786" s="282"/>
      <c r="X786" s="282"/>
      <c r="Y786" s="282"/>
      <c r="Z786" s="282"/>
    </row>
    <row r="787" spans="1:26" ht="12.65" customHeight="1" x14ac:dyDescent="0.35">
      <c r="A787" s="209" t="str">
        <f>RIGHT($C$84,3)&amp;"*"&amp;RIGHT($C$83,4)&amp;"*"&amp;BE$55&amp;"*"&amp;"A"</f>
        <v xml:space="preserve"> #2*164*8430*A</v>
      </c>
      <c r="B787" s="282">
        <f>ROUND(BE59,0)</f>
        <v>679195</v>
      </c>
      <c r="C787" s="285">
        <f>ROUND(BE60,2)</f>
        <v>49.53</v>
      </c>
      <c r="D787" s="282">
        <f>ROUND(BE61,0)</f>
        <v>3463629</v>
      </c>
      <c r="E787" s="282">
        <f>ROUND(BE62,0)</f>
        <v>972365</v>
      </c>
      <c r="F787" s="282">
        <f>ROUND(BE63,0)</f>
        <v>0</v>
      </c>
      <c r="G787" s="282">
        <f>ROUND(BE64,0)</f>
        <v>754460</v>
      </c>
      <c r="H787" s="282">
        <f>ROUND(BE65,0)</f>
        <v>3913308</v>
      </c>
      <c r="I787" s="282">
        <f>ROUND(BE66,0)</f>
        <v>2709894</v>
      </c>
      <c r="J787" s="282">
        <f>ROUND(BE67,0)</f>
        <v>6227962</v>
      </c>
      <c r="K787" s="282">
        <f>ROUND(BE68,0)</f>
        <v>2955909</v>
      </c>
      <c r="L787" s="282">
        <f>ROUND(BE70,0)</f>
        <v>6737497</v>
      </c>
      <c r="M787" s="282">
        <f>ROUND(BE71,0)</f>
        <v>14451946</v>
      </c>
      <c r="N787" s="282"/>
      <c r="O787" s="282"/>
      <c r="P787" s="282">
        <f>IF(BE77&gt;0,ROUND(BE77,0),0)</f>
        <v>0</v>
      </c>
      <c r="Q787" s="282">
        <f>IF(BE78&gt;0,ROUND(BE78,0),0)</f>
        <v>0</v>
      </c>
      <c r="R787" s="282">
        <f>IF(BE79&gt;0,ROUND(BE79,0),0)</f>
        <v>0</v>
      </c>
      <c r="S787" s="282">
        <f>IF(BE80&gt;0,ROUND(BE80,0),0)</f>
        <v>0</v>
      </c>
      <c r="T787" s="285">
        <f>IF(BE81&gt;0,ROUND(BE81,2),0)</f>
        <v>0</v>
      </c>
      <c r="U787" s="282"/>
      <c r="X787" s="282"/>
      <c r="Y787" s="282"/>
      <c r="Z787" s="282"/>
    </row>
    <row r="788" spans="1:26" ht="12.65" customHeight="1" x14ac:dyDescent="0.35">
      <c r="A788" s="209" t="str">
        <f>RIGHT($C$84,3)&amp;"*"&amp;RIGHT($C$83,4)&amp;"*"&amp;BF$55&amp;"*"&amp;"A"</f>
        <v xml:space="preserve"> #2*164*8460*A</v>
      </c>
      <c r="B788" s="282"/>
      <c r="C788" s="285">
        <f>ROUND(BF60,2)</f>
        <v>96.14</v>
      </c>
      <c r="D788" s="282">
        <f>ROUND(BF61,0)</f>
        <v>4440455</v>
      </c>
      <c r="E788" s="282">
        <f>ROUND(BF62,0)</f>
        <v>1611247</v>
      </c>
      <c r="F788" s="282">
        <f>ROUND(BF63,0)</f>
        <v>0</v>
      </c>
      <c r="G788" s="282">
        <f>ROUND(BF64,0)</f>
        <v>343736</v>
      </c>
      <c r="H788" s="282">
        <f>ROUND(BF65,0)</f>
        <v>474053</v>
      </c>
      <c r="I788" s="282">
        <f>ROUND(BF66,0)</f>
        <v>-940340</v>
      </c>
      <c r="J788" s="282">
        <f>ROUND(BF67,0)</f>
        <v>61561</v>
      </c>
      <c r="K788" s="282">
        <f>ROUND(BF68,0)</f>
        <v>0</v>
      </c>
      <c r="L788" s="282">
        <f>ROUND(BF70,0)</f>
        <v>8589</v>
      </c>
      <c r="M788" s="282">
        <f>ROUND(BF71,0)</f>
        <v>5982507</v>
      </c>
      <c r="N788" s="282"/>
      <c r="O788" s="282"/>
      <c r="P788" s="282">
        <f>IF(BF77&gt;0,ROUND(BF77,0),0)</f>
        <v>0</v>
      </c>
      <c r="Q788" s="282">
        <f>IF(BF78&gt;0,ROUND(BF78,0),0)</f>
        <v>0</v>
      </c>
      <c r="R788" s="282">
        <f>IF(BF79&gt;0,ROUND(BF79,0),0)</f>
        <v>0</v>
      </c>
      <c r="S788" s="282">
        <f>IF(BF80&gt;0,ROUND(BF80,0),0)</f>
        <v>0</v>
      </c>
      <c r="T788" s="285">
        <f>IF(BF81&gt;0,ROUND(BF81,2),0)</f>
        <v>0</v>
      </c>
      <c r="U788" s="282"/>
      <c r="X788" s="282"/>
      <c r="Y788" s="282"/>
      <c r="Z788" s="282"/>
    </row>
    <row r="789" spans="1:26" ht="12.65" customHeight="1" x14ac:dyDescent="0.35">
      <c r="A789" s="209" t="str">
        <f>RIGHT($C$84,3)&amp;"*"&amp;RIGHT($C$83,4)&amp;"*"&amp;BG$55&amp;"*"&amp;"A"</f>
        <v xml:space="preserve"> #2*164*8470*A</v>
      </c>
      <c r="B789" s="282"/>
      <c r="C789" s="285">
        <f>ROUND(BG60,2)</f>
        <v>17.829999999999998</v>
      </c>
      <c r="D789" s="282">
        <f>ROUND(BG61,0)</f>
        <v>1059215</v>
      </c>
      <c r="E789" s="282">
        <f>ROUND(BG62,0)</f>
        <v>310742</v>
      </c>
      <c r="F789" s="282">
        <f>ROUND(BG63,0)</f>
        <v>3886</v>
      </c>
      <c r="G789" s="282">
        <f>ROUND(BG64,0)</f>
        <v>133319</v>
      </c>
      <c r="H789" s="282">
        <f>ROUND(BG65,0)</f>
        <v>1179992</v>
      </c>
      <c r="I789" s="282">
        <f>ROUND(BG66,0)</f>
        <v>202480</v>
      </c>
      <c r="J789" s="282">
        <f>ROUND(BG67,0)</f>
        <v>25438</v>
      </c>
      <c r="K789" s="282">
        <f>ROUND(BG68,0)</f>
        <v>9527</v>
      </c>
      <c r="L789" s="282">
        <f>ROUND(BG70,0)</f>
        <v>304516</v>
      </c>
      <c r="M789" s="282">
        <f>ROUND(BG71,0)</f>
        <v>2620614</v>
      </c>
      <c r="N789" s="282"/>
      <c r="O789" s="282"/>
      <c r="P789" s="282">
        <f>IF(BG77&gt;0,ROUND(BG77,0),0)</f>
        <v>0</v>
      </c>
      <c r="Q789" s="282">
        <f>IF(BG78&gt;0,ROUND(BG78,0),0)</f>
        <v>0</v>
      </c>
      <c r="R789" s="282">
        <f>IF(BG79&gt;0,ROUND(BG79,0),0)</f>
        <v>0</v>
      </c>
      <c r="S789" s="282">
        <f>IF(BG80&gt;0,ROUND(BG80,0),0)</f>
        <v>0</v>
      </c>
      <c r="T789" s="285">
        <f>IF(BG81&gt;0,ROUND(BG81,2),0)</f>
        <v>0</v>
      </c>
      <c r="U789" s="282"/>
      <c r="X789" s="282"/>
      <c r="Y789" s="282"/>
      <c r="Z789" s="282"/>
    </row>
    <row r="790" spans="1:26" ht="12.65" customHeight="1" x14ac:dyDescent="0.35">
      <c r="A790" s="209" t="str">
        <f>RIGHT($C$84,3)&amp;"*"&amp;RIGHT($C$83,4)&amp;"*"&amp;BH$55&amp;"*"&amp;"A"</f>
        <v xml:space="preserve"> #2*164*8480*A</v>
      </c>
      <c r="B790" s="282"/>
      <c r="C790" s="285">
        <f>ROUND(BH60,2)</f>
        <v>119.86</v>
      </c>
      <c r="D790" s="282">
        <f>ROUND(BH61,0)</f>
        <v>13231920</v>
      </c>
      <c r="E790" s="282">
        <f>ROUND(BH62,0)</f>
        <v>2911016</v>
      </c>
      <c r="F790" s="282">
        <f>ROUND(BH63,0)</f>
        <v>0</v>
      </c>
      <c r="G790" s="282">
        <f>ROUND(BH64,0)</f>
        <v>1220774</v>
      </c>
      <c r="H790" s="282">
        <f>ROUND(BH65,0)</f>
        <v>4139</v>
      </c>
      <c r="I790" s="282">
        <f>ROUND(BH66,0)</f>
        <v>12170935</v>
      </c>
      <c r="J790" s="282">
        <f>ROUND(BH67,0)</f>
        <v>5630224</v>
      </c>
      <c r="K790" s="282">
        <f>ROUND(BH68,0)</f>
        <v>0</v>
      </c>
      <c r="L790" s="282">
        <f>ROUND(BH70,0)</f>
        <v>94262</v>
      </c>
      <c r="M790" s="282">
        <f>ROUND(BH71,0)</f>
        <v>35119633</v>
      </c>
      <c r="N790" s="282"/>
      <c r="O790" s="282"/>
      <c r="P790" s="282">
        <f>IF(BH77&gt;0,ROUND(BH77,0),0)</f>
        <v>0</v>
      </c>
      <c r="Q790" s="282">
        <f>IF(BH78&gt;0,ROUND(BH78,0),0)</f>
        <v>3105</v>
      </c>
      <c r="R790" s="282">
        <f>IF(BH79&gt;0,ROUND(BH79,0),0)</f>
        <v>0</v>
      </c>
      <c r="S790" s="282">
        <f>IF(BH80&gt;0,ROUND(BH80,0),0)</f>
        <v>0</v>
      </c>
      <c r="T790" s="285">
        <f>IF(BH81&gt;0,ROUND(BH81,2),0)</f>
        <v>0</v>
      </c>
      <c r="U790" s="282"/>
      <c r="X790" s="282"/>
      <c r="Y790" s="282"/>
      <c r="Z790" s="282"/>
    </row>
    <row r="791" spans="1:26" ht="12.65" customHeight="1" x14ac:dyDescent="0.35">
      <c r="A791" s="209" t="str">
        <f>RIGHT($C$84,3)&amp;"*"&amp;RIGHT($C$83,4)&amp;"*"&amp;BI$55&amp;"*"&amp;"A"</f>
        <v xml:space="preserve"> #2*164*8490*A</v>
      </c>
      <c r="B791" s="282"/>
      <c r="C791" s="285">
        <f>ROUND(BI60,2)</f>
        <v>57.81</v>
      </c>
      <c r="D791" s="282">
        <f>ROUND(BI61,0)</f>
        <v>5509727</v>
      </c>
      <c r="E791" s="282">
        <f>ROUND(BI62,0)</f>
        <v>436089</v>
      </c>
      <c r="F791" s="282">
        <f>ROUND(BI63,0)</f>
        <v>675482</v>
      </c>
      <c r="G791" s="282">
        <f>ROUND(BI64,0)</f>
        <v>4404886</v>
      </c>
      <c r="H791" s="282">
        <f>ROUND(BI65,0)</f>
        <v>1487</v>
      </c>
      <c r="I791" s="282">
        <f>ROUND(BI66,0)</f>
        <v>1983108</v>
      </c>
      <c r="J791" s="282">
        <f>ROUND(BI67,0)</f>
        <v>188525</v>
      </c>
      <c r="K791" s="282">
        <f>ROUND(BI68,0)</f>
        <v>1250677</v>
      </c>
      <c r="L791" s="282">
        <f>ROUND(BI70,0)</f>
        <v>2194638</v>
      </c>
      <c r="M791" s="282">
        <f>ROUND(BI71,0)</f>
        <v>12268849</v>
      </c>
      <c r="N791" s="282"/>
      <c r="O791" s="282"/>
      <c r="P791" s="282">
        <f>IF(BI77&gt;0,ROUND(BI77,0),0)</f>
        <v>0</v>
      </c>
      <c r="Q791" s="282">
        <f>IF(BI78&gt;0,ROUND(BI78,0),0)</f>
        <v>3278</v>
      </c>
      <c r="R791" s="282">
        <f>IF(BI79&gt;0,ROUND(BI79,0),0)</f>
        <v>28201</v>
      </c>
      <c r="S791" s="282">
        <f>IF(BI80&gt;0,ROUND(BI80,0),0)</f>
        <v>0</v>
      </c>
      <c r="T791" s="285">
        <f>IF(BI81&gt;0,ROUND(BI81,2),0)</f>
        <v>0</v>
      </c>
      <c r="U791" s="282"/>
      <c r="X791" s="282"/>
      <c r="Y791" s="282"/>
      <c r="Z791" s="282"/>
    </row>
    <row r="792" spans="1:26" ht="12.65" customHeight="1" x14ac:dyDescent="0.35">
      <c r="A792" s="209" t="str">
        <f>RIGHT($C$84,3)&amp;"*"&amp;RIGHT($C$83,4)&amp;"*"&amp;BJ$55&amp;"*"&amp;"A"</f>
        <v xml:space="preserve"> #2*164*8510*A</v>
      </c>
      <c r="B792" s="282"/>
      <c r="C792" s="285">
        <f>ROUND(BJ60,2)</f>
        <v>17.48</v>
      </c>
      <c r="D792" s="282">
        <f>ROUND(BJ61,0)</f>
        <v>1454062</v>
      </c>
      <c r="E792" s="282">
        <f>ROUND(BJ62,0)</f>
        <v>386281</v>
      </c>
      <c r="F792" s="282">
        <f>ROUND(BJ63,0)</f>
        <v>81219</v>
      </c>
      <c r="G792" s="282">
        <f>ROUND(BJ64,0)</f>
        <v>14357</v>
      </c>
      <c r="H792" s="282">
        <f>ROUND(BJ65,0)</f>
        <v>0</v>
      </c>
      <c r="I792" s="282">
        <f>ROUND(BJ66,0)</f>
        <v>69970</v>
      </c>
      <c r="J792" s="282">
        <f>ROUND(BJ67,0)</f>
        <v>20640</v>
      </c>
      <c r="K792" s="282">
        <f>ROUND(BJ68,0)</f>
        <v>0</v>
      </c>
      <c r="L792" s="282">
        <f>ROUND(BJ70,0)</f>
        <v>170477</v>
      </c>
      <c r="M792" s="282">
        <f>ROUND(BJ71,0)</f>
        <v>1859105</v>
      </c>
      <c r="N792" s="282"/>
      <c r="O792" s="282"/>
      <c r="P792" s="282">
        <f>IF(BJ77&gt;0,ROUND(BJ77,0),0)</f>
        <v>0</v>
      </c>
      <c r="Q792" s="282">
        <f>IF(BJ78&gt;0,ROUND(BJ78,0),0)</f>
        <v>0</v>
      </c>
      <c r="R792" s="282">
        <f>IF(BJ79&gt;0,ROUND(BJ79,0),0)</f>
        <v>0</v>
      </c>
      <c r="S792" s="282">
        <f>IF(BJ80&gt;0,ROUND(BJ80,0),0)</f>
        <v>0</v>
      </c>
      <c r="T792" s="285">
        <f>IF(BJ81&gt;0,ROUND(BJ81,2),0)</f>
        <v>0</v>
      </c>
      <c r="U792" s="282"/>
      <c r="X792" s="282"/>
      <c r="Y792" s="282"/>
      <c r="Z792" s="282"/>
    </row>
    <row r="793" spans="1:26" ht="12.65" customHeight="1" x14ac:dyDescent="0.35">
      <c r="A793" s="209" t="str">
        <f>RIGHT($C$84,3)&amp;"*"&amp;RIGHT($C$83,4)&amp;"*"&amp;BK$55&amp;"*"&amp;"A"</f>
        <v xml:space="preserve"> #2*164*8530*A</v>
      </c>
      <c r="B793" s="282"/>
      <c r="C793" s="285">
        <f>ROUND(BK60,2)</f>
        <v>85.17</v>
      </c>
      <c r="D793" s="282">
        <f>ROUND(BK61,0)</f>
        <v>4874188</v>
      </c>
      <c r="E793" s="282">
        <f>ROUND(BK62,0)</f>
        <v>1528603</v>
      </c>
      <c r="F793" s="282">
        <f>ROUND(BK63,0)</f>
        <v>328948</v>
      </c>
      <c r="G793" s="282">
        <f>ROUND(BK64,0)</f>
        <v>80024</v>
      </c>
      <c r="H793" s="282">
        <f>ROUND(BK65,0)</f>
        <v>1013</v>
      </c>
      <c r="I793" s="282">
        <f>ROUND(BK66,0)</f>
        <v>2863308</v>
      </c>
      <c r="J793" s="282">
        <f>ROUND(BK67,0)</f>
        <v>59335</v>
      </c>
      <c r="K793" s="282">
        <f>ROUND(BK68,0)</f>
        <v>24184</v>
      </c>
      <c r="L793" s="282">
        <f>ROUND(BK70,0)</f>
        <v>12815</v>
      </c>
      <c r="M793" s="282">
        <f>ROUND(BK71,0)</f>
        <v>9749778</v>
      </c>
      <c r="N793" s="282"/>
      <c r="O793" s="282"/>
      <c r="P793" s="282">
        <f>IF(BK77&gt;0,ROUND(BK77,0),0)</f>
        <v>0</v>
      </c>
      <c r="Q793" s="282">
        <f>IF(BK78&gt;0,ROUND(BK78,0),0)</f>
        <v>1377</v>
      </c>
      <c r="R793" s="282">
        <f>IF(BK79&gt;0,ROUND(BK79,0),0)</f>
        <v>0</v>
      </c>
      <c r="S793" s="282">
        <f>IF(BK80&gt;0,ROUND(BK80,0),0)</f>
        <v>0</v>
      </c>
      <c r="T793" s="285">
        <f>IF(BK81&gt;0,ROUND(BK81,2),0)</f>
        <v>0</v>
      </c>
      <c r="U793" s="282"/>
      <c r="X793" s="282"/>
      <c r="Y793" s="282"/>
      <c r="Z793" s="282"/>
    </row>
    <row r="794" spans="1:26" ht="12.65" customHeight="1" x14ac:dyDescent="0.35">
      <c r="A794" s="209" t="str">
        <f>RIGHT($C$84,3)&amp;"*"&amp;RIGHT($C$83,4)&amp;"*"&amp;BL$55&amp;"*"&amp;"A"</f>
        <v xml:space="preserve"> #2*164*8560*A</v>
      </c>
      <c r="B794" s="282"/>
      <c r="C794" s="285">
        <f>ROUND(BL60,2)</f>
        <v>72.77</v>
      </c>
      <c r="D794" s="282">
        <f>ROUND(BL61,0)</f>
        <v>3859479</v>
      </c>
      <c r="E794" s="282">
        <f>ROUND(BL62,0)</f>
        <v>1306572</v>
      </c>
      <c r="F794" s="282">
        <f>ROUND(BL63,0)</f>
        <v>1824</v>
      </c>
      <c r="G794" s="282">
        <f>ROUND(BL64,0)</f>
        <v>42535</v>
      </c>
      <c r="H794" s="282">
        <f>ROUND(BL65,0)</f>
        <v>671</v>
      </c>
      <c r="I794" s="282">
        <f>ROUND(BL66,0)</f>
        <v>493849</v>
      </c>
      <c r="J794" s="282">
        <f>ROUND(BL67,0)</f>
        <v>28351</v>
      </c>
      <c r="K794" s="282">
        <f>ROUND(BL68,0)</f>
        <v>0</v>
      </c>
      <c r="L794" s="282">
        <f>ROUND(BL70,0)</f>
        <v>415605</v>
      </c>
      <c r="M794" s="282">
        <f>ROUND(BL71,0)</f>
        <v>5318746</v>
      </c>
      <c r="N794" s="282"/>
      <c r="O794" s="282"/>
      <c r="P794" s="282">
        <f>IF(BL77&gt;0,ROUND(BL77,0),0)</f>
        <v>0</v>
      </c>
      <c r="Q794" s="282">
        <f>IF(BL78&gt;0,ROUND(BL78,0),0)</f>
        <v>627</v>
      </c>
      <c r="R794" s="282">
        <f>IF(BL79&gt;0,ROUND(BL79,0),0)</f>
        <v>0</v>
      </c>
      <c r="S794" s="282">
        <f>IF(BL80&gt;0,ROUND(BL80,0),0)</f>
        <v>0</v>
      </c>
      <c r="T794" s="285">
        <f>IF(BL81&gt;0,ROUND(BL81,2),0)</f>
        <v>0</v>
      </c>
      <c r="U794" s="282"/>
      <c r="X794" s="282"/>
      <c r="Y794" s="282"/>
      <c r="Z794" s="282"/>
    </row>
    <row r="795" spans="1:26" ht="12.65" customHeight="1" x14ac:dyDescent="0.35">
      <c r="A795" s="209" t="str">
        <f>RIGHT($C$84,3)&amp;"*"&amp;RIGHT($C$83,4)&amp;"*"&amp;BM$55&amp;"*"&amp;"A"</f>
        <v xml:space="preserve"> #2*164*8590*A</v>
      </c>
      <c r="B795" s="282"/>
      <c r="C795" s="285">
        <f>ROUND(BM60,2)</f>
        <v>35.54</v>
      </c>
      <c r="D795" s="282">
        <f>ROUND(BM61,0)</f>
        <v>3142779</v>
      </c>
      <c r="E795" s="282">
        <f>ROUND(BM62,0)</f>
        <v>893768</v>
      </c>
      <c r="F795" s="282">
        <f>ROUND(BM63,0)</f>
        <v>60000</v>
      </c>
      <c r="G795" s="282">
        <f>ROUND(BM64,0)</f>
        <v>29573</v>
      </c>
      <c r="H795" s="282">
        <f>ROUND(BM65,0)</f>
        <v>0</v>
      </c>
      <c r="I795" s="282">
        <f>ROUND(BM66,0)</f>
        <v>665579</v>
      </c>
      <c r="J795" s="282">
        <f>ROUND(BM67,0)</f>
        <v>18004</v>
      </c>
      <c r="K795" s="282">
        <f>ROUND(BM68,0)</f>
        <v>0</v>
      </c>
      <c r="L795" s="282">
        <f>ROUND(BM70,0)</f>
        <v>0</v>
      </c>
      <c r="M795" s="282">
        <f>ROUND(BM71,0)</f>
        <v>4833478</v>
      </c>
      <c r="N795" s="282"/>
      <c r="O795" s="282"/>
      <c r="P795" s="282">
        <f>IF(BM77&gt;0,ROUND(BM77,0),0)</f>
        <v>0</v>
      </c>
      <c r="Q795" s="282">
        <f>IF(BM78&gt;0,ROUND(BM78,0),0)</f>
        <v>585</v>
      </c>
      <c r="R795" s="282">
        <f>IF(BM79&gt;0,ROUND(BM79,0),0)</f>
        <v>0</v>
      </c>
      <c r="S795" s="282">
        <f>IF(BM80&gt;0,ROUND(BM80,0),0)</f>
        <v>0</v>
      </c>
      <c r="T795" s="285">
        <f>IF(BM81&gt;0,ROUND(BM81,2),0)</f>
        <v>0</v>
      </c>
      <c r="U795" s="282"/>
      <c r="X795" s="282"/>
      <c r="Y795" s="282"/>
      <c r="Z795" s="282"/>
    </row>
    <row r="796" spans="1:26" ht="12.65" customHeight="1" x14ac:dyDescent="0.35">
      <c r="A796" s="209" t="str">
        <f>RIGHT($C$84,3)&amp;"*"&amp;RIGHT($C$83,4)&amp;"*"&amp;BN$55&amp;"*"&amp;"A"</f>
        <v xml:space="preserve"> #2*164*8610*A</v>
      </c>
      <c r="B796" s="282"/>
      <c r="C796" s="285">
        <f>ROUND(BN60,2)</f>
        <v>23</v>
      </c>
      <c r="D796" s="282">
        <f>ROUND(BN61,0)</f>
        <v>5988294</v>
      </c>
      <c r="E796" s="282">
        <f>ROUND(BN62,0)</f>
        <v>1016450</v>
      </c>
      <c r="F796" s="282">
        <f>ROUND(BN63,0)</f>
        <v>2219577</v>
      </c>
      <c r="G796" s="282">
        <f>ROUND(BN64,0)</f>
        <v>21448</v>
      </c>
      <c r="H796" s="282">
        <f>ROUND(BN65,0)</f>
        <v>0</v>
      </c>
      <c r="I796" s="282">
        <f>ROUND(BN66,0)</f>
        <v>354412</v>
      </c>
      <c r="J796" s="282">
        <f>ROUND(BN67,0)</f>
        <v>228752</v>
      </c>
      <c r="K796" s="282">
        <f>ROUND(BN68,0)</f>
        <v>0</v>
      </c>
      <c r="L796" s="282">
        <f>ROUND(BN70,0)</f>
        <v>0</v>
      </c>
      <c r="M796" s="282">
        <f>ROUND(BN71,0)</f>
        <v>10645468</v>
      </c>
      <c r="N796" s="282"/>
      <c r="O796" s="282"/>
      <c r="P796" s="282">
        <f>IF(BN77&gt;0,ROUND(BN77,0),0)</f>
        <v>0</v>
      </c>
      <c r="Q796" s="282">
        <f>IF(BN78&gt;0,ROUND(BN78,0),0)</f>
        <v>0</v>
      </c>
      <c r="R796" s="282">
        <f>IF(BN79&gt;0,ROUND(BN79,0),0)</f>
        <v>0</v>
      </c>
      <c r="S796" s="282">
        <f>IF(BN80&gt;0,ROUND(BN80,0),0)</f>
        <v>0</v>
      </c>
      <c r="T796" s="285">
        <f>IF(BN81&gt;0,ROUND(BN81,2),0)</f>
        <v>0</v>
      </c>
      <c r="U796" s="282"/>
      <c r="X796" s="282"/>
      <c r="Y796" s="282"/>
      <c r="Z796" s="282"/>
    </row>
    <row r="797" spans="1:26" ht="12.65" customHeight="1" x14ac:dyDescent="0.35">
      <c r="A797" s="209" t="str">
        <f>RIGHT($C$84,3)&amp;"*"&amp;RIGHT($C$83,4)&amp;"*"&amp;BO$55&amp;"*"&amp;"A"</f>
        <v xml:space="preserve"> #2*164*8620*A</v>
      </c>
      <c r="B797" s="282"/>
      <c r="C797" s="285">
        <f>ROUND(BO60,2)</f>
        <v>7.79</v>
      </c>
      <c r="D797" s="282">
        <f>ROUND(BO61,0)</f>
        <v>927812</v>
      </c>
      <c r="E797" s="282">
        <f>ROUND(BO62,0)</f>
        <v>176258</v>
      </c>
      <c r="F797" s="282">
        <f>ROUND(BO63,0)</f>
        <v>401</v>
      </c>
      <c r="G797" s="282">
        <f>ROUND(BO64,0)</f>
        <v>86518</v>
      </c>
      <c r="H797" s="282">
        <f>ROUND(BO65,0)</f>
        <v>0</v>
      </c>
      <c r="I797" s="282">
        <f>ROUND(BO66,0)</f>
        <v>43244</v>
      </c>
      <c r="J797" s="282">
        <f>ROUND(BO67,0)</f>
        <v>46835</v>
      </c>
      <c r="K797" s="282">
        <f>ROUND(BO68,0)</f>
        <v>0</v>
      </c>
      <c r="L797" s="282">
        <f>ROUND(BO70,0)</f>
        <v>230</v>
      </c>
      <c r="M797" s="282">
        <f>ROUND(BO71,0)</f>
        <v>1282071</v>
      </c>
      <c r="N797" s="282"/>
      <c r="O797" s="282"/>
      <c r="P797" s="282">
        <f>IF(BO77&gt;0,ROUND(BO77,0),0)</f>
        <v>0</v>
      </c>
      <c r="Q797" s="282">
        <f>IF(BO78&gt;0,ROUND(BO78,0),0)</f>
        <v>0</v>
      </c>
      <c r="R797" s="282">
        <f>IF(BO79&gt;0,ROUND(BO79,0),0)</f>
        <v>0</v>
      </c>
      <c r="S797" s="282">
        <f>IF(BO80&gt;0,ROUND(BO80,0),0)</f>
        <v>0</v>
      </c>
      <c r="T797" s="285">
        <f>IF(BO81&gt;0,ROUND(BO81,2),0)</f>
        <v>0</v>
      </c>
      <c r="U797" s="282"/>
      <c r="X797" s="282"/>
      <c r="Y797" s="282"/>
      <c r="Z797" s="282"/>
    </row>
    <row r="798" spans="1:26" ht="12.65" customHeight="1" x14ac:dyDescent="0.35">
      <c r="A798" s="209" t="str">
        <f>RIGHT($C$84,3)&amp;"*"&amp;RIGHT($C$83,4)&amp;"*"&amp;BP$55&amp;"*"&amp;"A"</f>
        <v xml:space="preserve"> #2*164*8630*A</v>
      </c>
      <c r="B798" s="282"/>
      <c r="C798" s="285">
        <f>ROUND(BP60,2)</f>
        <v>8.36</v>
      </c>
      <c r="D798" s="282">
        <f>ROUND(BP61,0)</f>
        <v>872536</v>
      </c>
      <c r="E798" s="282">
        <f>ROUND(BP62,0)</f>
        <v>304716</v>
      </c>
      <c r="F798" s="282">
        <f>ROUND(BP63,0)</f>
        <v>397320</v>
      </c>
      <c r="G798" s="282">
        <f>ROUND(BP64,0)</f>
        <v>215532</v>
      </c>
      <c r="H798" s="282">
        <f>ROUND(BP65,0)</f>
        <v>403</v>
      </c>
      <c r="I798" s="282">
        <f>ROUND(BP66,0)</f>
        <v>3961782</v>
      </c>
      <c r="J798" s="282">
        <f>ROUND(BP67,0)</f>
        <v>75168</v>
      </c>
      <c r="K798" s="282">
        <f>ROUND(BP68,0)</f>
        <v>0</v>
      </c>
      <c r="L798" s="282">
        <f>ROUND(BP70,0)</f>
        <v>0</v>
      </c>
      <c r="M798" s="282">
        <f>ROUND(BP71,0)</f>
        <v>5845316</v>
      </c>
      <c r="N798" s="282"/>
      <c r="O798" s="282"/>
      <c r="P798" s="282">
        <f>IF(BP77&gt;0,ROUND(BP77,0),0)</f>
        <v>0</v>
      </c>
      <c r="Q798" s="282">
        <f>IF(BP78&gt;0,ROUND(BP78,0),0)</f>
        <v>0</v>
      </c>
      <c r="R798" s="282">
        <f>IF(BP79&gt;0,ROUND(BP79,0),0)</f>
        <v>0</v>
      </c>
      <c r="S798" s="282">
        <f>IF(BP80&gt;0,ROUND(BP80,0),0)</f>
        <v>0</v>
      </c>
      <c r="T798" s="285">
        <f>IF(BP81&gt;0,ROUND(BP81,2),0)</f>
        <v>0</v>
      </c>
      <c r="U798" s="282"/>
      <c r="X798" s="282"/>
      <c r="Y798" s="282"/>
      <c r="Z798" s="282"/>
    </row>
    <row r="799" spans="1:26" ht="12.65" customHeight="1" x14ac:dyDescent="0.35">
      <c r="A799" s="209" t="str">
        <f>RIGHT($C$84,3)&amp;"*"&amp;RIGHT($C$83,4)&amp;"*"&amp;BQ$55&amp;"*"&amp;"A"</f>
        <v xml:space="preserve"> #2*164*8640*A</v>
      </c>
      <c r="B799" s="282"/>
      <c r="C799" s="285">
        <f>ROUND(BQ60,2)</f>
        <v>4.37</v>
      </c>
      <c r="D799" s="282">
        <f>ROUND(BQ61,0)</f>
        <v>522785</v>
      </c>
      <c r="E799" s="282">
        <f>ROUND(BQ62,0)</f>
        <v>117533</v>
      </c>
      <c r="F799" s="282">
        <f>ROUND(BQ63,0)</f>
        <v>0</v>
      </c>
      <c r="G799" s="282">
        <f>ROUND(BQ64,0)</f>
        <v>4352</v>
      </c>
      <c r="H799" s="282">
        <f>ROUND(BQ65,0)</f>
        <v>0</v>
      </c>
      <c r="I799" s="282">
        <f>ROUND(BQ66,0)</f>
        <v>5340</v>
      </c>
      <c r="J799" s="282">
        <f>ROUND(BQ67,0)</f>
        <v>4095</v>
      </c>
      <c r="K799" s="282">
        <f>ROUND(BQ68,0)</f>
        <v>0</v>
      </c>
      <c r="L799" s="282">
        <f>ROUND(BQ70,0)</f>
        <v>0</v>
      </c>
      <c r="M799" s="282">
        <f>ROUND(BQ71,0)</f>
        <v>655489</v>
      </c>
      <c r="N799" s="282"/>
      <c r="O799" s="282"/>
      <c r="P799" s="282">
        <f>IF(BQ77&gt;0,ROUND(BQ77,0),0)</f>
        <v>0</v>
      </c>
      <c r="Q799" s="282">
        <f>IF(BQ78&gt;0,ROUND(BQ78,0),0)</f>
        <v>0</v>
      </c>
      <c r="R799" s="282">
        <f>IF(BQ79&gt;0,ROUND(BQ79,0),0)</f>
        <v>0</v>
      </c>
      <c r="S799" s="282">
        <f>IF(BQ80&gt;0,ROUND(BQ80,0),0)</f>
        <v>0</v>
      </c>
      <c r="T799" s="285">
        <f>IF(BQ81&gt;0,ROUND(BQ81,2),0)</f>
        <v>0</v>
      </c>
      <c r="U799" s="282"/>
      <c r="X799" s="282"/>
      <c r="Y799" s="282"/>
      <c r="Z799" s="282"/>
    </row>
    <row r="800" spans="1:26" ht="12.65" customHeight="1" x14ac:dyDescent="0.35">
      <c r="A800" s="209" t="str">
        <f>RIGHT($C$84,3)&amp;"*"&amp;RIGHT($C$83,4)&amp;"*"&amp;BR$55&amp;"*"&amp;"A"</f>
        <v xml:space="preserve"> #2*164*8650*A</v>
      </c>
      <c r="B800" s="282"/>
      <c r="C800" s="285">
        <f>ROUND(BR60,2)</f>
        <v>29.21</v>
      </c>
      <c r="D800" s="282">
        <f>ROUND(BR61,0)</f>
        <v>2210623</v>
      </c>
      <c r="E800" s="282">
        <f>ROUND(BR62,0)</f>
        <v>805516</v>
      </c>
      <c r="F800" s="282">
        <f>ROUND(BR63,0)</f>
        <v>1129083</v>
      </c>
      <c r="G800" s="282">
        <f>ROUND(BR64,0)</f>
        <v>31986</v>
      </c>
      <c r="H800" s="282">
        <f>ROUND(BR65,0)</f>
        <v>0</v>
      </c>
      <c r="I800" s="282">
        <f>ROUND(BR66,0)</f>
        <v>600586</v>
      </c>
      <c r="J800" s="282">
        <f>ROUND(BR67,0)</f>
        <v>11447</v>
      </c>
      <c r="K800" s="282">
        <f>ROUND(BR68,0)</f>
        <v>150</v>
      </c>
      <c r="L800" s="282">
        <f>ROUND(BR70,0)</f>
        <v>42</v>
      </c>
      <c r="M800" s="282">
        <f>ROUND(BR71,0)</f>
        <v>4815164</v>
      </c>
      <c r="N800" s="282"/>
      <c r="O800" s="282"/>
      <c r="P800" s="282">
        <f>IF(BR77&gt;0,ROUND(BR77,0),0)</f>
        <v>0</v>
      </c>
      <c r="Q800" s="282">
        <f>IF(BR78&gt;0,ROUND(BR78,0),0)</f>
        <v>0</v>
      </c>
      <c r="R800" s="282">
        <f>IF(BR79&gt;0,ROUND(BR79,0),0)</f>
        <v>0</v>
      </c>
      <c r="S800" s="282">
        <f>IF(BR80&gt;0,ROUND(BR80,0),0)</f>
        <v>0</v>
      </c>
      <c r="T800" s="285">
        <f>IF(BR81&gt;0,ROUND(BR81,2),0)</f>
        <v>0</v>
      </c>
      <c r="U800" s="282"/>
      <c r="X800" s="282"/>
      <c r="Y800" s="282"/>
      <c r="Z800" s="282"/>
    </row>
    <row r="801" spans="1:26" ht="12.65" customHeight="1" x14ac:dyDescent="0.35">
      <c r="A801" s="209" t="str">
        <f>RIGHT($C$84,3)&amp;"*"&amp;RIGHT($C$83,4)&amp;"*"&amp;BS$55&amp;"*"&amp;"A"</f>
        <v xml:space="preserve"> #2*164*8660*A</v>
      </c>
      <c r="B801" s="282"/>
      <c r="C801" s="285">
        <f>ROUND(BS60,2)</f>
        <v>4.51</v>
      </c>
      <c r="D801" s="282">
        <f>ROUND(BS61,0)</f>
        <v>284734</v>
      </c>
      <c r="E801" s="282">
        <f>ROUND(BS62,0)</f>
        <v>81637</v>
      </c>
      <c r="F801" s="282">
        <f>ROUND(BS63,0)</f>
        <v>0</v>
      </c>
      <c r="G801" s="282">
        <f>ROUND(BS64,0)</f>
        <v>272119</v>
      </c>
      <c r="H801" s="282">
        <f>ROUND(BS65,0)</f>
        <v>1172</v>
      </c>
      <c r="I801" s="282">
        <f>ROUND(BS66,0)</f>
        <v>10835</v>
      </c>
      <c r="J801" s="282">
        <f>ROUND(BS67,0)</f>
        <v>16972</v>
      </c>
      <c r="K801" s="282">
        <f>ROUND(BS68,0)</f>
        <v>0</v>
      </c>
      <c r="L801" s="282">
        <f>ROUND(BS70,0)</f>
        <v>458883</v>
      </c>
      <c r="M801" s="282">
        <f>ROUND(BS71,0)</f>
        <v>208586</v>
      </c>
      <c r="N801" s="282"/>
      <c r="O801" s="282"/>
      <c r="P801" s="282">
        <f>IF(BS77&gt;0,ROUND(BS77,0),0)</f>
        <v>0</v>
      </c>
      <c r="Q801" s="282">
        <f>IF(BS78&gt;0,ROUND(BS78,0),0)</f>
        <v>639</v>
      </c>
      <c r="R801" s="282">
        <f>IF(BS79&gt;0,ROUND(BS79,0),0)</f>
        <v>0</v>
      </c>
      <c r="S801" s="282">
        <f>IF(BS80&gt;0,ROUND(BS80,0),0)</f>
        <v>0</v>
      </c>
      <c r="T801" s="285">
        <f>IF(BS81&gt;0,ROUND(BS81,2),0)</f>
        <v>0</v>
      </c>
      <c r="U801" s="282"/>
      <c r="X801" s="282"/>
      <c r="Y801" s="282"/>
      <c r="Z801" s="282"/>
    </row>
    <row r="802" spans="1:26" ht="12.65" customHeight="1" x14ac:dyDescent="0.35">
      <c r="A802" s="209" t="str">
        <f>RIGHT($C$84,3)&amp;"*"&amp;RIGHT($C$83,4)&amp;"*"&amp;BT$55&amp;"*"&amp;"A"</f>
        <v xml:space="preserve"> #2*164*8670*A</v>
      </c>
      <c r="B802" s="282"/>
      <c r="C802" s="285">
        <f>ROUND(BT60,2)</f>
        <v>1.76</v>
      </c>
      <c r="D802" s="282">
        <f>ROUND(BT61,0)</f>
        <v>126162</v>
      </c>
      <c r="E802" s="282">
        <f>ROUND(BT62,0)</f>
        <v>53256</v>
      </c>
      <c r="F802" s="282">
        <f>ROUND(BT63,0)</f>
        <v>0</v>
      </c>
      <c r="G802" s="282">
        <f>ROUND(BT64,0)</f>
        <v>587</v>
      </c>
      <c r="H802" s="282">
        <f>ROUND(BT65,0)</f>
        <v>3262</v>
      </c>
      <c r="I802" s="282">
        <f>ROUND(BT66,0)</f>
        <v>502</v>
      </c>
      <c r="J802" s="282">
        <f>ROUND(BT67,0)</f>
        <v>20494</v>
      </c>
      <c r="K802" s="282">
        <f>ROUND(BT68,0)</f>
        <v>0</v>
      </c>
      <c r="L802" s="282">
        <f>ROUND(BT70,0)</f>
        <v>49</v>
      </c>
      <c r="M802" s="282">
        <f>ROUND(BT71,0)</f>
        <v>204494</v>
      </c>
      <c r="N802" s="282"/>
      <c r="O802" s="282"/>
      <c r="P802" s="282">
        <f>IF(BT77&gt;0,ROUND(BT77,0),0)</f>
        <v>0</v>
      </c>
      <c r="Q802" s="282">
        <f>IF(BT78&gt;0,ROUND(BT78,0),0)</f>
        <v>118</v>
      </c>
      <c r="R802" s="282">
        <f>IF(BT79&gt;0,ROUND(BT79,0),0)</f>
        <v>0</v>
      </c>
      <c r="S802" s="282">
        <f>IF(BT80&gt;0,ROUND(BT80,0),0)</f>
        <v>0</v>
      </c>
      <c r="T802" s="285">
        <f>IF(BT81&gt;0,ROUND(BT81,2),0)</f>
        <v>0</v>
      </c>
      <c r="U802" s="282"/>
      <c r="X802" s="282"/>
      <c r="Y802" s="282"/>
      <c r="Z802" s="282"/>
    </row>
    <row r="803" spans="1:26" ht="12.65" customHeight="1" x14ac:dyDescent="0.35">
      <c r="A803" s="209" t="str">
        <f>RIGHT($C$84,3)&amp;"*"&amp;RIGHT($C$83,4)&amp;"*"&amp;BU$55&amp;"*"&amp;"A"</f>
        <v xml:space="preserve"> #2*164*8680*A</v>
      </c>
      <c r="B803" s="282"/>
      <c r="C803" s="285">
        <f>ROUND(BU60,2)</f>
        <v>0</v>
      </c>
      <c r="D803" s="282">
        <f>ROUND(BU61,0)</f>
        <v>147</v>
      </c>
      <c r="E803" s="282">
        <f>ROUND(BU62,0)</f>
        <v>0</v>
      </c>
      <c r="F803" s="282">
        <f>ROUND(BU63,0)</f>
        <v>0</v>
      </c>
      <c r="G803" s="282">
        <f>ROUND(BU64,0)</f>
        <v>0</v>
      </c>
      <c r="H803" s="282">
        <f>ROUND(BU65,0)</f>
        <v>0</v>
      </c>
      <c r="I803" s="282">
        <f>ROUND(BU66,0)</f>
        <v>0</v>
      </c>
      <c r="J803" s="282">
        <f>ROUND(BU67,0)</f>
        <v>0</v>
      </c>
      <c r="K803" s="282">
        <f>ROUND(BU68,0)</f>
        <v>0</v>
      </c>
      <c r="L803" s="282">
        <f>ROUND(BU70,0)</f>
        <v>15000</v>
      </c>
      <c r="M803" s="282">
        <f>ROUND(BU71,0)</f>
        <v>278655</v>
      </c>
      <c r="N803" s="282"/>
      <c r="O803" s="282"/>
      <c r="P803" s="282">
        <f>IF(BU77&gt;0,ROUND(BU77,0),0)</f>
        <v>0</v>
      </c>
      <c r="Q803" s="282">
        <f>IF(BU78&gt;0,ROUND(BU78,0),0)</f>
        <v>0</v>
      </c>
      <c r="R803" s="282">
        <f>IF(BU79&gt;0,ROUND(BU79,0),0)</f>
        <v>0</v>
      </c>
      <c r="S803" s="282">
        <f>IF(BU80&gt;0,ROUND(BU80,0),0)</f>
        <v>0</v>
      </c>
      <c r="T803" s="285">
        <f>IF(BU81&gt;0,ROUND(BU81,2),0)</f>
        <v>0</v>
      </c>
      <c r="U803" s="282"/>
      <c r="X803" s="282"/>
      <c r="Y803" s="282"/>
      <c r="Z803" s="282"/>
    </row>
    <row r="804" spans="1:26" ht="12.65" customHeight="1" x14ac:dyDescent="0.35">
      <c r="A804" s="209" t="str">
        <f>RIGHT($C$84,3)&amp;"*"&amp;RIGHT($C$83,4)&amp;"*"&amp;BV$55&amp;"*"&amp;"A"</f>
        <v xml:space="preserve"> #2*164*8690*A</v>
      </c>
      <c r="B804" s="282"/>
      <c r="C804" s="285">
        <f>ROUND(BV60,2)</f>
        <v>53.15</v>
      </c>
      <c r="D804" s="282">
        <f>ROUND(BV61,0)</f>
        <v>3465444</v>
      </c>
      <c r="E804" s="282">
        <f>ROUND(BV62,0)</f>
        <v>1116111</v>
      </c>
      <c r="F804" s="282">
        <f>ROUND(BV63,0)</f>
        <v>0</v>
      </c>
      <c r="G804" s="282">
        <f>ROUND(BV64,0)</f>
        <v>12262</v>
      </c>
      <c r="H804" s="282">
        <f>ROUND(BV65,0)</f>
        <v>0</v>
      </c>
      <c r="I804" s="282">
        <f>ROUND(BV66,0)</f>
        <v>1330803</v>
      </c>
      <c r="J804" s="282">
        <f>ROUND(BV67,0)</f>
        <v>69022</v>
      </c>
      <c r="K804" s="282">
        <f>ROUND(BV68,0)</f>
        <v>69016</v>
      </c>
      <c r="L804" s="282">
        <f>ROUND(BV70,0)</f>
        <v>1290</v>
      </c>
      <c r="M804" s="282">
        <f>ROUND(BV71,0)</f>
        <v>6068270</v>
      </c>
      <c r="N804" s="282"/>
      <c r="O804" s="282"/>
      <c r="P804" s="282">
        <f>IF(BV77&gt;0,ROUND(BV77,0),0)</f>
        <v>0</v>
      </c>
      <c r="Q804" s="282">
        <f>IF(BV78&gt;0,ROUND(BV78,0),0)</f>
        <v>2150</v>
      </c>
      <c r="R804" s="282">
        <f>IF(BV79&gt;0,ROUND(BV79,0),0)</f>
        <v>0</v>
      </c>
      <c r="S804" s="282">
        <f>IF(BV80&gt;0,ROUND(BV80,0),0)</f>
        <v>0</v>
      </c>
      <c r="T804" s="285">
        <f>IF(BV81&gt;0,ROUND(BV81,2),0)</f>
        <v>0</v>
      </c>
      <c r="U804" s="282"/>
      <c r="X804" s="282"/>
      <c r="Y804" s="282"/>
      <c r="Z804" s="282"/>
    </row>
    <row r="805" spans="1:26" ht="12.65" customHeight="1" x14ac:dyDescent="0.35">
      <c r="A805" s="209" t="str">
        <f>RIGHT($C$84,3)&amp;"*"&amp;RIGHT($C$83,4)&amp;"*"&amp;BW$55&amp;"*"&amp;"A"</f>
        <v xml:space="preserve"> #2*164*8700*A</v>
      </c>
      <c r="B805" s="282"/>
      <c r="C805" s="285">
        <f>ROUND(BW60,2)</f>
        <v>7.77</v>
      </c>
      <c r="D805" s="282">
        <f>ROUND(BW61,0)</f>
        <v>1398031</v>
      </c>
      <c r="E805" s="282">
        <f>ROUND(BW62,0)</f>
        <v>153926</v>
      </c>
      <c r="F805" s="282">
        <f>ROUND(BW63,0)</f>
        <v>1767208</v>
      </c>
      <c r="G805" s="282">
        <f>ROUND(BW64,0)</f>
        <v>9673</v>
      </c>
      <c r="H805" s="282">
        <f>ROUND(BW65,0)</f>
        <v>0</v>
      </c>
      <c r="I805" s="282">
        <f>ROUND(BW66,0)</f>
        <v>301653</v>
      </c>
      <c r="J805" s="282">
        <f>ROUND(BW67,0)</f>
        <v>23861</v>
      </c>
      <c r="K805" s="282">
        <f>ROUND(BW68,0)</f>
        <v>0</v>
      </c>
      <c r="L805" s="282">
        <f>ROUND(BW70,0)</f>
        <v>116410</v>
      </c>
      <c r="M805" s="282">
        <f>ROUND(BW71,0)</f>
        <v>3555395</v>
      </c>
      <c r="N805" s="282"/>
      <c r="O805" s="282"/>
      <c r="P805" s="282">
        <f>IF(BW77&gt;0,ROUND(BW77,0),0)</f>
        <v>0</v>
      </c>
      <c r="Q805" s="282">
        <f>IF(BW78&gt;0,ROUND(BW78,0),0)</f>
        <v>431</v>
      </c>
      <c r="R805" s="282">
        <f>IF(BW79&gt;0,ROUND(BW79,0),0)</f>
        <v>0</v>
      </c>
      <c r="S805" s="282">
        <f>IF(BW80&gt;0,ROUND(BW80,0),0)</f>
        <v>0</v>
      </c>
      <c r="T805" s="285">
        <f>IF(BW81&gt;0,ROUND(BW81,2),0)</f>
        <v>0</v>
      </c>
      <c r="U805" s="282"/>
      <c r="X805" s="282"/>
      <c r="Y805" s="282"/>
      <c r="Z805" s="282"/>
    </row>
    <row r="806" spans="1:26" ht="12.65" customHeight="1" x14ac:dyDescent="0.35">
      <c r="A806" s="209" t="str">
        <f>RIGHT($C$84,3)&amp;"*"&amp;RIGHT($C$83,4)&amp;"*"&amp;BX$55&amp;"*"&amp;"A"</f>
        <v xml:space="preserve"> #2*164*8710*A</v>
      </c>
      <c r="B806" s="282"/>
      <c r="C806" s="285">
        <f>ROUND(BX60,2)</f>
        <v>51.28</v>
      </c>
      <c r="D806" s="282">
        <f>ROUND(BX61,0)</f>
        <v>5759774</v>
      </c>
      <c r="E806" s="282">
        <f>ROUND(BX62,0)</f>
        <v>1305348</v>
      </c>
      <c r="F806" s="282">
        <f>ROUND(BX63,0)</f>
        <v>479352</v>
      </c>
      <c r="G806" s="282">
        <f>ROUND(BX64,0)</f>
        <v>31145</v>
      </c>
      <c r="H806" s="282">
        <f>ROUND(BX65,0)</f>
        <v>2405</v>
      </c>
      <c r="I806" s="282">
        <f>ROUND(BX66,0)</f>
        <v>344571</v>
      </c>
      <c r="J806" s="282">
        <f>ROUND(BX67,0)</f>
        <v>16059</v>
      </c>
      <c r="K806" s="282">
        <f>ROUND(BX68,0)</f>
        <v>0</v>
      </c>
      <c r="L806" s="282">
        <f>ROUND(BX70,0)</f>
        <v>847146</v>
      </c>
      <c r="M806" s="282">
        <f>ROUND(BX71,0)</f>
        <v>7126404</v>
      </c>
      <c r="N806" s="282"/>
      <c r="O806" s="282"/>
      <c r="P806" s="282">
        <f>IF(BX77&gt;0,ROUND(BX77,0),0)</f>
        <v>0</v>
      </c>
      <c r="Q806" s="282">
        <f>IF(BX78&gt;0,ROUND(BX78,0),0)</f>
        <v>444</v>
      </c>
      <c r="R806" s="282">
        <f>IF(BX79&gt;0,ROUND(BX79,0),0)</f>
        <v>0</v>
      </c>
      <c r="S806" s="282">
        <f>IF(BX80&gt;0,ROUND(BX80,0),0)</f>
        <v>0</v>
      </c>
      <c r="T806" s="285">
        <f>IF(BX81&gt;0,ROUND(BX81,2),0)</f>
        <v>0</v>
      </c>
      <c r="U806" s="282"/>
      <c r="X806" s="282"/>
      <c r="Y806" s="282"/>
      <c r="Z806" s="282"/>
    </row>
    <row r="807" spans="1:26" ht="12.65" customHeight="1" x14ac:dyDescent="0.35">
      <c r="A807" s="209" t="str">
        <f>RIGHT($C$84,3)&amp;"*"&amp;RIGHT($C$83,4)&amp;"*"&amp;BY$55&amp;"*"&amp;"A"</f>
        <v xml:space="preserve"> #2*164*8720*A</v>
      </c>
      <c r="B807" s="282"/>
      <c r="C807" s="285">
        <f>ROUND(BY60,2)</f>
        <v>12.07</v>
      </c>
      <c r="D807" s="282">
        <f>ROUND(BY61,0)</f>
        <v>1181073</v>
      </c>
      <c r="E807" s="282">
        <f>ROUND(BY62,0)</f>
        <v>345927</v>
      </c>
      <c r="F807" s="282">
        <f>ROUND(BY63,0)</f>
        <v>40000</v>
      </c>
      <c r="G807" s="282">
        <f>ROUND(BY64,0)</f>
        <v>6370</v>
      </c>
      <c r="H807" s="282">
        <f>ROUND(BY65,0)</f>
        <v>1695</v>
      </c>
      <c r="I807" s="282">
        <f>ROUND(BY66,0)</f>
        <v>24414</v>
      </c>
      <c r="J807" s="282">
        <f>ROUND(BY67,0)</f>
        <v>269177</v>
      </c>
      <c r="K807" s="282">
        <f>ROUND(BY68,0)</f>
        <v>0</v>
      </c>
      <c r="L807" s="282">
        <f>ROUND(BY70,0)</f>
        <v>0</v>
      </c>
      <c r="M807" s="282">
        <f>ROUND(BY71,0)</f>
        <v>1880918</v>
      </c>
      <c r="N807" s="282"/>
      <c r="O807" s="282"/>
      <c r="P807" s="282">
        <f>IF(BY77&gt;0,ROUND(BY77,0),0)</f>
        <v>0</v>
      </c>
      <c r="Q807" s="282">
        <f>IF(BY78&gt;0,ROUND(BY78,0),0)</f>
        <v>165</v>
      </c>
      <c r="R807" s="282">
        <f>IF(BY79&gt;0,ROUND(BY79,0),0)</f>
        <v>0</v>
      </c>
      <c r="S807" s="282">
        <f>IF(BY80&gt;0,ROUND(BY80,0),0)</f>
        <v>0</v>
      </c>
      <c r="T807" s="285">
        <f>IF(BY81&gt;0,ROUND(BY81,2),0)</f>
        <v>0</v>
      </c>
      <c r="U807" s="282"/>
      <c r="X807" s="282"/>
      <c r="Y807" s="282"/>
      <c r="Z807" s="282"/>
    </row>
    <row r="808" spans="1:26" ht="12.65" customHeight="1" x14ac:dyDescent="0.35">
      <c r="A808" s="209" t="str">
        <f>RIGHT($C$84,3)&amp;"*"&amp;RIGHT($C$83,4)&amp;"*"&amp;BZ$55&amp;"*"&amp;"A"</f>
        <v xml:space="preserve"> #2*164*8730*A</v>
      </c>
      <c r="B808" s="282"/>
      <c r="C808" s="285">
        <f>ROUND(BZ60,2)</f>
        <v>45.08</v>
      </c>
      <c r="D808" s="282">
        <f>ROUND(BZ61,0)</f>
        <v>4019580</v>
      </c>
      <c r="E808" s="282">
        <f>ROUND(BZ62,0)</f>
        <v>1404739</v>
      </c>
      <c r="F808" s="282">
        <f>ROUND(BZ63,0)</f>
        <v>0</v>
      </c>
      <c r="G808" s="282">
        <f>ROUND(BZ64,0)</f>
        <v>14011</v>
      </c>
      <c r="H808" s="282">
        <f>ROUND(BZ65,0)</f>
        <v>0</v>
      </c>
      <c r="I808" s="282">
        <f>ROUND(BZ66,0)</f>
        <v>631</v>
      </c>
      <c r="J808" s="282">
        <f>ROUND(BZ67,0)</f>
        <v>10052</v>
      </c>
      <c r="K808" s="282">
        <f>ROUND(BZ68,0)</f>
        <v>0</v>
      </c>
      <c r="L808" s="282">
        <f>ROUND(BZ70,0)</f>
        <v>0</v>
      </c>
      <c r="M808" s="282">
        <f>ROUND(BZ71,0)</f>
        <v>5449476</v>
      </c>
      <c r="N808" s="282"/>
      <c r="O808" s="282"/>
      <c r="P808" s="282">
        <f>IF(BZ77&gt;0,ROUND(BZ77,0),0)</f>
        <v>0</v>
      </c>
      <c r="Q808" s="282">
        <f>IF(BZ78&gt;0,ROUND(BZ78,0),0)</f>
        <v>0</v>
      </c>
      <c r="R808" s="282">
        <f>IF(BZ79&gt;0,ROUND(BZ79,0),0)</f>
        <v>0</v>
      </c>
      <c r="S808" s="282">
        <f>IF(BZ80&gt;0,ROUND(BZ80,0),0)</f>
        <v>0</v>
      </c>
      <c r="T808" s="285">
        <f>IF(BZ81&gt;0,ROUND(BZ81,2),0)</f>
        <v>0</v>
      </c>
      <c r="U808" s="282"/>
      <c r="X808" s="282"/>
      <c r="Y808" s="282"/>
      <c r="Z808" s="282"/>
    </row>
    <row r="809" spans="1:26" ht="12.65" customHeight="1" x14ac:dyDescent="0.35">
      <c r="A809" s="209" t="str">
        <f>RIGHT($C$84,3)&amp;"*"&amp;RIGHT($C$83,4)&amp;"*"&amp;CA$55&amp;"*"&amp;"A"</f>
        <v xml:space="preserve"> #2*164*8740*A</v>
      </c>
      <c r="B809" s="282"/>
      <c r="C809" s="285">
        <f>ROUND(CA60,2)</f>
        <v>14.78</v>
      </c>
      <c r="D809" s="282">
        <f>ROUND(CA61,0)</f>
        <v>1483296</v>
      </c>
      <c r="E809" s="282">
        <f>ROUND(CA62,0)</f>
        <v>362051</v>
      </c>
      <c r="F809" s="282">
        <f>ROUND(CA63,0)</f>
        <v>0</v>
      </c>
      <c r="G809" s="282">
        <f>ROUND(CA64,0)</f>
        <v>223537</v>
      </c>
      <c r="H809" s="282">
        <f>ROUND(CA65,0)</f>
        <v>0</v>
      </c>
      <c r="I809" s="282">
        <f>ROUND(CA66,0)</f>
        <v>229509</v>
      </c>
      <c r="J809" s="282">
        <f>ROUND(CA67,0)</f>
        <v>5112</v>
      </c>
      <c r="K809" s="282">
        <f>ROUND(CA68,0)</f>
        <v>5500</v>
      </c>
      <c r="L809" s="282">
        <f>ROUND(CA70,0)</f>
        <v>0</v>
      </c>
      <c r="M809" s="282">
        <f>ROUND(CA71,0)</f>
        <v>2703403</v>
      </c>
      <c r="N809" s="282"/>
      <c r="O809" s="282"/>
      <c r="P809" s="282">
        <f>IF(CA77&gt;0,ROUND(CA77,0),0)</f>
        <v>0</v>
      </c>
      <c r="Q809" s="282">
        <f>IF(CA78&gt;0,ROUND(CA78,0),0)</f>
        <v>697</v>
      </c>
      <c r="R809" s="282">
        <f>IF(CA79&gt;0,ROUND(CA79,0),0)</f>
        <v>0</v>
      </c>
      <c r="S809" s="282">
        <f>IF(CA80&gt;0,ROUND(CA80,0),0)</f>
        <v>0</v>
      </c>
      <c r="T809" s="285">
        <f>IF(CA81&gt;0,ROUND(CA81,2),0)</f>
        <v>0</v>
      </c>
      <c r="U809" s="282"/>
      <c r="X809" s="282"/>
      <c r="Y809" s="282"/>
      <c r="Z809" s="282"/>
    </row>
    <row r="810" spans="1:26" ht="12.65" customHeight="1" x14ac:dyDescent="0.35">
      <c r="A810" s="209" t="str">
        <f>RIGHT($C$84,3)&amp;"*"&amp;RIGHT($C$83,4)&amp;"*"&amp;CB$55&amp;"*"&amp;"A"</f>
        <v xml:space="preserve"> #2*164*8770*A</v>
      </c>
      <c r="B810" s="282"/>
      <c r="C810" s="285">
        <f>ROUND(CB60,2)</f>
        <v>70.239999999999995</v>
      </c>
      <c r="D810" s="282">
        <f>ROUND(CB61,0)</f>
        <v>5442969</v>
      </c>
      <c r="E810" s="282">
        <f>ROUND(CB62,0)</f>
        <v>1514611</v>
      </c>
      <c r="F810" s="282">
        <f>ROUND(CB63,0)</f>
        <v>413</v>
      </c>
      <c r="G810" s="282">
        <f>ROUND(CB64,0)</f>
        <v>58014</v>
      </c>
      <c r="H810" s="282">
        <f>ROUND(CB65,0)</f>
        <v>15578</v>
      </c>
      <c r="I810" s="282">
        <f>ROUND(CB66,0)</f>
        <v>124009</v>
      </c>
      <c r="J810" s="282">
        <f>ROUND(CB67,0)</f>
        <v>34354</v>
      </c>
      <c r="K810" s="282">
        <f>ROUND(CB68,0)</f>
        <v>141179</v>
      </c>
      <c r="L810" s="282">
        <f>ROUND(CB70,0)</f>
        <v>1483854</v>
      </c>
      <c r="M810" s="282">
        <f>ROUND(CB71,0)</f>
        <v>5850459</v>
      </c>
      <c r="N810" s="282"/>
      <c r="O810" s="282"/>
      <c r="P810" s="282">
        <f>IF(CB77&gt;0,ROUND(CB77,0),0)</f>
        <v>0</v>
      </c>
      <c r="Q810" s="282">
        <f>IF(CB78&gt;0,ROUND(CB78,0),0)</f>
        <v>506</v>
      </c>
      <c r="R810" s="282">
        <f>IF(CB79&gt;0,ROUND(CB79,0),0)</f>
        <v>0</v>
      </c>
      <c r="S810" s="282">
        <f>IF(CB80&gt;0,ROUND(CB80,0),0)</f>
        <v>0</v>
      </c>
      <c r="T810" s="285">
        <f>IF(CB81&gt;0,ROUND(CB81,2),0)</f>
        <v>0</v>
      </c>
      <c r="U810" s="282"/>
      <c r="X810" s="282"/>
      <c r="Y810" s="282"/>
      <c r="Z810" s="282"/>
    </row>
    <row r="811" spans="1:26" ht="12.65" customHeight="1" x14ac:dyDescent="0.35">
      <c r="A811" s="209" t="str">
        <f>RIGHT($C$84,3)&amp;"*"&amp;RIGHT($C$83,4)&amp;"*"&amp;CC$55&amp;"*"&amp;"A"</f>
        <v xml:space="preserve"> #2*164*8790*A</v>
      </c>
      <c r="B811" s="282"/>
      <c r="C811" s="285">
        <f>ROUND(CC60,2)</f>
        <v>44.01</v>
      </c>
      <c r="D811" s="282">
        <f>ROUND(CC61,0)</f>
        <v>5593137</v>
      </c>
      <c r="E811" s="282">
        <f>ROUND(CC62,0)</f>
        <v>1023909</v>
      </c>
      <c r="F811" s="282">
        <f>ROUND(CC63,0)</f>
        <v>536130</v>
      </c>
      <c r="G811" s="282">
        <f>ROUND(CC64,0)</f>
        <v>-1973055</v>
      </c>
      <c r="H811" s="282">
        <f>ROUND(CC65,0)</f>
        <v>28126</v>
      </c>
      <c r="I811" s="282">
        <f>ROUND(CC66,0)</f>
        <v>10591408</v>
      </c>
      <c r="J811" s="282">
        <f>ROUND(CC67,0)</f>
        <v>68397</v>
      </c>
      <c r="K811" s="282">
        <f>ROUND(CC68,0)</f>
        <v>1170</v>
      </c>
      <c r="L811" s="282">
        <f>ROUND(CC70,0)</f>
        <v>12725052</v>
      </c>
      <c r="M811" s="282">
        <f>ROUND(CC71,0)</f>
        <v>7198573</v>
      </c>
      <c r="N811" s="282"/>
      <c r="O811" s="282"/>
      <c r="P811" s="282">
        <f>IF(CC77&gt;0,ROUND(CC77,0),0)</f>
        <v>0</v>
      </c>
      <c r="Q811" s="282">
        <f>IF(CC78&gt;0,ROUND(CC78,0),0)</f>
        <v>0</v>
      </c>
      <c r="R811" s="282">
        <f>IF(CC79&gt;0,ROUND(CC79,0),0)</f>
        <v>0</v>
      </c>
      <c r="S811" s="282">
        <f>IF(CC80&gt;0,ROUND(CC80,0),0)</f>
        <v>0</v>
      </c>
      <c r="T811" s="285">
        <f>IF(CC81&gt;0,ROUND(CC81,2),0)</f>
        <v>0</v>
      </c>
      <c r="U811" s="282"/>
      <c r="X811" s="282"/>
      <c r="Y811" s="282"/>
      <c r="Z811" s="282"/>
    </row>
    <row r="812" spans="1:26" ht="12.65" customHeight="1" x14ac:dyDescent="0.35">
      <c r="A812" s="209" t="str">
        <f>RIGHT($C$84,3)&amp;"*"&amp;RIGHT($C$83,4)&amp;"*"&amp;"9000"&amp;"*"&amp;"A"</f>
        <v xml:space="preserve"> #2*164*9000*A</v>
      </c>
      <c r="B812" s="282"/>
      <c r="C812" s="286"/>
      <c r="D812" s="282"/>
      <c r="E812" s="282"/>
      <c r="F812" s="282"/>
      <c r="G812" s="282"/>
      <c r="H812" s="282"/>
      <c r="I812" s="282"/>
      <c r="J812" s="282"/>
      <c r="K812" s="282"/>
      <c r="L812" s="282"/>
      <c r="M812" s="282"/>
      <c r="N812" s="282"/>
      <c r="O812" s="282"/>
      <c r="P812" s="282"/>
      <c r="Q812" s="282"/>
      <c r="R812" s="282"/>
      <c r="S812" s="282"/>
      <c r="T812" s="286"/>
      <c r="U812" s="282">
        <f>ROUND(CD70,0)</f>
        <v>1597766</v>
      </c>
      <c r="V812" s="180">
        <f>ROUND(CD69,0)</f>
        <v>9163002</v>
      </c>
      <c r="W812" s="180">
        <f>ROUND(CD71,0)</f>
        <v>7565236</v>
      </c>
      <c r="X812" s="282">
        <f>ROUND(CE73,0)</f>
        <v>806347253</v>
      </c>
      <c r="Y812" s="282">
        <f>ROUND(C132,0)</f>
        <v>0</v>
      </c>
      <c r="Z812" s="282"/>
    </row>
    <row r="814" spans="1:26" ht="12.65" customHeight="1" x14ac:dyDescent="0.35">
      <c r="B814" s="199" t="s">
        <v>1004</v>
      </c>
      <c r="C814" s="263">
        <f t="shared" ref="C814:K814" si="23">SUM(C733:C812)</f>
        <v>3776.9000000000015</v>
      </c>
      <c r="D814" s="180">
        <f t="shared" si="23"/>
        <v>396802107</v>
      </c>
      <c r="E814" s="180">
        <f t="shared" si="23"/>
        <v>92499077</v>
      </c>
      <c r="F814" s="180">
        <f t="shared" si="23"/>
        <v>18767522</v>
      </c>
      <c r="G814" s="180">
        <f t="shared" si="23"/>
        <v>104115545</v>
      </c>
      <c r="H814" s="180">
        <f t="shared" si="23"/>
        <v>6254683</v>
      </c>
      <c r="I814" s="180">
        <f t="shared" si="23"/>
        <v>64724256</v>
      </c>
      <c r="J814" s="180">
        <f t="shared" si="23"/>
        <v>35828142</v>
      </c>
      <c r="K814" s="180">
        <f t="shared" si="23"/>
        <v>15464106</v>
      </c>
      <c r="L814" s="180">
        <f>SUM(L733:L812)+SUM(U733:U812)</f>
        <v>47000824</v>
      </c>
      <c r="M814" s="180">
        <f>SUM(M733:M812)+SUM(W733:W812)</f>
        <v>706851681</v>
      </c>
      <c r="N814" s="180">
        <f t="shared" ref="N814:Z814" si="24">SUM(N733:N812)</f>
        <v>722593</v>
      </c>
      <c r="O814" s="180">
        <f t="shared" si="24"/>
        <v>1098178163</v>
      </c>
      <c r="P814" s="180">
        <f t="shared" si="24"/>
        <v>198262</v>
      </c>
      <c r="Q814" s="180">
        <f t="shared" si="24"/>
        <v>105453</v>
      </c>
      <c r="R814" s="180">
        <f t="shared" si="24"/>
        <v>2375725</v>
      </c>
      <c r="S814" s="180">
        <f t="shared" si="24"/>
        <v>939</v>
      </c>
      <c r="T814" s="263">
        <f t="shared" si="24"/>
        <v>0</v>
      </c>
      <c r="U814" s="180">
        <f t="shared" si="24"/>
        <v>1597766</v>
      </c>
      <c r="V814" s="180">
        <f t="shared" si="24"/>
        <v>9163002</v>
      </c>
      <c r="W814" s="180">
        <f t="shared" si="24"/>
        <v>7565236</v>
      </c>
      <c r="X814" s="180">
        <f t="shared" si="24"/>
        <v>806347253</v>
      </c>
      <c r="Y814" s="180">
        <f t="shared" si="24"/>
        <v>0</v>
      </c>
      <c r="Z814" s="180">
        <f t="shared" si="24"/>
        <v>173706798</v>
      </c>
    </row>
    <row r="815" spans="1:26" ht="12.65" customHeight="1" x14ac:dyDescent="0.35">
      <c r="B815" s="180" t="s">
        <v>1005</v>
      </c>
      <c r="C815" s="263">
        <f>CE60</f>
        <v>3776.9151963601539</v>
      </c>
      <c r="D815" s="180">
        <f>CE61</f>
        <v>396802109.25999999</v>
      </c>
      <c r="E815" s="180">
        <f>CE62</f>
        <v>92499077</v>
      </c>
      <c r="F815" s="180">
        <f>CE63</f>
        <v>18767519.540000003</v>
      </c>
      <c r="G815" s="180">
        <f>CE64</f>
        <v>104115543.92000002</v>
      </c>
      <c r="H815" s="240">
        <f>CE65</f>
        <v>6254681.330000001</v>
      </c>
      <c r="I815" s="240">
        <f>CE66</f>
        <v>64724254.180000022</v>
      </c>
      <c r="J815" s="240">
        <f>CE67</f>
        <v>35828142</v>
      </c>
      <c r="K815" s="240">
        <f>CE68</f>
        <v>15464105.580000004</v>
      </c>
      <c r="L815" s="240">
        <f>CE70</f>
        <v>47000825.919999994</v>
      </c>
      <c r="M815" s="240">
        <f>CE71</f>
        <v>706851682.64000022</v>
      </c>
      <c r="N815" s="180">
        <f>CE76</f>
        <v>1605304</v>
      </c>
      <c r="O815" s="180">
        <f>CE74</f>
        <v>1098178162.3000002</v>
      </c>
      <c r="P815" s="180">
        <f>CE77</f>
        <v>198262</v>
      </c>
      <c r="Q815" s="180">
        <f>CE78</f>
        <v>105453</v>
      </c>
      <c r="R815" s="180">
        <f>CE79</f>
        <v>2375724.7999999998</v>
      </c>
      <c r="S815" s="180">
        <f>CE80</f>
        <v>939.05448659003832</v>
      </c>
      <c r="T815" s="263">
        <f>CE81</f>
        <v>0</v>
      </c>
      <c r="U815" s="181" t="s">
        <v>1006</v>
      </c>
      <c r="V815" s="181" t="s">
        <v>1006</v>
      </c>
      <c r="W815" s="181" t="s">
        <v>1006</v>
      </c>
      <c r="X815" s="181" t="s">
        <v>1006</v>
      </c>
      <c r="Y815" s="181" t="s">
        <v>1006</v>
      </c>
      <c r="Z815" s="180">
        <f>M715</f>
        <v>176081019</v>
      </c>
    </row>
    <row r="816" spans="1:26" ht="12.65" customHeight="1" x14ac:dyDescent="0.35">
      <c r="B816" s="180" t="s">
        <v>471</v>
      </c>
      <c r="C816" s="199" t="s">
        <v>1007</v>
      </c>
      <c r="D816" s="180">
        <f>C376</f>
        <v>0</v>
      </c>
      <c r="E816" s="180">
        <f>C377</f>
        <v>0</v>
      </c>
      <c r="F816" s="180">
        <f>C378</f>
        <v>396802109</v>
      </c>
      <c r="G816" s="240">
        <f>C379</f>
        <v>92499075</v>
      </c>
      <c r="H816" s="240">
        <f>C380</f>
        <v>18767520</v>
      </c>
      <c r="I816" s="240">
        <f>C381</f>
        <v>104115544</v>
      </c>
      <c r="J816" s="240">
        <f>C382</f>
        <v>6254681</v>
      </c>
      <c r="K816" s="240">
        <f>C383</f>
        <v>64724254</v>
      </c>
      <c r="L816" s="240">
        <f>C384+C385+C386+C388</f>
        <v>63175427</v>
      </c>
      <c r="M816" s="240">
        <f>C368</f>
        <v>0</v>
      </c>
      <c r="N816" s="180">
        <f>D360</f>
        <v>0</v>
      </c>
      <c r="O816" s="180">
        <f>C358</f>
        <v>0</v>
      </c>
    </row>
  </sheetData>
  <mergeCells count="1">
    <mergeCell ref="B220:C220"/>
  </mergeCells>
  <phoneticPr fontId="0" type="noConversion"/>
  <hyperlinks>
    <hyperlink ref="A16" r:id="rId1" xr:uid="{75F5D46C-1B36-4E7B-8E74-5CACC58F14DE}"/>
    <hyperlink ref="A17" r:id="rId2" xr:uid="{23FB9FB9-2694-419C-8EE6-12D940527956}"/>
  </hyperlinks>
  <printOptions horizontalCentered="1" gridLinesSet="0"/>
  <pageMargins left="0.25" right="0.25" top="0.5" bottom="0.5" header="0.5" footer="0.5"/>
  <pageSetup scale="95" orientation="portrait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B1:M44"/>
  <sheetViews>
    <sheetView showGridLines="0" zoomScale="75" workbookViewId="0">
      <selection activeCell="P40" sqref="P40"/>
    </sheetView>
  </sheetViews>
  <sheetFormatPr defaultColWidth="10.75" defaultRowHeight="13.3" x14ac:dyDescent="0.25"/>
  <cols>
    <col min="1" max="1" width="2.75" customWidth="1"/>
    <col min="2" max="3" width="10.75" customWidth="1"/>
    <col min="4" max="4" width="2.75" customWidth="1"/>
    <col min="5" max="6" width="10.75" customWidth="1"/>
    <col min="7" max="7" width="2.75" customWidth="1"/>
    <col min="8" max="8" width="10.75" customWidth="1"/>
    <col min="9" max="10" width="8.75" customWidth="1"/>
    <col min="11" max="11" width="2.75" customWidth="1"/>
  </cols>
  <sheetData>
    <row r="1" spans="2:13" ht="13.75" thickBot="1" x14ac:dyDescent="0.3">
      <c r="J1" s="166" t="s">
        <v>1008</v>
      </c>
    </row>
    <row r="2" spans="2:13" ht="15.45" thickTop="1" x14ac:dyDescent="0.35">
      <c r="B2" s="141"/>
      <c r="C2" s="142"/>
      <c r="D2" s="142"/>
      <c r="E2" s="142"/>
      <c r="F2" s="142"/>
      <c r="G2" s="142"/>
      <c r="H2" s="142"/>
      <c r="I2" s="142"/>
      <c r="J2" s="143"/>
    </row>
    <row r="3" spans="2:13" ht="15" x14ac:dyDescent="0.35">
      <c r="B3" s="144"/>
      <c r="C3" s="8"/>
      <c r="D3" s="8"/>
      <c r="E3" s="8"/>
      <c r="F3" s="76" t="s">
        <v>1009</v>
      </c>
      <c r="G3" s="76"/>
      <c r="H3" s="8"/>
      <c r="I3" s="8"/>
      <c r="J3" s="145"/>
    </row>
    <row r="4" spans="2:13" ht="15" x14ac:dyDescent="0.35">
      <c r="B4" s="144"/>
      <c r="C4" s="8"/>
      <c r="D4" s="8"/>
      <c r="E4" s="8"/>
      <c r="F4" s="76" t="s">
        <v>1010</v>
      </c>
      <c r="G4" s="76"/>
      <c r="H4" s="8"/>
      <c r="I4" s="8"/>
      <c r="J4" s="145"/>
    </row>
    <row r="5" spans="2:13" ht="15" x14ac:dyDescent="0.35">
      <c r="B5" s="144"/>
      <c r="C5" s="8"/>
      <c r="D5" s="8"/>
      <c r="E5" s="8"/>
      <c r="F5" s="8"/>
      <c r="G5" s="8"/>
      <c r="H5" s="8"/>
      <c r="I5" s="8"/>
      <c r="J5" s="145"/>
    </row>
    <row r="6" spans="2:13" ht="15.45" thickBot="1" x14ac:dyDescent="0.4">
      <c r="B6" s="146"/>
      <c r="C6" s="147"/>
      <c r="D6" s="147"/>
      <c r="E6" s="147"/>
      <c r="F6" s="147"/>
      <c r="G6" s="147"/>
      <c r="H6" s="147"/>
      <c r="I6" s="147"/>
      <c r="J6" s="289" t="s">
        <v>1263</v>
      </c>
    </row>
    <row r="7" spans="2:13" ht="15.45" thickTop="1" x14ac:dyDescent="0.35">
      <c r="B7" s="144"/>
      <c r="C7" s="8"/>
      <c r="D7" s="8"/>
      <c r="E7" s="8"/>
      <c r="F7" s="8"/>
      <c r="G7" s="8"/>
      <c r="H7" s="8"/>
      <c r="I7" s="8"/>
      <c r="J7" s="145"/>
    </row>
    <row r="8" spans="2:13" ht="15.45" thickBot="1" x14ac:dyDescent="0.4">
      <c r="B8" s="144"/>
      <c r="C8" s="8"/>
      <c r="D8" s="8"/>
      <c r="E8" s="8"/>
      <c r="F8" s="76" t="s">
        <v>1011</v>
      </c>
      <c r="G8" s="76"/>
      <c r="H8" s="8"/>
      <c r="I8" s="8"/>
      <c r="J8" s="145"/>
    </row>
    <row r="9" spans="2:13" ht="15.45" thickTop="1" x14ac:dyDescent="0.35">
      <c r="B9" s="141"/>
      <c r="C9" s="142"/>
      <c r="D9" s="142"/>
      <c r="E9" s="142"/>
      <c r="F9" s="149" t="s">
        <v>1012</v>
      </c>
      <c r="G9" s="149"/>
      <c r="H9" s="142"/>
      <c r="I9" s="142"/>
      <c r="J9" s="143"/>
    </row>
    <row r="10" spans="2:13" ht="15" x14ac:dyDescent="0.35">
      <c r="B10" s="144"/>
      <c r="C10" s="8"/>
      <c r="D10" s="8"/>
      <c r="E10" s="8"/>
      <c r="F10" s="76" t="s">
        <v>1260</v>
      </c>
      <c r="G10" s="76"/>
      <c r="H10" s="8"/>
      <c r="I10" s="8"/>
      <c r="J10" s="145"/>
    </row>
    <row r="11" spans="2:13" ht="15" x14ac:dyDescent="0.35">
      <c r="B11" s="144"/>
      <c r="C11" s="8"/>
      <c r="D11" s="8"/>
      <c r="E11" s="8"/>
      <c r="F11" s="76"/>
      <c r="G11" s="76"/>
      <c r="H11" s="8"/>
      <c r="I11" s="8"/>
      <c r="J11" s="145"/>
    </row>
    <row r="12" spans="2:13" ht="15" x14ac:dyDescent="0.35">
      <c r="B12" s="144"/>
      <c r="C12" s="8"/>
      <c r="D12" s="8"/>
      <c r="E12" s="8"/>
      <c r="F12" s="76" t="s">
        <v>1261</v>
      </c>
      <c r="G12" s="76"/>
      <c r="H12" s="8"/>
      <c r="I12" s="8"/>
      <c r="J12" s="145"/>
    </row>
    <row r="13" spans="2:13" ht="15" x14ac:dyDescent="0.35">
      <c r="B13" s="144"/>
      <c r="C13" s="8"/>
      <c r="D13" s="8"/>
      <c r="E13" s="8"/>
      <c r="F13" s="76" t="s">
        <v>1262</v>
      </c>
      <c r="G13" s="76"/>
      <c r="H13" s="8"/>
      <c r="I13" s="8"/>
      <c r="J13" s="145"/>
    </row>
    <row r="14" spans="2:13" ht="15.45" thickBot="1" x14ac:dyDescent="0.4">
      <c r="B14" s="146"/>
      <c r="C14" s="147"/>
      <c r="D14" s="147"/>
      <c r="E14" s="147"/>
      <c r="F14" s="147"/>
      <c r="G14" s="147"/>
      <c r="H14" s="147"/>
      <c r="I14" s="147"/>
      <c r="J14" s="148"/>
    </row>
    <row r="15" spans="2:13" ht="15.45" thickTop="1" x14ac:dyDescent="0.35">
      <c r="B15" s="144"/>
      <c r="C15" s="8"/>
      <c r="D15" s="8"/>
      <c r="E15" s="8"/>
      <c r="F15" s="8"/>
      <c r="G15" s="8"/>
      <c r="H15" s="8"/>
      <c r="I15" s="8"/>
      <c r="J15" s="145"/>
      <c r="M15" s="259"/>
    </row>
    <row r="16" spans="2:13" ht="15.45" thickBot="1" x14ac:dyDescent="0.4">
      <c r="B16" s="144"/>
      <c r="C16" s="8"/>
      <c r="D16" s="8"/>
      <c r="E16" s="8"/>
      <c r="F16" s="8" t="s">
        <v>1013</v>
      </c>
      <c r="G16" s="8"/>
      <c r="H16" s="8"/>
      <c r="I16" s="8"/>
      <c r="J16" s="145"/>
    </row>
    <row r="17" spans="2:10" ht="15.45" thickTop="1" x14ac:dyDescent="0.35">
      <c r="B17" s="141"/>
      <c r="C17" s="150" t="s">
        <v>1014</v>
      </c>
      <c r="D17" s="150"/>
      <c r="E17" s="142" t="str">
        <f>+data!C84</f>
        <v>EvergreenHealth Kirkland / King Country Public Hos #2</v>
      </c>
      <c r="F17" s="149"/>
      <c r="G17" s="149"/>
      <c r="H17" s="142"/>
      <c r="I17" s="142"/>
      <c r="J17" s="143"/>
    </row>
    <row r="18" spans="2:10" ht="15" x14ac:dyDescent="0.35">
      <c r="B18" s="144"/>
      <c r="C18" s="151" t="s">
        <v>1015</v>
      </c>
      <c r="D18" s="151"/>
      <c r="E18" s="8" t="str">
        <f>+"H-"&amp;data!C83</f>
        <v>H-164</v>
      </c>
      <c r="F18" s="76"/>
      <c r="G18" s="76"/>
      <c r="H18" s="8"/>
      <c r="I18" s="8"/>
      <c r="J18" s="145"/>
    </row>
    <row r="19" spans="2:10" ht="15" x14ac:dyDescent="0.35">
      <c r="B19" s="144"/>
      <c r="C19" s="151" t="s">
        <v>1016</v>
      </c>
      <c r="D19" s="151"/>
      <c r="E19" s="8" t="str">
        <f>+data!C85</f>
        <v>12040 NE 128th Street</v>
      </c>
      <c r="F19" s="76"/>
      <c r="G19" s="76"/>
      <c r="H19" s="8"/>
      <c r="I19" s="8"/>
      <c r="J19" s="145"/>
    </row>
    <row r="20" spans="2:10" ht="15" x14ac:dyDescent="0.35">
      <c r="B20" s="144"/>
      <c r="C20" s="151" t="s">
        <v>1017</v>
      </c>
      <c r="D20" s="151"/>
      <c r="E20" s="8">
        <f>+data!C86</f>
        <v>0</v>
      </c>
      <c r="F20" s="76"/>
      <c r="G20" s="76"/>
      <c r="H20" s="8"/>
      <c r="I20" s="8"/>
      <c r="J20" s="145"/>
    </row>
    <row r="21" spans="2:10" ht="15" x14ac:dyDescent="0.35">
      <c r="B21" s="144"/>
      <c r="C21" s="151" t="s">
        <v>1018</v>
      </c>
      <c r="D21" s="151"/>
      <c r="E21" s="8" t="str">
        <f>+data!C87</f>
        <v>Kirkland, WA 98034</v>
      </c>
      <c r="F21" s="76"/>
      <c r="G21" s="76"/>
      <c r="H21" s="8"/>
      <c r="I21" s="8"/>
      <c r="J21" s="145"/>
    </row>
    <row r="22" spans="2:10" ht="15.45" thickBot="1" x14ac:dyDescent="0.4">
      <c r="B22" s="146"/>
      <c r="C22" s="147"/>
      <c r="D22" s="147"/>
      <c r="E22" s="147"/>
      <c r="F22" s="147"/>
      <c r="G22" s="147"/>
      <c r="H22" s="147"/>
      <c r="I22" s="147"/>
      <c r="J22" s="148"/>
    </row>
    <row r="23" spans="2:10" ht="15.45" thickTop="1" x14ac:dyDescent="0.35">
      <c r="B23" s="144"/>
      <c r="C23" s="8"/>
      <c r="D23" s="8"/>
      <c r="E23" s="8"/>
      <c r="F23" s="8"/>
      <c r="G23" s="8"/>
      <c r="H23" s="8"/>
      <c r="I23" s="8"/>
      <c r="J23" s="145"/>
    </row>
    <row r="24" spans="2:10" ht="15" x14ac:dyDescent="0.35">
      <c r="B24" s="144"/>
      <c r="C24" s="8"/>
      <c r="D24" s="8"/>
      <c r="E24" s="8"/>
      <c r="F24" s="8"/>
      <c r="G24" s="8"/>
      <c r="H24" s="8"/>
      <c r="I24" s="8"/>
      <c r="J24" s="145"/>
    </row>
    <row r="25" spans="2:10" ht="15" x14ac:dyDescent="0.35">
      <c r="B25" s="144"/>
      <c r="C25" s="8"/>
      <c r="D25" s="8"/>
      <c r="E25" s="8"/>
      <c r="F25" s="8"/>
      <c r="G25" s="8"/>
      <c r="H25" s="8"/>
      <c r="I25" s="8"/>
      <c r="J25" s="145"/>
    </row>
    <row r="26" spans="2:10" ht="15" x14ac:dyDescent="0.35">
      <c r="B26" s="152"/>
      <c r="C26" s="70"/>
      <c r="D26" s="70"/>
      <c r="E26" s="70"/>
      <c r="F26" s="153" t="s">
        <v>1019</v>
      </c>
      <c r="G26" s="70"/>
      <c r="H26" s="70"/>
      <c r="I26" s="70"/>
      <c r="J26" s="154"/>
    </row>
    <row r="27" spans="2:10" ht="15" x14ac:dyDescent="0.35">
      <c r="B27" s="155" t="s">
        <v>1020</v>
      </c>
      <c r="C27" s="120"/>
      <c r="D27" s="120"/>
      <c r="E27" s="120"/>
      <c r="F27" s="120"/>
      <c r="G27" s="120"/>
      <c r="H27" s="120"/>
      <c r="I27" s="120"/>
      <c r="J27" s="156"/>
    </row>
    <row r="28" spans="2:10" ht="15" x14ac:dyDescent="0.35">
      <c r="B28" s="144" t="str">
        <f>+"by the Department of Health for the fiscal year ended "&amp;data!C82&amp;"."</f>
        <v>by the Department of Health for the fiscal year ended 12/31/2021.</v>
      </c>
      <c r="C28" s="8"/>
      <c r="D28" s="8"/>
      <c r="E28" s="8"/>
      <c r="F28" s="8"/>
      <c r="G28" s="8"/>
      <c r="H28" s="8"/>
      <c r="I28" s="8"/>
      <c r="J28" s="145"/>
    </row>
    <row r="29" spans="2:10" ht="15" x14ac:dyDescent="0.35">
      <c r="B29" s="144" t="s">
        <v>1021</v>
      </c>
      <c r="C29" s="8"/>
      <c r="D29" s="8"/>
      <c r="E29" s="8"/>
      <c r="F29" s="8"/>
      <c r="G29" s="8"/>
      <c r="H29" s="8"/>
      <c r="I29" s="8"/>
      <c r="J29" s="145"/>
    </row>
    <row r="30" spans="2:10" ht="15" x14ac:dyDescent="0.35">
      <c r="B30" s="157" t="s">
        <v>1022</v>
      </c>
      <c r="C30" s="119"/>
      <c r="D30" s="119"/>
      <c r="E30" s="119"/>
      <c r="F30" s="119"/>
      <c r="G30" s="119"/>
      <c r="H30" s="119"/>
      <c r="I30" s="119"/>
      <c r="J30" s="158"/>
    </row>
    <row r="31" spans="2:10" ht="15" x14ac:dyDescent="0.35">
      <c r="B31" s="155"/>
      <c r="C31" s="120"/>
      <c r="D31" s="120"/>
      <c r="E31" s="120"/>
      <c r="F31" s="120"/>
      <c r="G31" s="120"/>
      <c r="H31" s="120"/>
      <c r="I31" s="120"/>
      <c r="J31" s="156"/>
    </row>
    <row r="32" spans="2:10" ht="15" x14ac:dyDescent="0.35">
      <c r="B32" s="144"/>
      <c r="C32" s="8"/>
      <c r="D32" s="8"/>
      <c r="E32" s="8"/>
      <c r="F32" s="8"/>
      <c r="G32" s="8"/>
      <c r="H32" s="8"/>
      <c r="I32" s="8"/>
      <c r="J32" s="145"/>
    </row>
    <row r="33" spans="2:10" ht="15" x14ac:dyDescent="0.35">
      <c r="B33" s="159" t="s">
        <v>221</v>
      </c>
      <c r="C33" s="119"/>
      <c r="D33" s="119"/>
      <c r="E33" s="119"/>
      <c r="F33" s="119"/>
      <c r="G33" s="119"/>
      <c r="H33" s="119"/>
      <c r="I33" s="119"/>
      <c r="J33" s="158"/>
    </row>
    <row r="34" spans="2:10" ht="15" x14ac:dyDescent="0.35">
      <c r="B34" s="152" t="s">
        <v>1023</v>
      </c>
      <c r="C34" s="70"/>
      <c r="D34" s="70"/>
      <c r="E34" s="70"/>
      <c r="F34" s="153"/>
      <c r="G34" s="70"/>
      <c r="H34" s="70"/>
      <c r="I34" s="70"/>
      <c r="J34" s="154"/>
    </row>
    <row r="35" spans="2:10" ht="15" x14ac:dyDescent="0.35">
      <c r="B35" s="152" t="s">
        <v>1024</v>
      </c>
      <c r="C35" s="70"/>
      <c r="D35" s="70"/>
      <c r="E35" s="70"/>
      <c r="F35" s="153"/>
      <c r="G35" s="70"/>
      <c r="H35" s="70"/>
      <c r="I35" s="70"/>
      <c r="J35" s="154"/>
    </row>
    <row r="36" spans="2:10" ht="15" x14ac:dyDescent="0.35">
      <c r="B36" s="152" t="s">
        <v>1025</v>
      </c>
      <c r="C36" s="70"/>
      <c r="D36" s="70"/>
      <c r="E36" s="70"/>
      <c r="F36" s="153"/>
      <c r="G36" s="70"/>
      <c r="H36" s="70"/>
      <c r="I36" s="70"/>
      <c r="J36" s="154"/>
    </row>
    <row r="37" spans="2:10" ht="15" x14ac:dyDescent="0.35">
      <c r="B37" s="155"/>
      <c r="C37" s="120"/>
      <c r="D37" s="120"/>
      <c r="E37" s="120"/>
      <c r="F37" s="120"/>
      <c r="G37" s="120"/>
      <c r="H37" s="120"/>
      <c r="I37" s="120"/>
      <c r="J37" s="156"/>
    </row>
    <row r="38" spans="2:10" ht="15" x14ac:dyDescent="0.35">
      <c r="B38" s="144"/>
      <c r="C38" s="8"/>
      <c r="D38" s="8"/>
      <c r="E38" s="8"/>
      <c r="F38" s="8"/>
      <c r="G38" s="8"/>
      <c r="H38" s="8"/>
      <c r="I38" s="8"/>
      <c r="J38" s="145"/>
    </row>
    <row r="39" spans="2:10" ht="15" x14ac:dyDescent="0.35">
      <c r="B39" s="159" t="s">
        <v>221</v>
      </c>
      <c r="C39" s="119"/>
      <c r="D39" s="119"/>
      <c r="E39" s="119"/>
      <c r="F39" s="119"/>
      <c r="G39" s="119"/>
      <c r="H39" s="119"/>
      <c r="I39" s="119"/>
      <c r="J39" s="158"/>
    </row>
    <row r="40" spans="2:10" ht="15" x14ac:dyDescent="0.35">
      <c r="B40" s="152" t="s">
        <v>1026</v>
      </c>
      <c r="C40" s="70"/>
      <c r="D40" s="70"/>
      <c r="E40" s="70"/>
      <c r="F40" s="153"/>
      <c r="G40" s="70"/>
      <c r="H40" s="70"/>
      <c r="I40" s="70"/>
      <c r="J40" s="154"/>
    </row>
    <row r="41" spans="2:10" ht="15" x14ac:dyDescent="0.35">
      <c r="B41" s="152" t="s">
        <v>1024</v>
      </c>
      <c r="C41" s="70"/>
      <c r="D41" s="70"/>
      <c r="E41" s="70"/>
      <c r="F41" s="153"/>
      <c r="G41" s="70"/>
      <c r="H41" s="70"/>
      <c r="I41" s="70"/>
      <c r="J41" s="154"/>
    </row>
    <row r="42" spans="2:10" ht="15.45" thickBot="1" x14ac:dyDescent="0.4">
      <c r="B42" s="160" t="s">
        <v>1025</v>
      </c>
      <c r="C42" s="161"/>
      <c r="D42" s="161"/>
      <c r="E42" s="161"/>
      <c r="F42" s="162"/>
      <c r="G42" s="161"/>
      <c r="H42" s="161"/>
      <c r="I42" s="161"/>
      <c r="J42" s="163"/>
    </row>
    <row r="43" spans="2:10" ht="13.75" thickTop="1" x14ac:dyDescent="0.25"/>
    <row r="44" spans="2:10" x14ac:dyDescent="0.25">
      <c r="B44" s="164"/>
      <c r="C44" s="164"/>
      <c r="D44" s="164"/>
      <c r="E44" s="164"/>
      <c r="F44" s="164"/>
      <c r="G44" s="164"/>
      <c r="H44" s="164"/>
      <c r="I44" s="164"/>
      <c r="J44" s="164"/>
    </row>
  </sheetData>
  <sheetProtection sheet="1" objects="1" scenarios="1"/>
  <phoneticPr fontId="0" type="noConversion"/>
  <pageMargins left="0.75" right="0.75" top="1" bottom="1" header="0.5" footer="0.5"/>
  <pageSetup scale="8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M40"/>
  <sheetViews>
    <sheetView showGridLines="0" topLeftCell="A4" zoomScale="75" workbookViewId="0">
      <selection activeCell="D24" sqref="D24"/>
    </sheetView>
  </sheetViews>
  <sheetFormatPr defaultColWidth="8.875" defaultRowHeight="18" customHeight="1" x14ac:dyDescent="0.35"/>
  <cols>
    <col min="1" max="1" width="4.75" style="2" customWidth="1"/>
    <col min="2" max="2" width="15.4375" style="2" customWidth="1"/>
    <col min="3" max="3" width="4.75" style="2" customWidth="1"/>
    <col min="4" max="4" width="15.75" style="2" customWidth="1"/>
    <col min="5" max="5" width="4.75" style="2" customWidth="1"/>
    <col min="6" max="7" width="13.75" style="2" customWidth="1"/>
    <col min="8" max="16384" width="8.875" style="2"/>
  </cols>
  <sheetData>
    <row r="1" spans="1:13" ht="20.149999999999999" customHeight="1" x14ac:dyDescent="0.35">
      <c r="A1" s="7"/>
      <c r="B1" s="7"/>
      <c r="C1" s="7"/>
      <c r="D1" s="7"/>
      <c r="E1" s="7"/>
      <c r="F1" s="7"/>
      <c r="G1" s="169" t="s">
        <v>1027</v>
      </c>
      <c r="H1" s="7"/>
    </row>
    <row r="2" spans="1:13" ht="20.149999999999999" customHeight="1" x14ac:dyDescent="0.35">
      <c r="A2" s="6" t="s">
        <v>1028</v>
      </c>
      <c r="B2" s="6"/>
      <c r="C2" s="6"/>
      <c r="D2" s="6"/>
      <c r="E2" s="6"/>
      <c r="F2" s="6"/>
      <c r="G2" s="11"/>
      <c r="H2" s="7"/>
    </row>
    <row r="3" spans="1:13" ht="20.149999999999999" customHeight="1" x14ac:dyDescent="0.35">
      <c r="A3" s="7"/>
      <c r="B3" s="5"/>
      <c r="C3" s="5"/>
      <c r="D3" s="5"/>
      <c r="E3" s="5"/>
      <c r="F3" s="5"/>
      <c r="G3" s="5"/>
      <c r="H3" s="7"/>
    </row>
    <row r="4" spans="1:13" ht="20.149999999999999" customHeight="1" x14ac:dyDescent="0.35">
      <c r="A4" s="13">
        <v>1</v>
      </c>
      <c r="B4" s="127" t="str">
        <f>"Fiscal Year Ended:  "&amp;data!C82</f>
        <v>Fiscal Year Ended:  12/31/2021</v>
      </c>
      <c r="C4" s="38"/>
      <c r="D4" s="120"/>
      <c r="E4" s="70"/>
      <c r="F4" s="127" t="str">
        <f>"License Number:  "&amp;"H-"&amp;FIXED(data!C83,0)</f>
        <v>License Number:  H-164</v>
      </c>
      <c r="G4" s="24"/>
      <c r="H4" s="7"/>
    </row>
    <row r="5" spans="1:13" ht="20.149999999999999" customHeight="1" x14ac:dyDescent="0.35">
      <c r="A5" s="13">
        <v>2</v>
      </c>
      <c r="B5" s="49" t="s">
        <v>257</v>
      </c>
      <c r="C5" s="24"/>
      <c r="D5" s="127" t="str">
        <f>"  "&amp;data!C84</f>
        <v xml:space="preserve">  EvergreenHealth Kirkland / King Country Public Hos #2</v>
      </c>
      <c r="E5" s="70"/>
      <c r="F5" s="70"/>
      <c r="G5" s="24"/>
      <c r="H5" s="7"/>
    </row>
    <row r="6" spans="1:13" ht="20.149999999999999" customHeight="1" x14ac:dyDescent="0.35">
      <c r="A6" s="13">
        <v>3</v>
      </c>
      <c r="B6" s="49" t="s">
        <v>259</v>
      </c>
      <c r="C6" s="24"/>
      <c r="D6" s="127" t="str">
        <f>"  "&amp;data!C88</f>
        <v xml:space="preserve">  King</v>
      </c>
      <c r="E6" s="70"/>
      <c r="F6" s="70"/>
      <c r="G6" s="24"/>
      <c r="H6" s="7"/>
    </row>
    <row r="7" spans="1:13" ht="20.149999999999999" customHeight="1" x14ac:dyDescent="0.35">
      <c r="A7" s="13">
        <v>4</v>
      </c>
      <c r="B7" s="49" t="s">
        <v>1029</v>
      </c>
      <c r="C7" s="24"/>
      <c r="D7" s="127" t="str">
        <f>"  "&amp;data!C89</f>
        <v xml:space="preserve">  Jeff Tomlin, MD</v>
      </c>
      <c r="E7" s="70"/>
      <c r="F7" s="70"/>
      <c r="G7" s="24"/>
      <c r="H7" s="7"/>
    </row>
    <row r="8" spans="1:13" ht="20.149999999999999" customHeight="1" x14ac:dyDescent="0.35">
      <c r="A8" s="13">
        <v>5</v>
      </c>
      <c r="B8" s="49" t="s">
        <v>1030</v>
      </c>
      <c r="C8" s="24"/>
      <c r="D8" s="127" t="str">
        <f>"  "&amp;data!C90</f>
        <v xml:space="preserve">  Tina Mycroft</v>
      </c>
      <c r="E8" s="70"/>
      <c r="F8" s="70"/>
      <c r="G8" s="24"/>
      <c r="H8" s="7"/>
    </row>
    <row r="9" spans="1:13" ht="20.149999999999999" customHeight="1" x14ac:dyDescent="0.35">
      <c r="A9" s="13">
        <v>6</v>
      </c>
      <c r="B9" s="49" t="s">
        <v>1031</v>
      </c>
      <c r="C9" s="24"/>
      <c r="D9" s="127" t="str">
        <f>"  "&amp;data!C91</f>
        <v xml:space="preserve">  Tim McLaughlin</v>
      </c>
      <c r="E9" s="70"/>
      <c r="F9" s="70"/>
      <c r="G9" s="24"/>
      <c r="H9" s="7"/>
    </row>
    <row r="10" spans="1:13" ht="20.149999999999999" customHeight="1" x14ac:dyDescent="0.35">
      <c r="A10" s="13">
        <v>7</v>
      </c>
      <c r="B10" s="49" t="s">
        <v>1032</v>
      </c>
      <c r="C10" s="24"/>
      <c r="D10" s="127" t="str">
        <f>"  "&amp;data!C92</f>
        <v xml:space="preserve">  425-899-1000</v>
      </c>
      <c r="E10" s="70"/>
      <c r="F10" s="70"/>
      <c r="G10" s="24"/>
      <c r="H10" s="7"/>
    </row>
    <row r="11" spans="1:13" ht="20.149999999999999" customHeight="1" x14ac:dyDescent="0.35">
      <c r="A11" s="13">
        <v>8</v>
      </c>
      <c r="B11" s="49" t="s">
        <v>1033</v>
      </c>
      <c r="C11" s="24"/>
      <c r="D11" s="127" t="str">
        <f>"  "&amp;data!C93</f>
        <v xml:space="preserve">  425-899-1684</v>
      </c>
      <c r="E11" s="70"/>
      <c r="F11" s="70"/>
      <c r="G11" s="24"/>
      <c r="H11" s="7"/>
    </row>
    <row r="12" spans="1:13" ht="20.149999999999999" customHeight="1" x14ac:dyDescent="0.35">
      <c r="A12" s="73"/>
      <c r="B12" s="30"/>
      <c r="C12" s="30"/>
      <c r="D12" s="30"/>
      <c r="E12" s="30"/>
      <c r="F12" s="30"/>
      <c r="G12" s="20"/>
      <c r="H12" s="7"/>
    </row>
    <row r="13" spans="1:13" ht="20.149999999999999" customHeight="1" x14ac:dyDescent="0.35">
      <c r="A13" s="74"/>
      <c r="B13" s="8"/>
      <c r="C13" s="8"/>
      <c r="D13" s="8"/>
      <c r="E13" s="8"/>
      <c r="F13" s="8"/>
      <c r="G13" s="126"/>
      <c r="H13" s="7"/>
    </row>
    <row r="14" spans="1:13" ht="20.149999999999999" customHeight="1" x14ac:dyDescent="0.35">
      <c r="A14" s="13">
        <v>9</v>
      </c>
      <c r="B14" s="49" t="s">
        <v>1034</v>
      </c>
      <c r="C14" s="38"/>
      <c r="D14" s="38"/>
      <c r="E14" s="38"/>
      <c r="F14" s="38"/>
      <c r="G14" s="20"/>
      <c r="H14" s="7"/>
    </row>
    <row r="15" spans="1:13" ht="20.149999999999999" customHeight="1" x14ac:dyDescent="0.35">
      <c r="A15" s="128" t="s">
        <v>266</v>
      </c>
      <c r="B15" s="35"/>
      <c r="C15" s="71" t="s">
        <v>269</v>
      </c>
      <c r="D15" s="35"/>
      <c r="E15" s="71" t="s">
        <v>271</v>
      </c>
      <c r="F15" s="100"/>
      <c r="G15" s="101"/>
      <c r="H15" s="7"/>
      <c r="M15" s="180"/>
    </row>
    <row r="16" spans="1:13" ht="20.149999999999999" customHeight="1" x14ac:dyDescent="0.35">
      <c r="A16" s="111" t="str">
        <f>IF(data!C97&gt;0," X","")</f>
        <v/>
      </c>
      <c r="B16" s="14" t="s">
        <v>267</v>
      </c>
      <c r="C16" s="15" t="str">
        <f>IF(data!C101&gt;0," X","")</f>
        <v/>
      </c>
      <c r="D16" s="22" t="s">
        <v>1035</v>
      </c>
      <c r="E16" s="15" t="str">
        <f>IF(data!C104&gt;0," X","")</f>
        <v/>
      </c>
      <c r="F16" s="129" t="s">
        <v>272</v>
      </c>
      <c r="G16" s="24"/>
      <c r="H16" s="7"/>
    </row>
    <row r="17" spans="1:9" ht="20.149999999999999" customHeight="1" x14ac:dyDescent="0.35">
      <c r="A17" s="111" t="str">
        <f>IF(data!C98&gt;0," X","")</f>
        <v/>
      </c>
      <c r="B17" s="14" t="s">
        <v>259</v>
      </c>
      <c r="C17" s="15" t="str">
        <f>IF(data!C102&gt;0," X","")</f>
        <v/>
      </c>
      <c r="D17" s="22" t="s">
        <v>349</v>
      </c>
      <c r="E17" s="15" t="str">
        <f>IF(data!C105&gt;0," X","")</f>
        <v/>
      </c>
      <c r="F17" s="129" t="s">
        <v>273</v>
      </c>
      <c r="G17" s="24"/>
      <c r="H17" s="7"/>
    </row>
    <row r="18" spans="1:9" ht="20.149999999999999" customHeight="1" x14ac:dyDescent="0.35">
      <c r="A18" s="130"/>
      <c r="B18" s="14" t="s">
        <v>1036</v>
      </c>
      <c r="C18" s="24"/>
      <c r="D18" s="24"/>
      <c r="E18" s="15" t="str">
        <f>IF(data!C106&gt;0," X","")</f>
        <v/>
      </c>
      <c r="F18" s="129" t="s">
        <v>274</v>
      </c>
      <c r="G18" s="24"/>
      <c r="H18" s="7"/>
    </row>
    <row r="19" spans="1:9" ht="20.149999999999999" customHeight="1" x14ac:dyDescent="0.35">
      <c r="A19" s="111" t="str">
        <f>IF(data!C99&gt;0," X","")</f>
        <v xml:space="preserve"> X</v>
      </c>
      <c r="B19" s="22" t="s">
        <v>1037</v>
      </c>
      <c r="C19" s="24"/>
      <c r="D19" s="24"/>
      <c r="E19" s="24"/>
      <c r="F19" s="50"/>
      <c r="G19" s="24"/>
      <c r="H19" s="7"/>
      <c r="I19" s="1"/>
    </row>
    <row r="20" spans="1:9" ht="20.149999999999999" customHeight="1" x14ac:dyDescent="0.35">
      <c r="A20" s="73"/>
      <c r="B20" s="30"/>
      <c r="C20" s="30"/>
      <c r="D20" s="30"/>
      <c r="E20" s="30"/>
      <c r="F20" s="30"/>
      <c r="G20" s="20"/>
      <c r="H20" s="7"/>
    </row>
    <row r="21" spans="1:9" ht="20.149999999999999" customHeight="1" x14ac:dyDescent="0.35">
      <c r="A21" s="74"/>
      <c r="B21" s="8"/>
      <c r="C21" s="8"/>
      <c r="D21" s="8"/>
      <c r="E21" s="8"/>
      <c r="F21" s="8"/>
      <c r="G21" s="28"/>
      <c r="H21" s="7"/>
    </row>
    <row r="22" spans="1:9" ht="20.149999999999999" customHeight="1" x14ac:dyDescent="0.35">
      <c r="A22" s="13">
        <v>10</v>
      </c>
      <c r="B22" s="49" t="s">
        <v>1038</v>
      </c>
      <c r="C22" s="38"/>
      <c r="D22" s="38"/>
      <c r="E22" s="38"/>
      <c r="F22" s="111" t="s">
        <v>277</v>
      </c>
      <c r="G22" s="15" t="s">
        <v>215</v>
      </c>
      <c r="H22" s="7"/>
    </row>
    <row r="23" spans="1:9" ht="20.149999999999999" customHeight="1" x14ac:dyDescent="0.35">
      <c r="A23" s="130"/>
      <c r="B23" s="49" t="s">
        <v>1039</v>
      </c>
      <c r="C23" s="38"/>
      <c r="D23" s="38"/>
      <c r="E23" s="38"/>
      <c r="F23" s="13">
        <f>data!C111</f>
        <v>14650</v>
      </c>
      <c r="G23" s="21">
        <f>data!D111</f>
        <v>66833</v>
      </c>
      <c r="H23" s="7"/>
    </row>
    <row r="24" spans="1:9" ht="20.149999999999999" customHeight="1" x14ac:dyDescent="0.35">
      <c r="A24" s="130"/>
      <c r="B24" s="49" t="s">
        <v>1040</v>
      </c>
      <c r="C24" s="38"/>
      <c r="D24" s="38"/>
      <c r="E24" s="38"/>
      <c r="F24" s="13">
        <f>data!C112</f>
        <v>0</v>
      </c>
      <c r="G24" s="21">
        <f>data!D112</f>
        <v>0</v>
      </c>
      <c r="H24" s="7"/>
    </row>
    <row r="25" spans="1:9" ht="20.149999999999999" customHeight="1" x14ac:dyDescent="0.35">
      <c r="A25" s="130"/>
      <c r="B25" s="49" t="s">
        <v>1041</v>
      </c>
      <c r="C25" s="38"/>
      <c r="D25" s="38"/>
      <c r="E25" s="38"/>
      <c r="F25" s="13">
        <f>data!C113</f>
        <v>0</v>
      </c>
      <c r="G25" s="21">
        <f>data!D113</f>
        <v>0</v>
      </c>
      <c r="H25" s="7"/>
    </row>
    <row r="26" spans="1:9" ht="20.149999999999999" customHeight="1" x14ac:dyDescent="0.35">
      <c r="A26" s="13">
        <v>11</v>
      </c>
      <c r="B26" s="49" t="s">
        <v>281</v>
      </c>
      <c r="C26" s="38"/>
      <c r="D26" s="38"/>
      <c r="E26" s="38"/>
      <c r="F26" s="13">
        <f>data!C114</f>
        <v>4833</v>
      </c>
      <c r="G26" s="13">
        <f>data!D114</f>
        <v>0</v>
      </c>
      <c r="H26" s="7"/>
    </row>
    <row r="27" spans="1:9" ht="20.149999999999999" customHeight="1" x14ac:dyDescent="0.35">
      <c r="A27" s="73"/>
      <c r="B27" s="30"/>
      <c r="C27" s="30"/>
      <c r="D27" s="30"/>
      <c r="E27" s="30"/>
      <c r="F27" s="30"/>
      <c r="G27" s="20"/>
      <c r="H27" s="7"/>
    </row>
    <row r="28" spans="1:9" ht="20.149999999999999" customHeight="1" x14ac:dyDescent="0.35">
      <c r="A28" s="74"/>
      <c r="B28" s="8"/>
      <c r="C28" s="8"/>
      <c r="D28" s="8"/>
      <c r="E28" s="8"/>
      <c r="F28" s="8"/>
      <c r="G28" s="28"/>
      <c r="H28" s="7"/>
    </row>
    <row r="29" spans="1:9" ht="20.149999999999999" customHeight="1" x14ac:dyDescent="0.35">
      <c r="A29" s="13">
        <v>12</v>
      </c>
      <c r="B29" s="97" t="s">
        <v>1042</v>
      </c>
      <c r="C29" s="24"/>
      <c r="D29" s="15" t="s">
        <v>167</v>
      </c>
      <c r="E29" s="97" t="s">
        <v>1042</v>
      </c>
      <c r="F29" s="24"/>
      <c r="G29" s="15" t="s">
        <v>167</v>
      </c>
      <c r="H29" s="7"/>
    </row>
    <row r="30" spans="1:9" ht="20.149999999999999" customHeight="1" x14ac:dyDescent="0.35">
      <c r="A30" s="130"/>
      <c r="B30" s="49" t="s">
        <v>283</v>
      </c>
      <c r="C30" s="24"/>
      <c r="D30" s="21">
        <f>data!C116</f>
        <v>20</v>
      </c>
      <c r="E30" s="49" t="s">
        <v>288</v>
      </c>
      <c r="F30" s="24"/>
      <c r="G30" s="21">
        <f>data!C123</f>
        <v>0</v>
      </c>
      <c r="H30" s="7"/>
    </row>
    <row r="31" spans="1:9" ht="20.149999999999999" customHeight="1" x14ac:dyDescent="0.35">
      <c r="A31" s="130"/>
      <c r="B31" s="97" t="s">
        <v>1043</v>
      </c>
      <c r="C31" s="24"/>
      <c r="D31" s="21">
        <f>data!C117</f>
        <v>31</v>
      </c>
      <c r="E31" s="49" t="s">
        <v>289</v>
      </c>
      <c r="F31" s="24"/>
      <c r="G31" s="21">
        <f>data!C124</f>
        <v>0</v>
      </c>
      <c r="H31" s="7"/>
    </row>
    <row r="32" spans="1:9" ht="20.149999999999999" customHeight="1" x14ac:dyDescent="0.35">
      <c r="A32" s="130"/>
      <c r="B32" s="97" t="s">
        <v>1044</v>
      </c>
      <c r="C32" s="24"/>
      <c r="D32" s="21">
        <f>data!C118</f>
        <v>173</v>
      </c>
      <c r="E32" s="49" t="s">
        <v>1045</v>
      </c>
      <c r="F32" s="24"/>
      <c r="G32" s="21">
        <f>data!C125</f>
        <v>0</v>
      </c>
      <c r="H32" s="7"/>
    </row>
    <row r="33" spans="1:8" ht="20.149999999999999" customHeight="1" x14ac:dyDescent="0.35">
      <c r="A33" s="130"/>
      <c r="B33" s="97" t="s">
        <v>1046</v>
      </c>
      <c r="C33" s="24"/>
      <c r="D33" s="21">
        <f>data!C119</f>
        <v>1</v>
      </c>
      <c r="E33" s="49" t="s">
        <v>1047</v>
      </c>
      <c r="F33" s="24"/>
      <c r="G33" s="21">
        <f>data!C126</f>
        <v>42</v>
      </c>
      <c r="H33" s="7"/>
    </row>
    <row r="34" spans="1:8" ht="20.149999999999999" customHeight="1" x14ac:dyDescent="0.35">
      <c r="A34" s="130"/>
      <c r="B34" s="97" t="s">
        <v>1048</v>
      </c>
      <c r="C34" s="24"/>
      <c r="D34" s="21">
        <f>data!C120</f>
        <v>36</v>
      </c>
      <c r="E34" s="49" t="s">
        <v>291</v>
      </c>
      <c r="F34" s="24"/>
      <c r="G34" s="21">
        <f>data!E127</f>
        <v>317</v>
      </c>
      <c r="H34" s="7"/>
    </row>
    <row r="35" spans="1:8" ht="20.149999999999999" customHeight="1" x14ac:dyDescent="0.35">
      <c r="A35" s="130"/>
      <c r="B35" s="97" t="s">
        <v>1049</v>
      </c>
      <c r="C35" s="24"/>
      <c r="D35" s="21">
        <f>data!C121</f>
        <v>14</v>
      </c>
      <c r="E35" s="49" t="s">
        <v>1050</v>
      </c>
      <c r="F35" s="27"/>
      <c r="G35" s="21"/>
      <c r="H35" s="7"/>
    </row>
    <row r="36" spans="1:8" ht="20.149999999999999" customHeight="1" x14ac:dyDescent="0.35">
      <c r="A36" s="130"/>
      <c r="B36" s="49" t="s">
        <v>97</v>
      </c>
      <c r="C36" s="24"/>
      <c r="D36" s="21">
        <f>data!C122</f>
        <v>0</v>
      </c>
      <c r="E36" s="49" t="s">
        <v>292</v>
      </c>
      <c r="F36" s="24"/>
      <c r="G36" s="21">
        <f>data!C128</f>
        <v>318</v>
      </c>
      <c r="H36" s="7"/>
    </row>
    <row r="37" spans="1:8" ht="20.149999999999999" customHeight="1" x14ac:dyDescent="0.35">
      <c r="A37" s="130"/>
      <c r="E37" s="49" t="s">
        <v>293</v>
      </c>
      <c r="F37" s="24"/>
      <c r="G37" s="21">
        <f>data!C129</f>
        <v>0</v>
      </c>
      <c r="H37" s="7"/>
    </row>
    <row r="38" spans="1:8" ht="20.149999999999999" customHeight="1" x14ac:dyDescent="0.35">
      <c r="A38" s="130"/>
      <c r="B38" s="38"/>
      <c r="C38" s="38"/>
      <c r="D38" s="38"/>
      <c r="E38" s="38"/>
      <c r="F38" s="38"/>
      <c r="G38" s="24"/>
      <c r="H38" s="7"/>
    </row>
    <row r="39" spans="1:8" ht="20.149999999999999" customHeight="1" x14ac:dyDescent="0.35">
      <c r="A39" s="131">
        <v>13</v>
      </c>
      <c r="B39" s="94" t="s">
        <v>288</v>
      </c>
      <c r="C39" s="28"/>
      <c r="D39" s="28"/>
      <c r="E39" s="132"/>
      <c r="F39" s="132"/>
      <c r="G39" s="133"/>
      <c r="H39" s="7"/>
    </row>
    <row r="40" spans="1:8" ht="20.149999999999999" customHeight="1" x14ac:dyDescent="0.35">
      <c r="A40" s="134"/>
      <c r="B40" s="135" t="s">
        <v>1051</v>
      </c>
      <c r="C40" s="136" t="s">
        <v>256</v>
      </c>
      <c r="D40" s="137">
        <f>data!C131</f>
        <v>0</v>
      </c>
      <c r="E40" s="138"/>
      <c r="F40" s="138"/>
      <c r="G40" s="139"/>
      <c r="H40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M34"/>
  <sheetViews>
    <sheetView showGridLines="0" zoomScale="75" workbookViewId="0">
      <selection activeCell="F69" sqref="F69"/>
    </sheetView>
  </sheetViews>
  <sheetFormatPr defaultColWidth="8.875" defaultRowHeight="20.149999999999999" customHeight="1" x14ac:dyDescent="0.35"/>
  <cols>
    <col min="1" max="1" width="10.3125" style="2" customWidth="1"/>
    <col min="2" max="2" width="10.75" style="2" customWidth="1"/>
    <col min="3" max="3" width="12.75" style="2" customWidth="1"/>
    <col min="4" max="4" width="11.75" style="2" customWidth="1"/>
    <col min="5" max="6" width="13.75" style="2" customWidth="1"/>
    <col min="7" max="7" width="14.75" style="2" customWidth="1"/>
    <col min="8" max="16384" width="8.875" style="2"/>
  </cols>
  <sheetData>
    <row r="1" spans="1:13" ht="20.149999999999999" customHeight="1" x14ac:dyDescent="0.35">
      <c r="A1" s="29" t="s">
        <v>1052</v>
      </c>
      <c r="B1" s="8"/>
      <c r="C1" s="8"/>
      <c r="D1" s="8"/>
      <c r="E1" s="8"/>
      <c r="F1" s="8"/>
      <c r="G1" s="165" t="s">
        <v>1053</v>
      </c>
    </row>
    <row r="2" spans="1:13" ht="20.149999999999999" customHeight="1" x14ac:dyDescent="0.35">
      <c r="A2" s="105" t="str">
        <f>"Hospital Name: "&amp;data!C84</f>
        <v>Hospital Name: EvergreenHealth Kirkland / King Country Public Hos #2</v>
      </c>
      <c r="B2" s="8"/>
      <c r="C2" s="8"/>
      <c r="D2" s="8"/>
      <c r="E2" s="8"/>
      <c r="F2" s="11"/>
      <c r="G2" s="76" t="s">
        <v>1054</v>
      </c>
    </row>
    <row r="3" spans="1:13" ht="20.149999999999999" customHeight="1" x14ac:dyDescent="0.35">
      <c r="A3" s="8"/>
      <c r="B3" s="8"/>
      <c r="C3" s="8"/>
      <c r="D3" s="8"/>
      <c r="E3" s="8"/>
      <c r="F3" s="8"/>
      <c r="G3" s="106" t="str">
        <f>"FYE: "&amp;data!C82</f>
        <v>FYE: 12/31/2021</v>
      </c>
    </row>
    <row r="4" spans="1:13" ht="20.149999999999999" customHeight="1" x14ac:dyDescent="0.35">
      <c r="A4" s="107" t="s">
        <v>1055</v>
      </c>
      <c r="B4" s="108"/>
      <c r="C4" s="108"/>
      <c r="D4" s="108"/>
      <c r="E4" s="108"/>
      <c r="F4" s="108"/>
      <c r="G4" s="95"/>
    </row>
    <row r="5" spans="1:13" ht="20.149999999999999" customHeight="1" x14ac:dyDescent="0.35">
      <c r="A5" s="42"/>
      <c r="B5" s="35" t="s">
        <v>1056</v>
      </c>
      <c r="C5" s="36"/>
      <c r="D5" s="36"/>
      <c r="E5" s="109" t="s">
        <v>302</v>
      </c>
      <c r="F5" s="36"/>
      <c r="G5" s="36"/>
    </row>
    <row r="6" spans="1:13" ht="20.149999999999999" customHeight="1" x14ac:dyDescent="0.35">
      <c r="A6" s="110" t="s">
        <v>489</v>
      </c>
      <c r="B6" s="15" t="s">
        <v>277</v>
      </c>
      <c r="C6" s="15" t="s">
        <v>1057</v>
      </c>
      <c r="D6" s="15" t="s">
        <v>298</v>
      </c>
      <c r="E6" s="15" t="s">
        <v>168</v>
      </c>
      <c r="F6" s="15" t="s">
        <v>131</v>
      </c>
      <c r="G6" s="15" t="s">
        <v>203</v>
      </c>
    </row>
    <row r="7" spans="1:13" ht="20.149999999999999" customHeight="1" x14ac:dyDescent="0.35">
      <c r="A7" s="23" t="s">
        <v>296</v>
      </c>
      <c r="B7" s="48">
        <f>data!B138</f>
        <v>5611</v>
      </c>
      <c r="C7" s="48">
        <f>data!B139</f>
        <v>39261</v>
      </c>
      <c r="D7" s="48">
        <f>data!B140</f>
        <v>0</v>
      </c>
      <c r="E7" s="48">
        <f>data!B141</f>
        <v>400385844</v>
      </c>
      <c r="F7" s="48">
        <f>data!B142</f>
        <v>493100168</v>
      </c>
      <c r="G7" s="48">
        <f>data!B141+data!B142</f>
        <v>893486012</v>
      </c>
    </row>
    <row r="8" spans="1:13" ht="20.149999999999999" customHeight="1" x14ac:dyDescent="0.35">
      <c r="A8" s="23" t="s">
        <v>297</v>
      </c>
      <c r="B8" s="48">
        <f>data!C138</f>
        <v>5472</v>
      </c>
      <c r="C8" s="48">
        <f>data!C139</f>
        <v>10432</v>
      </c>
      <c r="D8" s="48">
        <f>data!C140</f>
        <v>0</v>
      </c>
      <c r="E8" s="48">
        <f>data!C141</f>
        <v>100991324</v>
      </c>
      <c r="F8" s="48">
        <f>data!C142</f>
        <v>108672622</v>
      </c>
      <c r="G8" s="48">
        <f>data!C141+data!C142</f>
        <v>209663946</v>
      </c>
    </row>
    <row r="9" spans="1:13" ht="20.149999999999999" customHeight="1" x14ac:dyDescent="0.35">
      <c r="A9" s="23" t="s">
        <v>1058</v>
      </c>
      <c r="B9" s="48">
        <f>data!D138</f>
        <v>3567</v>
      </c>
      <c r="C9" s="48">
        <f>data!D139</f>
        <v>17140</v>
      </c>
      <c r="D9" s="48">
        <f>data!D140</f>
        <v>0</v>
      </c>
      <c r="E9" s="48">
        <f>data!D141</f>
        <v>346118150</v>
      </c>
      <c r="F9" s="48">
        <f>data!D142</f>
        <v>651741769</v>
      </c>
      <c r="G9" s="48">
        <f>data!D141+data!D142</f>
        <v>997859919</v>
      </c>
    </row>
    <row r="10" spans="1:13" ht="20.149999999999999" customHeight="1" x14ac:dyDescent="0.35">
      <c r="A10" s="111" t="s">
        <v>203</v>
      </c>
      <c r="B10" s="48">
        <f>data!E138</f>
        <v>14650</v>
      </c>
      <c r="C10" s="48">
        <f>data!E139</f>
        <v>66833</v>
      </c>
      <c r="D10" s="48">
        <f>data!E140</f>
        <v>0</v>
      </c>
      <c r="E10" s="48">
        <f>data!E141</f>
        <v>847495318</v>
      </c>
      <c r="F10" s="48">
        <f>data!E142</f>
        <v>1253514559</v>
      </c>
      <c r="G10" s="48">
        <f>data!E141+data!E142</f>
        <v>2101009877</v>
      </c>
    </row>
    <row r="11" spans="1:13" ht="20.149999999999999" customHeight="1" x14ac:dyDescent="0.35">
      <c r="A11" s="112"/>
      <c r="B11" s="113"/>
      <c r="C11" s="113"/>
      <c r="D11" s="113"/>
      <c r="E11" s="113"/>
      <c r="F11" s="113"/>
      <c r="G11" s="114"/>
    </row>
    <row r="12" spans="1:13" ht="20.149999999999999" customHeight="1" x14ac:dyDescent="0.35">
      <c r="A12" s="73"/>
      <c r="B12" s="30"/>
      <c r="C12" s="30"/>
      <c r="D12" s="30"/>
      <c r="E12" s="30"/>
      <c r="F12" s="30"/>
      <c r="G12" s="20"/>
    </row>
    <row r="13" spans="1:13" ht="20.149999999999999" customHeight="1" x14ac:dyDescent="0.35">
      <c r="A13" s="115" t="s">
        <v>1059</v>
      </c>
      <c r="B13" s="5"/>
      <c r="C13" s="5"/>
      <c r="D13" s="5"/>
      <c r="E13" s="5"/>
      <c r="F13" s="5"/>
      <c r="G13" s="116"/>
    </row>
    <row r="14" spans="1:13" ht="20.149999999999999" customHeight="1" x14ac:dyDescent="0.35">
      <c r="A14" s="42"/>
      <c r="B14" s="117" t="s">
        <v>1056</v>
      </c>
      <c r="C14" s="34"/>
      <c r="D14" s="34"/>
      <c r="E14" s="117" t="s">
        <v>302</v>
      </c>
      <c r="F14" s="34"/>
      <c r="G14" s="34"/>
    </row>
    <row r="15" spans="1:13" ht="20.149999999999999" customHeight="1" x14ac:dyDescent="0.35">
      <c r="A15" s="110" t="s">
        <v>489</v>
      </c>
      <c r="B15" s="15" t="s">
        <v>277</v>
      </c>
      <c r="C15" s="15" t="s">
        <v>1057</v>
      </c>
      <c r="D15" s="15" t="s">
        <v>298</v>
      </c>
      <c r="E15" s="15" t="s">
        <v>168</v>
      </c>
      <c r="F15" s="15" t="s">
        <v>131</v>
      </c>
      <c r="G15" s="15" t="s">
        <v>203</v>
      </c>
      <c r="M15" s="180"/>
    </row>
    <row r="16" spans="1:13" ht="20.149999999999999" customHeight="1" x14ac:dyDescent="0.35">
      <c r="A16" s="23" t="s">
        <v>296</v>
      </c>
      <c r="B16" s="48">
        <f>data!B144</f>
        <v>0</v>
      </c>
      <c r="C16" s="48">
        <f>data!B145</f>
        <v>0</v>
      </c>
      <c r="D16" s="48">
        <f>data!B146</f>
        <v>0</v>
      </c>
      <c r="E16" s="48">
        <f>data!B147</f>
        <v>0</v>
      </c>
      <c r="F16" s="48">
        <f>data!B148</f>
        <v>0</v>
      </c>
      <c r="G16" s="48">
        <f>data!B147+data!B148</f>
        <v>0</v>
      </c>
    </row>
    <row r="17" spans="1:7" ht="20.149999999999999" customHeight="1" x14ac:dyDescent="0.35">
      <c r="A17" s="23" t="s">
        <v>297</v>
      </c>
      <c r="B17" s="48">
        <f>data!C144</f>
        <v>0</v>
      </c>
      <c r="C17" s="48">
        <f>data!C145</f>
        <v>0</v>
      </c>
      <c r="D17" s="48">
        <f>data!C146</f>
        <v>0</v>
      </c>
      <c r="E17" s="48">
        <f>data!C147</f>
        <v>0</v>
      </c>
      <c r="F17" s="48">
        <f>data!C148</f>
        <v>0</v>
      </c>
      <c r="G17" s="48">
        <f>data!C147+data!C148</f>
        <v>0</v>
      </c>
    </row>
    <row r="18" spans="1:7" ht="20.149999999999999" customHeight="1" x14ac:dyDescent="0.35">
      <c r="A18" s="23" t="s">
        <v>1058</v>
      </c>
      <c r="B18" s="48">
        <f>data!D144</f>
        <v>0</v>
      </c>
      <c r="C18" s="48">
        <f>data!D145</f>
        <v>0</v>
      </c>
      <c r="D18" s="48">
        <f>data!D146</f>
        <v>0</v>
      </c>
      <c r="E18" s="48">
        <f>data!D147</f>
        <v>0</v>
      </c>
      <c r="F18" s="48">
        <f>data!D148</f>
        <v>0</v>
      </c>
      <c r="G18" s="48">
        <f>data!D147+data!D148</f>
        <v>0</v>
      </c>
    </row>
    <row r="19" spans="1:7" ht="20.149999999999999" customHeight="1" x14ac:dyDescent="0.35">
      <c r="A19" s="111" t="s">
        <v>203</v>
      </c>
      <c r="B19" s="48">
        <f>data!E144</f>
        <v>0</v>
      </c>
      <c r="C19" s="48">
        <f>data!E145</f>
        <v>0</v>
      </c>
      <c r="D19" s="48">
        <f>data!E146</f>
        <v>0</v>
      </c>
      <c r="E19" s="48">
        <f>data!E147</f>
        <v>0</v>
      </c>
      <c r="F19" s="48">
        <f>data!E148</f>
        <v>0</v>
      </c>
      <c r="G19" s="48">
        <f>data!E147+data!E148</f>
        <v>0</v>
      </c>
    </row>
    <row r="20" spans="1:7" ht="20.149999999999999" customHeight="1" x14ac:dyDescent="0.35">
      <c r="A20" s="112"/>
      <c r="B20" s="113"/>
      <c r="C20" s="113"/>
      <c r="D20" s="113"/>
      <c r="E20" s="113"/>
      <c r="F20" s="113"/>
      <c r="G20" s="114"/>
    </row>
    <row r="21" spans="1:7" ht="20.149999999999999" customHeight="1" x14ac:dyDescent="0.35">
      <c r="A21" s="73"/>
      <c r="B21" s="30"/>
      <c r="C21" s="30"/>
      <c r="D21" s="30"/>
      <c r="E21" s="30"/>
      <c r="F21" s="30"/>
      <c r="G21" s="20"/>
    </row>
    <row r="22" spans="1:7" ht="20.149999999999999" customHeight="1" x14ac:dyDescent="0.35">
      <c r="A22" s="115" t="s">
        <v>1060</v>
      </c>
      <c r="B22" s="5"/>
      <c r="C22" s="5"/>
      <c r="D22" s="5"/>
      <c r="E22" s="5"/>
      <c r="F22" s="5"/>
      <c r="G22" s="116"/>
    </row>
    <row r="23" spans="1:7" ht="20.149999999999999" customHeight="1" x14ac:dyDescent="0.35">
      <c r="A23" s="42"/>
      <c r="B23" s="35" t="s">
        <v>1056</v>
      </c>
      <c r="C23" s="36"/>
      <c r="D23" s="36"/>
      <c r="E23" s="35" t="s">
        <v>302</v>
      </c>
      <c r="F23" s="36"/>
      <c r="G23" s="36"/>
    </row>
    <row r="24" spans="1:7" ht="20.149999999999999" customHeight="1" x14ac:dyDescent="0.35">
      <c r="A24" s="110" t="s">
        <v>489</v>
      </c>
      <c r="B24" s="15" t="s">
        <v>277</v>
      </c>
      <c r="C24" s="15" t="s">
        <v>1057</v>
      </c>
      <c r="D24" s="15" t="s">
        <v>298</v>
      </c>
      <c r="E24" s="15" t="s">
        <v>168</v>
      </c>
      <c r="F24" s="15" t="s">
        <v>131</v>
      </c>
      <c r="G24" s="15" t="s">
        <v>203</v>
      </c>
    </row>
    <row r="25" spans="1:7" ht="20.149999999999999" customHeight="1" x14ac:dyDescent="0.35">
      <c r="A25" s="23" t="s">
        <v>296</v>
      </c>
      <c r="B25" s="48">
        <f>data!B150</f>
        <v>0</v>
      </c>
      <c r="C25" s="48">
        <f>data!B151</f>
        <v>0</v>
      </c>
      <c r="D25" s="48">
        <f>data!B152</f>
        <v>0</v>
      </c>
      <c r="E25" s="48">
        <f>data!B153</f>
        <v>0</v>
      </c>
      <c r="F25" s="48">
        <f>data!B154</f>
        <v>0</v>
      </c>
      <c r="G25" s="48">
        <f>data!B153+data!B154</f>
        <v>0</v>
      </c>
    </row>
    <row r="26" spans="1:7" ht="20.149999999999999" customHeight="1" x14ac:dyDescent="0.35">
      <c r="A26" s="23" t="s">
        <v>297</v>
      </c>
      <c r="B26" s="48">
        <f>data!C150</f>
        <v>0</v>
      </c>
      <c r="C26" s="48">
        <f>data!C151</f>
        <v>0</v>
      </c>
      <c r="D26" s="48">
        <f>data!C152</f>
        <v>0</v>
      </c>
      <c r="E26" s="48">
        <f>data!C153</f>
        <v>0</v>
      </c>
      <c r="F26" s="48">
        <f>data!C154</f>
        <v>0</v>
      </c>
      <c r="G26" s="48">
        <f>data!C153+data!C154</f>
        <v>0</v>
      </c>
    </row>
    <row r="27" spans="1:7" ht="20.149999999999999" customHeight="1" x14ac:dyDescent="0.35">
      <c r="A27" s="23" t="s">
        <v>1058</v>
      </c>
      <c r="B27" s="48">
        <f>data!D150</f>
        <v>0</v>
      </c>
      <c r="C27" s="48">
        <f>data!D151</f>
        <v>0</v>
      </c>
      <c r="D27" s="48">
        <f>data!D152</f>
        <v>0</v>
      </c>
      <c r="E27" s="48">
        <f>data!D153</f>
        <v>0</v>
      </c>
      <c r="F27" s="48">
        <f>data!D154</f>
        <v>0</v>
      </c>
      <c r="G27" s="48">
        <f>data!D153+data!D154</f>
        <v>0</v>
      </c>
    </row>
    <row r="28" spans="1:7" ht="20.149999999999999" customHeight="1" x14ac:dyDescent="0.35">
      <c r="A28" s="111" t="s">
        <v>203</v>
      </c>
      <c r="B28" s="48">
        <f>data!E150</f>
        <v>0</v>
      </c>
      <c r="C28" s="48">
        <f>data!E151</f>
        <v>0</v>
      </c>
      <c r="D28" s="48">
        <f>data!E152</f>
        <v>0</v>
      </c>
      <c r="E28" s="48">
        <f>data!E153</f>
        <v>0</v>
      </c>
      <c r="F28" s="48">
        <f>data!E154</f>
        <v>0</v>
      </c>
      <c r="G28" s="48">
        <f>data!E153+data!E154</f>
        <v>0</v>
      </c>
    </row>
    <row r="29" spans="1:7" ht="20.149999999999999" customHeight="1" x14ac:dyDescent="0.35">
      <c r="A29" s="112"/>
      <c r="B29" s="113"/>
      <c r="C29" s="113"/>
      <c r="D29" s="113"/>
      <c r="E29" s="113"/>
      <c r="F29" s="113"/>
      <c r="G29" s="114"/>
    </row>
    <row r="30" spans="1:7" ht="20.149999999999999" customHeight="1" x14ac:dyDescent="0.35">
      <c r="A30" s="73"/>
      <c r="B30" s="50"/>
      <c r="C30" s="30"/>
      <c r="D30" s="30"/>
      <c r="E30" s="30"/>
      <c r="F30" s="30"/>
      <c r="G30" s="20"/>
    </row>
    <row r="31" spans="1:7" ht="20.149999999999999" customHeight="1" x14ac:dyDescent="0.35">
      <c r="A31" s="118" t="s">
        <v>1061</v>
      </c>
      <c r="B31" s="119"/>
      <c r="C31" s="70"/>
      <c r="D31" s="120"/>
      <c r="E31" s="120"/>
      <c r="F31" s="120"/>
      <c r="G31" s="121"/>
    </row>
    <row r="32" spans="1:7" ht="20.149999999999999" customHeight="1" x14ac:dyDescent="0.35">
      <c r="A32" s="122"/>
      <c r="B32" s="65" t="s">
        <v>1062</v>
      </c>
      <c r="C32" s="123">
        <f>data!B157</f>
        <v>7835412</v>
      </c>
      <c r="D32" s="70"/>
      <c r="E32" s="70"/>
      <c r="F32" s="70"/>
      <c r="G32" s="27"/>
    </row>
    <row r="33" spans="1:7" ht="20.149999999999999" customHeight="1" x14ac:dyDescent="0.35">
      <c r="A33" s="122"/>
      <c r="B33" s="124" t="s">
        <v>1063</v>
      </c>
      <c r="C33" s="125">
        <f>data!C157</f>
        <v>16660393</v>
      </c>
      <c r="D33" s="119"/>
      <c r="E33" s="119"/>
      <c r="F33" s="119"/>
      <c r="G33" s="126"/>
    </row>
    <row r="34" spans="1:7" ht="20.149999999999999" customHeight="1" x14ac:dyDescent="0.35">
      <c r="A34" s="7"/>
      <c r="B34" s="7"/>
      <c r="C34" s="7"/>
      <c r="D34" s="7"/>
      <c r="E34" s="7"/>
      <c r="F34" s="7"/>
      <c r="G34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M41"/>
  <sheetViews>
    <sheetView showGridLines="0" zoomScale="75" workbookViewId="0">
      <selection activeCell="C14" sqref="C14"/>
    </sheetView>
  </sheetViews>
  <sheetFormatPr defaultColWidth="8.875" defaultRowHeight="14.15" x14ac:dyDescent="0.35"/>
  <cols>
    <col min="1" max="1" width="5.75" style="2" customWidth="1"/>
    <col min="2" max="2" width="54.125" style="2" customWidth="1"/>
    <col min="3" max="3" width="13.75" style="2" customWidth="1"/>
    <col min="4" max="16384" width="8.875" style="2"/>
  </cols>
  <sheetData>
    <row r="1" spans="1:13" ht="20.149999999999999" customHeight="1" x14ac:dyDescent="0.35">
      <c r="A1" s="4" t="s">
        <v>305</v>
      </c>
      <c r="B1" s="5"/>
      <c r="C1" s="167" t="s">
        <v>1064</v>
      </c>
    </row>
    <row r="2" spans="1:13" ht="20.149999999999999" customHeight="1" x14ac:dyDescent="0.35">
      <c r="A2" s="94"/>
      <c r="B2" s="8"/>
      <c r="C2" s="8"/>
    </row>
    <row r="3" spans="1:13" ht="20.149999999999999" customHeight="1" x14ac:dyDescent="0.35">
      <c r="A3" s="29" t="str">
        <f>"Hospital: "&amp;data!C84</f>
        <v>Hospital: EvergreenHealth Kirkland / King Country Public Hos #2</v>
      </c>
      <c r="B3" s="30"/>
      <c r="C3" s="31" t="str">
        <f>"FYE: "&amp;data!C82</f>
        <v>FYE: 12/31/2021</v>
      </c>
    </row>
    <row r="4" spans="1:13" ht="20.149999999999999" customHeight="1" x14ac:dyDescent="0.35">
      <c r="A4" s="30"/>
      <c r="B4" s="8"/>
      <c r="C4" s="8"/>
    </row>
    <row r="5" spans="1:13" ht="20.149999999999999" customHeight="1" x14ac:dyDescent="0.35">
      <c r="A5" s="23">
        <v>1</v>
      </c>
      <c r="B5" s="37" t="s">
        <v>306</v>
      </c>
      <c r="C5" s="95"/>
    </row>
    <row r="6" spans="1:13" ht="20.149999999999999" customHeight="1" x14ac:dyDescent="0.35">
      <c r="A6" s="96">
        <v>2</v>
      </c>
      <c r="B6" s="49" t="s">
        <v>1065</v>
      </c>
      <c r="C6" s="13">
        <f>data!C165</f>
        <v>27566399</v>
      </c>
    </row>
    <row r="7" spans="1:13" ht="20.149999999999999" customHeight="1" x14ac:dyDescent="0.35">
      <c r="A7" s="40">
        <v>3</v>
      </c>
      <c r="B7" s="97" t="s">
        <v>308</v>
      </c>
      <c r="C7" s="13">
        <f>data!C166</f>
        <v>11058</v>
      </c>
    </row>
    <row r="8" spans="1:13" ht="20.149999999999999" customHeight="1" x14ac:dyDescent="0.35">
      <c r="A8" s="40">
        <v>4</v>
      </c>
      <c r="B8" s="49" t="s">
        <v>309</v>
      </c>
      <c r="C8" s="13">
        <f>data!C167</f>
        <v>2813235</v>
      </c>
    </row>
    <row r="9" spans="1:13" ht="20.149999999999999" customHeight="1" x14ac:dyDescent="0.35">
      <c r="A9" s="40">
        <v>5</v>
      </c>
      <c r="B9" s="49" t="s">
        <v>310</v>
      </c>
      <c r="C9" s="13">
        <f>data!C168</f>
        <v>48803374</v>
      </c>
    </row>
    <row r="10" spans="1:13" ht="20.149999999999999" customHeight="1" x14ac:dyDescent="0.35">
      <c r="A10" s="40">
        <v>6</v>
      </c>
      <c r="B10" s="49" t="s">
        <v>311</v>
      </c>
      <c r="C10" s="13">
        <f>data!C169</f>
        <v>206869</v>
      </c>
    </row>
    <row r="11" spans="1:13" ht="20.149999999999999" customHeight="1" x14ac:dyDescent="0.35">
      <c r="A11" s="40">
        <v>7</v>
      </c>
      <c r="B11" s="49" t="s">
        <v>312</v>
      </c>
      <c r="C11" s="13">
        <f>data!C170</f>
        <v>21453089</v>
      </c>
    </row>
    <row r="12" spans="1:13" ht="20.149999999999999" customHeight="1" x14ac:dyDescent="0.35">
      <c r="A12" s="40">
        <v>8</v>
      </c>
      <c r="B12" s="49" t="s">
        <v>313</v>
      </c>
      <c r="C12" s="13">
        <f>data!C171</f>
        <v>1573712</v>
      </c>
    </row>
    <row r="13" spans="1:13" ht="20.149999999999999" customHeight="1" x14ac:dyDescent="0.35">
      <c r="A13" s="40">
        <v>9</v>
      </c>
      <c r="B13" s="49" t="s">
        <v>313</v>
      </c>
      <c r="C13" s="13">
        <f>data!C172</f>
        <v>0</v>
      </c>
    </row>
    <row r="14" spans="1:13" ht="20.149999999999999" customHeight="1" x14ac:dyDescent="0.35">
      <c r="A14" s="40">
        <v>10</v>
      </c>
      <c r="B14" s="49" t="s">
        <v>1066</v>
      </c>
      <c r="C14" s="13">
        <f>data!D173</f>
        <v>102427736</v>
      </c>
    </row>
    <row r="15" spans="1:13" ht="20.149999999999999" customHeight="1" x14ac:dyDescent="0.35">
      <c r="A15" s="57"/>
      <c r="B15" s="45"/>
      <c r="C15" s="98"/>
      <c r="M15" s="180"/>
    </row>
    <row r="16" spans="1:13" ht="20.149999999999999" customHeight="1" x14ac:dyDescent="0.35">
      <c r="A16" s="73"/>
      <c r="B16" s="30"/>
      <c r="C16" s="20"/>
    </row>
    <row r="17" spans="1:3" ht="20.149999999999999" customHeight="1" x14ac:dyDescent="0.35">
      <c r="A17" s="99">
        <v>11</v>
      </c>
      <c r="B17" s="100" t="s">
        <v>314</v>
      </c>
      <c r="C17" s="101"/>
    </row>
    <row r="18" spans="1:3" ht="20.149999999999999" customHeight="1" x14ac:dyDescent="0.35">
      <c r="A18" s="13">
        <v>12</v>
      </c>
      <c r="B18" s="49" t="s">
        <v>1067</v>
      </c>
      <c r="C18" s="13">
        <f>data!C175</f>
        <v>13656735</v>
      </c>
    </row>
    <row r="19" spans="1:3" ht="20.149999999999999" customHeight="1" x14ac:dyDescent="0.35">
      <c r="A19" s="13">
        <v>13</v>
      </c>
      <c r="B19" s="49" t="s">
        <v>1068</v>
      </c>
      <c r="C19" s="13">
        <f>data!C176</f>
        <v>3123056</v>
      </c>
    </row>
    <row r="20" spans="1:3" ht="20.149999999999999" customHeight="1" x14ac:dyDescent="0.35">
      <c r="A20" s="13">
        <v>14</v>
      </c>
      <c r="B20" s="49" t="s">
        <v>1069</v>
      </c>
      <c r="C20" s="13">
        <f>data!D177</f>
        <v>16779791</v>
      </c>
    </row>
    <row r="21" spans="1:3" ht="20.149999999999999" customHeight="1" x14ac:dyDescent="0.35">
      <c r="A21" s="57"/>
      <c r="B21" s="45"/>
      <c r="C21" s="98"/>
    </row>
    <row r="22" spans="1:3" ht="20.149999999999999" customHeight="1" x14ac:dyDescent="0.35">
      <c r="A22" s="73"/>
      <c r="B22" s="8"/>
      <c r="C22" s="44"/>
    </row>
    <row r="23" spans="1:3" ht="20.149999999999999" customHeight="1" x14ac:dyDescent="0.35">
      <c r="A23" s="102">
        <v>15</v>
      </c>
      <c r="B23" s="103" t="s">
        <v>317</v>
      </c>
      <c r="C23" s="95"/>
    </row>
    <row r="24" spans="1:3" ht="20.149999999999999" customHeight="1" x14ac:dyDescent="0.35">
      <c r="A24" s="13">
        <v>16</v>
      </c>
      <c r="B24" s="37" t="s">
        <v>1070</v>
      </c>
      <c r="C24" s="104"/>
    </row>
    <row r="25" spans="1:3" ht="20.149999999999999" customHeight="1" x14ac:dyDescent="0.35">
      <c r="A25" s="13">
        <v>17</v>
      </c>
      <c r="B25" s="49" t="s">
        <v>1071</v>
      </c>
      <c r="C25" s="13">
        <f>data!C179</f>
        <v>1412203</v>
      </c>
    </row>
    <row r="26" spans="1:3" ht="20.149999999999999" customHeight="1" x14ac:dyDescent="0.35">
      <c r="A26" s="13">
        <v>18</v>
      </c>
      <c r="B26" s="49" t="s">
        <v>319</v>
      </c>
      <c r="C26" s="13">
        <f>data!C180</f>
        <v>1832793</v>
      </c>
    </row>
    <row r="27" spans="1:3" ht="20.149999999999999" customHeight="1" x14ac:dyDescent="0.35">
      <c r="A27" s="13">
        <v>19</v>
      </c>
      <c r="B27" s="49" t="s">
        <v>1072</v>
      </c>
      <c r="C27" s="13">
        <f>data!D181</f>
        <v>3244996</v>
      </c>
    </row>
    <row r="28" spans="1:3" ht="20.149999999999999" customHeight="1" x14ac:dyDescent="0.35">
      <c r="A28" s="57"/>
      <c r="B28" s="45"/>
      <c r="C28" s="98"/>
    </row>
    <row r="29" spans="1:3" ht="20.149999999999999" customHeight="1" x14ac:dyDescent="0.35">
      <c r="A29" s="73"/>
      <c r="B29" s="30"/>
      <c r="C29" s="20"/>
    </row>
    <row r="30" spans="1:3" ht="20.149999999999999" customHeight="1" x14ac:dyDescent="0.35">
      <c r="A30" s="102">
        <v>20</v>
      </c>
      <c r="B30" s="43" t="s">
        <v>1073</v>
      </c>
      <c r="C30" s="34"/>
    </row>
    <row r="31" spans="1:3" ht="20.149999999999999" customHeight="1" x14ac:dyDescent="0.35">
      <c r="A31" s="13">
        <v>21</v>
      </c>
      <c r="B31" s="49" t="s">
        <v>321</v>
      </c>
      <c r="C31" s="13">
        <f>data!C183</f>
        <v>469973</v>
      </c>
    </row>
    <row r="32" spans="1:3" ht="20.149999999999999" customHeight="1" x14ac:dyDescent="0.35">
      <c r="A32" s="13">
        <v>22</v>
      </c>
      <c r="B32" s="49" t="s">
        <v>1074</v>
      </c>
      <c r="C32" s="13">
        <f>data!C184</f>
        <v>6802635</v>
      </c>
    </row>
    <row r="33" spans="1:3" ht="20.149999999999999" customHeight="1" x14ac:dyDescent="0.35">
      <c r="A33" s="13">
        <v>23</v>
      </c>
      <c r="B33" s="49" t="s">
        <v>132</v>
      </c>
      <c r="C33" s="13">
        <f>data!C185</f>
        <v>0</v>
      </c>
    </row>
    <row r="34" spans="1:3" ht="20.149999999999999" customHeight="1" x14ac:dyDescent="0.35">
      <c r="A34" s="13">
        <v>24</v>
      </c>
      <c r="B34" s="49" t="s">
        <v>1075</v>
      </c>
      <c r="C34" s="13">
        <f>data!D186</f>
        <v>7272608</v>
      </c>
    </row>
    <row r="35" spans="1:3" ht="20.149999999999999" customHeight="1" x14ac:dyDescent="0.35">
      <c r="A35" s="57"/>
      <c r="B35" s="45"/>
      <c r="C35" s="98"/>
    </row>
    <row r="36" spans="1:3" ht="20.149999999999999" customHeight="1" x14ac:dyDescent="0.35">
      <c r="A36" s="73"/>
      <c r="B36" s="30"/>
      <c r="C36" s="20"/>
    </row>
    <row r="37" spans="1:3" ht="20.149999999999999" customHeight="1" x14ac:dyDescent="0.35">
      <c r="A37" s="102">
        <v>25</v>
      </c>
      <c r="B37" s="43" t="s">
        <v>323</v>
      </c>
      <c r="C37" s="95"/>
    </row>
    <row r="38" spans="1:3" ht="20.149999999999999" customHeight="1" x14ac:dyDescent="0.35">
      <c r="A38" s="13">
        <v>26</v>
      </c>
      <c r="B38" s="49" t="s">
        <v>1076</v>
      </c>
      <c r="C38" s="13">
        <f>data!C188</f>
        <v>9081161</v>
      </c>
    </row>
    <row r="39" spans="1:3" ht="20.149999999999999" customHeight="1" x14ac:dyDescent="0.35">
      <c r="A39" s="13">
        <v>27</v>
      </c>
      <c r="B39" s="49" t="s">
        <v>325</v>
      </c>
      <c r="C39" s="13">
        <f>data!C189</f>
        <v>0</v>
      </c>
    </row>
    <row r="40" spans="1:3" ht="20.149999999999999" customHeight="1" x14ac:dyDescent="0.35">
      <c r="A40" s="13">
        <v>28</v>
      </c>
      <c r="B40" s="49" t="s">
        <v>1077</v>
      </c>
      <c r="C40" s="13">
        <f>data!D190</f>
        <v>9081161</v>
      </c>
    </row>
    <row r="41" spans="1:3" x14ac:dyDescent="0.35">
      <c r="A41" s="3"/>
      <c r="B41" s="3"/>
      <c r="C41" s="3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M32"/>
  <sheetViews>
    <sheetView showGridLines="0" zoomScale="75" workbookViewId="0">
      <selection activeCell="J28" sqref="J28"/>
    </sheetView>
  </sheetViews>
  <sheetFormatPr defaultColWidth="8.875" defaultRowHeight="20.149999999999999" customHeight="1" x14ac:dyDescent="0.35"/>
  <cols>
    <col min="1" max="1" width="5.75" style="7" customWidth="1"/>
    <col min="2" max="2" width="22.5625" style="7" customWidth="1"/>
    <col min="3" max="5" width="13.75" style="7" customWidth="1"/>
    <col min="6" max="6" width="15.75" style="7" customWidth="1"/>
    <col min="7" max="16384" width="8.875" style="7"/>
  </cols>
  <sheetData>
    <row r="1" spans="1:13" ht="20.149999999999999" customHeight="1" x14ac:dyDescent="0.35">
      <c r="A1" s="4" t="s">
        <v>326</v>
      </c>
      <c r="B1" s="5"/>
      <c r="C1" s="5"/>
      <c r="D1" s="5"/>
      <c r="E1" s="5"/>
      <c r="F1" s="167" t="s">
        <v>1078</v>
      </c>
    </row>
    <row r="2" spans="1:13" ht="20.149999999999999" customHeight="1" x14ac:dyDescent="0.35">
      <c r="A2" s="8"/>
      <c r="B2" s="8"/>
      <c r="C2" s="8"/>
      <c r="D2" s="8"/>
      <c r="E2" s="8"/>
      <c r="F2" s="8"/>
    </row>
    <row r="3" spans="1:13" ht="20.149999999999999" customHeight="1" x14ac:dyDescent="0.35">
      <c r="A3" s="10" t="str">
        <f>"Hospital: "&amp;data!C84</f>
        <v>Hospital: EvergreenHealth Kirkland / King Country Public Hos #2</v>
      </c>
      <c r="B3" s="8"/>
      <c r="C3" s="8"/>
      <c r="E3" s="11"/>
      <c r="F3" s="12" t="str">
        <f>" FYE: "&amp;data!C82</f>
        <v xml:space="preserve"> FYE: 12/31/2021</v>
      </c>
    </row>
    <row r="4" spans="1:13" ht="20.149999999999999" customHeight="1" x14ac:dyDescent="0.35">
      <c r="A4" s="39" t="s">
        <v>327</v>
      </c>
      <c r="B4" s="36"/>
      <c r="C4" s="36"/>
      <c r="D4" s="71"/>
      <c r="E4" s="71"/>
      <c r="F4" s="36"/>
    </row>
    <row r="5" spans="1:13" ht="20.149999999999999" customHeight="1" x14ac:dyDescent="0.35">
      <c r="A5" s="42"/>
      <c r="B5" s="52"/>
      <c r="C5" s="72" t="s">
        <v>1079</v>
      </c>
      <c r="D5" s="47"/>
      <c r="E5" s="47"/>
      <c r="F5" s="72" t="s">
        <v>1080</v>
      </c>
    </row>
    <row r="6" spans="1:13" ht="20.149999999999999" customHeight="1" x14ac:dyDescent="0.35">
      <c r="A6" s="19"/>
      <c r="B6" s="20"/>
      <c r="C6" s="18" t="s">
        <v>1081</v>
      </c>
      <c r="D6" s="18" t="s">
        <v>329</v>
      </c>
      <c r="E6" s="18" t="s">
        <v>1082</v>
      </c>
      <c r="F6" s="18" t="s">
        <v>1081</v>
      </c>
    </row>
    <row r="7" spans="1:13" ht="20.149999999999999" customHeight="1" x14ac:dyDescent="0.35">
      <c r="A7" s="13">
        <v>1</v>
      </c>
      <c r="B7" s="14" t="s">
        <v>332</v>
      </c>
      <c r="C7" s="21">
        <f>data!B195</f>
        <v>4913659.68</v>
      </c>
      <c r="D7" s="21">
        <f>data!C195</f>
        <v>0</v>
      </c>
      <c r="E7" s="21">
        <f>data!D195</f>
        <v>0</v>
      </c>
      <c r="F7" s="21">
        <f>data!E195</f>
        <v>4913659.68</v>
      </c>
    </row>
    <row r="8" spans="1:13" ht="20.149999999999999" customHeight="1" x14ac:dyDescent="0.35">
      <c r="A8" s="13">
        <v>2</v>
      </c>
      <c r="B8" s="14" t="s">
        <v>333</v>
      </c>
      <c r="C8" s="21">
        <f>data!B196</f>
        <v>13123911</v>
      </c>
      <c r="D8" s="21">
        <f>data!C196</f>
        <v>0</v>
      </c>
      <c r="E8" s="21">
        <f>data!D196</f>
        <v>2805</v>
      </c>
      <c r="F8" s="21">
        <f>data!E196</f>
        <v>13121106</v>
      </c>
    </row>
    <row r="9" spans="1:13" ht="20.149999999999999" customHeight="1" x14ac:dyDescent="0.35">
      <c r="A9" s="13">
        <v>3</v>
      </c>
      <c r="B9" s="14" t="s">
        <v>334</v>
      </c>
      <c r="C9" s="21">
        <f>data!B197</f>
        <v>340376358</v>
      </c>
      <c r="D9" s="21">
        <f>data!C197</f>
        <v>18633496</v>
      </c>
      <c r="E9" s="21">
        <f>data!D197</f>
        <v>683557</v>
      </c>
      <c r="F9" s="21">
        <f>data!E197</f>
        <v>358326297</v>
      </c>
    </row>
    <row r="10" spans="1:13" ht="20.149999999999999" customHeight="1" x14ac:dyDescent="0.35">
      <c r="A10" s="13">
        <v>4</v>
      </c>
      <c r="B10" s="14" t="s">
        <v>1083</v>
      </c>
      <c r="C10" s="21">
        <f>data!B198</f>
        <v>130279560</v>
      </c>
      <c r="D10" s="21">
        <f>data!C198</f>
        <v>3839889</v>
      </c>
      <c r="E10" s="21">
        <f>data!D198</f>
        <v>350948</v>
      </c>
      <c r="F10" s="21">
        <f>data!E198</f>
        <v>133768501</v>
      </c>
    </row>
    <row r="11" spans="1:13" ht="20.149999999999999" customHeight="1" x14ac:dyDescent="0.35">
      <c r="A11" s="13">
        <v>5</v>
      </c>
      <c r="B11" s="14" t="s">
        <v>1084</v>
      </c>
      <c r="C11" s="21">
        <f>data!B199</f>
        <v>23123</v>
      </c>
      <c r="D11" s="21">
        <f>data!C199</f>
        <v>0</v>
      </c>
      <c r="E11" s="21">
        <f>data!D199</f>
        <v>12522</v>
      </c>
      <c r="F11" s="21">
        <f>data!E199</f>
        <v>10601</v>
      </c>
    </row>
    <row r="12" spans="1:13" ht="20.149999999999999" customHeight="1" x14ac:dyDescent="0.35">
      <c r="A12" s="13">
        <v>6</v>
      </c>
      <c r="B12" s="14" t="s">
        <v>1085</v>
      </c>
      <c r="C12" s="21">
        <f>data!B200</f>
        <v>301103323</v>
      </c>
      <c r="D12" s="21">
        <f>data!C200</f>
        <v>19964651</v>
      </c>
      <c r="E12" s="21">
        <f>data!D200</f>
        <v>31909848</v>
      </c>
      <c r="F12" s="21">
        <f>data!E200</f>
        <v>289158126</v>
      </c>
    </row>
    <row r="13" spans="1:13" ht="20.149999999999999" customHeight="1" x14ac:dyDescent="0.35">
      <c r="A13" s="13">
        <v>7</v>
      </c>
      <c r="B13" s="14" t="s">
        <v>1086</v>
      </c>
      <c r="C13" s="21">
        <f>data!B201</f>
        <v>0</v>
      </c>
      <c r="D13" s="21">
        <f>data!C201</f>
        <v>0</v>
      </c>
      <c r="E13" s="21">
        <f>data!D201</f>
        <v>0</v>
      </c>
      <c r="F13" s="21">
        <f>data!E201</f>
        <v>0</v>
      </c>
    </row>
    <row r="14" spans="1:13" ht="20.149999999999999" customHeight="1" x14ac:dyDescent="0.35">
      <c r="A14" s="13">
        <v>8</v>
      </c>
      <c r="B14" s="14" t="s">
        <v>339</v>
      </c>
      <c r="C14" s="21">
        <f>data!B202</f>
        <v>39940622</v>
      </c>
      <c r="D14" s="21">
        <f>data!C202</f>
        <v>71762</v>
      </c>
      <c r="E14" s="21">
        <f>data!D202</f>
        <v>156740</v>
      </c>
      <c r="F14" s="21">
        <f>data!E202</f>
        <v>39855644</v>
      </c>
    </row>
    <row r="15" spans="1:13" ht="20.149999999999999" customHeight="1" x14ac:dyDescent="0.35">
      <c r="A15" s="13">
        <v>9</v>
      </c>
      <c r="B15" s="14" t="s">
        <v>1087</v>
      </c>
      <c r="C15" s="21">
        <f>data!B203</f>
        <v>24573853</v>
      </c>
      <c r="D15" s="21">
        <f>data!C203</f>
        <v>55099847</v>
      </c>
      <c r="E15" s="21">
        <f>data!D203</f>
        <v>46387444</v>
      </c>
      <c r="F15" s="21">
        <f>data!E203</f>
        <v>33286256</v>
      </c>
      <c r="M15" s="269"/>
    </row>
    <row r="16" spans="1:13" ht="20.149999999999999" customHeight="1" x14ac:dyDescent="0.35">
      <c r="A16" s="13">
        <v>10</v>
      </c>
      <c r="B16" s="14" t="s">
        <v>661</v>
      </c>
      <c r="C16" s="21">
        <f>data!B204</f>
        <v>854334409.68000007</v>
      </c>
      <c r="D16" s="21">
        <f>data!C204</f>
        <v>97609645</v>
      </c>
      <c r="E16" s="21">
        <f>data!D204</f>
        <v>79503864</v>
      </c>
      <c r="F16" s="21">
        <f>data!E204</f>
        <v>872440190.68000007</v>
      </c>
    </row>
    <row r="17" spans="1:6" ht="20.149999999999999" customHeight="1" x14ac:dyDescent="0.35">
      <c r="A17" s="73"/>
      <c r="B17" s="30"/>
      <c r="C17" s="30"/>
      <c r="D17" s="30"/>
      <c r="E17" s="30"/>
      <c r="F17" s="20"/>
    </row>
    <row r="18" spans="1:6" ht="20.149999999999999" customHeight="1" x14ac:dyDescent="0.35">
      <c r="A18" s="74"/>
      <c r="B18" s="8"/>
      <c r="C18" s="8"/>
      <c r="D18" s="8"/>
      <c r="E18" s="8"/>
      <c r="F18" s="28"/>
    </row>
    <row r="19" spans="1:6" ht="20.149999999999999" customHeight="1" x14ac:dyDescent="0.35">
      <c r="A19" s="74"/>
      <c r="B19" s="8"/>
      <c r="C19" s="8"/>
      <c r="D19" s="8"/>
      <c r="E19" s="8"/>
      <c r="F19" s="28"/>
    </row>
    <row r="20" spans="1:6" ht="20.149999999999999" customHeight="1" x14ac:dyDescent="0.35">
      <c r="A20" s="39" t="s">
        <v>341</v>
      </c>
      <c r="B20" s="36"/>
      <c r="C20" s="36"/>
      <c r="D20" s="36"/>
      <c r="E20" s="36"/>
      <c r="F20" s="36"/>
    </row>
    <row r="21" spans="1:6" ht="20.149999999999999" customHeight="1" x14ac:dyDescent="0.35">
      <c r="A21" s="75"/>
      <c r="B21" s="44"/>
      <c r="C21" s="18" t="s">
        <v>1079</v>
      </c>
      <c r="D21" s="76" t="s">
        <v>203</v>
      </c>
      <c r="E21" s="25"/>
      <c r="F21" s="18" t="s">
        <v>1080</v>
      </c>
    </row>
    <row r="22" spans="1:6" ht="20.149999999999999" customHeight="1" x14ac:dyDescent="0.35">
      <c r="A22" s="75"/>
      <c r="B22" s="44"/>
      <c r="C22" s="18" t="s">
        <v>1081</v>
      </c>
      <c r="D22" s="18" t="s">
        <v>1088</v>
      </c>
      <c r="E22" s="18" t="s">
        <v>1082</v>
      </c>
      <c r="F22" s="18" t="s">
        <v>1081</v>
      </c>
    </row>
    <row r="23" spans="1:6" ht="20.149999999999999" customHeight="1" x14ac:dyDescent="0.35">
      <c r="A23" s="13">
        <v>11</v>
      </c>
      <c r="B23" s="93" t="s">
        <v>332</v>
      </c>
      <c r="C23" s="92"/>
      <c r="D23" s="92"/>
      <c r="E23" s="92"/>
      <c r="F23" s="92"/>
    </row>
    <row r="24" spans="1:6" ht="20.149999999999999" customHeight="1" x14ac:dyDescent="0.35">
      <c r="A24" s="13">
        <v>12</v>
      </c>
      <c r="B24" s="14" t="s">
        <v>333</v>
      </c>
      <c r="C24" s="21">
        <f>data!B209</f>
        <v>11308055</v>
      </c>
      <c r="D24" s="21">
        <f>data!C209</f>
        <v>355809</v>
      </c>
      <c r="E24" s="21">
        <f>data!D209</f>
        <v>2805</v>
      </c>
      <c r="F24" s="21">
        <f>data!E209</f>
        <v>11661059</v>
      </c>
    </row>
    <row r="25" spans="1:6" ht="20.149999999999999" customHeight="1" x14ac:dyDescent="0.35">
      <c r="A25" s="13">
        <v>13</v>
      </c>
      <c r="B25" s="14" t="s">
        <v>334</v>
      </c>
      <c r="C25" s="21">
        <f>data!B210</f>
        <v>182460179</v>
      </c>
      <c r="D25" s="21">
        <f>data!C210</f>
        <v>11974387</v>
      </c>
      <c r="E25" s="21">
        <f>data!D210</f>
        <v>683557</v>
      </c>
      <c r="F25" s="21">
        <f>data!E210</f>
        <v>193751009</v>
      </c>
    </row>
    <row r="26" spans="1:6" ht="20.149999999999999" customHeight="1" x14ac:dyDescent="0.35">
      <c r="A26" s="13">
        <v>14</v>
      </c>
      <c r="B26" s="14" t="s">
        <v>1083</v>
      </c>
      <c r="C26" s="21">
        <f>data!B211</f>
        <v>96254498</v>
      </c>
      <c r="D26" s="21">
        <f>data!C211</f>
        <v>4414448</v>
      </c>
      <c r="E26" s="21">
        <f>data!D211</f>
        <v>350948</v>
      </c>
      <c r="F26" s="21">
        <f>data!E211</f>
        <v>100317998</v>
      </c>
    </row>
    <row r="27" spans="1:6" ht="20.149999999999999" customHeight="1" x14ac:dyDescent="0.35">
      <c r="A27" s="13">
        <v>15</v>
      </c>
      <c r="B27" s="14" t="s">
        <v>1084</v>
      </c>
      <c r="C27" s="21">
        <f>data!B212</f>
        <v>21268</v>
      </c>
      <c r="D27" s="21">
        <f>data!C212</f>
        <v>530</v>
      </c>
      <c r="E27" s="21">
        <f>data!D212</f>
        <v>12522</v>
      </c>
      <c r="F27" s="21">
        <f>data!E212</f>
        <v>9276</v>
      </c>
    </row>
    <row r="28" spans="1:6" ht="20.149999999999999" customHeight="1" x14ac:dyDescent="0.35">
      <c r="A28" s="13">
        <v>16</v>
      </c>
      <c r="B28" s="14" t="s">
        <v>1085</v>
      </c>
      <c r="C28" s="21">
        <f>data!B213</f>
        <v>230163888</v>
      </c>
      <c r="D28" s="21">
        <f>data!C213</f>
        <v>19085474</v>
      </c>
      <c r="E28" s="21">
        <f>data!D213</f>
        <v>31274217</v>
      </c>
      <c r="F28" s="21">
        <f>data!E213</f>
        <v>217975145</v>
      </c>
    </row>
    <row r="29" spans="1:6" ht="20.149999999999999" customHeight="1" x14ac:dyDescent="0.35">
      <c r="A29" s="13">
        <v>17</v>
      </c>
      <c r="B29" s="14" t="s">
        <v>1086</v>
      </c>
      <c r="C29" s="21">
        <f>data!B214</f>
        <v>0</v>
      </c>
      <c r="D29" s="21">
        <f>data!C214</f>
        <v>0</v>
      </c>
      <c r="E29" s="21">
        <f>data!D214</f>
        <v>0</v>
      </c>
      <c r="F29" s="21">
        <f>data!E214</f>
        <v>0</v>
      </c>
    </row>
    <row r="30" spans="1:6" ht="20.149999999999999" customHeight="1" x14ac:dyDescent="0.35">
      <c r="A30" s="13">
        <v>18</v>
      </c>
      <c r="B30" s="14" t="s">
        <v>339</v>
      </c>
      <c r="C30" s="21">
        <f>data!B215</f>
        <v>23969317</v>
      </c>
      <c r="D30" s="21">
        <f>data!C215</f>
        <v>2470979</v>
      </c>
      <c r="E30" s="21">
        <f>data!D215</f>
        <v>156740</v>
      </c>
      <c r="F30" s="21">
        <f>data!E215</f>
        <v>26283556</v>
      </c>
    </row>
    <row r="31" spans="1:6" ht="20.149999999999999" customHeight="1" x14ac:dyDescent="0.35">
      <c r="A31" s="13">
        <v>19</v>
      </c>
      <c r="B31" s="14" t="s">
        <v>1087</v>
      </c>
      <c r="C31" s="21">
        <f>data!B216</f>
        <v>0</v>
      </c>
      <c r="D31" s="21">
        <f>data!C216</f>
        <v>0</v>
      </c>
      <c r="E31" s="21">
        <f>data!D216</f>
        <v>0</v>
      </c>
      <c r="F31" s="21">
        <f>data!E216</f>
        <v>0</v>
      </c>
    </row>
    <row r="32" spans="1:6" ht="20.149999999999999" customHeight="1" x14ac:dyDescent="0.35">
      <c r="A32" s="13">
        <v>20</v>
      </c>
      <c r="B32" s="14" t="s">
        <v>661</v>
      </c>
      <c r="C32" s="21">
        <f>data!B217</f>
        <v>544177205</v>
      </c>
      <c r="D32" s="21">
        <f>data!C217</f>
        <v>38301627</v>
      </c>
      <c r="E32" s="21">
        <f>data!D217</f>
        <v>32480789</v>
      </c>
      <c r="F32" s="21">
        <f>data!E217</f>
        <v>549998043</v>
      </c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A1:M34"/>
  <sheetViews>
    <sheetView showGridLines="0" zoomScale="75" workbookViewId="0">
      <selection activeCell="E43" sqref="E43"/>
    </sheetView>
  </sheetViews>
  <sheetFormatPr defaultColWidth="8.875" defaultRowHeight="20.149999999999999" customHeight="1" x14ac:dyDescent="0.35"/>
  <cols>
    <col min="1" max="1" width="5.75" style="7" customWidth="1"/>
    <col min="2" max="2" width="7.75" style="7" customWidth="1"/>
    <col min="3" max="3" width="40.75" style="7" customWidth="1"/>
    <col min="4" max="4" width="15.75" style="7" customWidth="1"/>
    <col min="5" max="16384" width="8.875" style="7"/>
  </cols>
  <sheetData>
    <row r="1" spans="1:13" ht="20.149999999999999" customHeight="1" x14ac:dyDescent="0.35">
      <c r="A1" s="6" t="s">
        <v>1089</v>
      </c>
      <c r="B1" s="6"/>
      <c r="C1" s="6"/>
      <c r="D1" s="169" t="s">
        <v>1090</v>
      </c>
    </row>
    <row r="2" spans="1:13" ht="20.149999999999999" customHeight="1" x14ac:dyDescent="0.35">
      <c r="A2" s="29" t="str">
        <f>"Hospital: "&amp;data!C84</f>
        <v>Hospital: EvergreenHealth Kirkland / King Country Public Hos #2</v>
      </c>
      <c r="B2" s="30"/>
      <c r="C2" s="30"/>
      <c r="D2" s="31" t="str">
        <f>"FYE: "&amp;data!C82</f>
        <v>FYE: 12/31/2021</v>
      </c>
    </row>
    <row r="3" spans="1:13" ht="20.149999999999999" customHeight="1" x14ac:dyDescent="0.35">
      <c r="A3" s="42"/>
      <c r="B3" s="52"/>
      <c r="C3" s="52"/>
      <c r="D3" s="52"/>
    </row>
    <row r="4" spans="1:13" ht="20.149999999999999" customHeight="1" x14ac:dyDescent="0.35">
      <c r="A4" s="53"/>
      <c r="B4" s="41" t="s">
        <v>1091</v>
      </c>
      <c r="C4" s="41" t="s">
        <v>1092</v>
      </c>
      <c r="D4" s="54"/>
    </row>
    <row r="5" spans="1:13" ht="20.149999999999999" customHeight="1" x14ac:dyDescent="0.35">
      <c r="A5" s="102">
        <v>1</v>
      </c>
      <c r="B5" s="55"/>
      <c r="C5" s="22" t="s">
        <v>1254</v>
      </c>
      <c r="D5" s="14">
        <f>data!D221</f>
        <v>16930347</v>
      </c>
    </row>
    <row r="6" spans="1:13" ht="20.149999999999999" customHeight="1" x14ac:dyDescent="0.35">
      <c r="A6" s="13">
        <v>2</v>
      </c>
      <c r="B6" s="30"/>
      <c r="C6" s="31" t="s">
        <v>432</v>
      </c>
      <c r="D6" s="25"/>
    </row>
    <row r="7" spans="1:13" ht="20.149999999999999" customHeight="1" x14ac:dyDescent="0.35">
      <c r="A7" s="13">
        <v>3</v>
      </c>
      <c r="B7" s="55">
        <v>5810</v>
      </c>
      <c r="C7" s="14" t="s">
        <v>296</v>
      </c>
      <c r="D7" s="14">
        <f>data!C223</f>
        <v>636075632</v>
      </c>
    </row>
    <row r="8" spans="1:13" ht="20.149999999999999" customHeight="1" x14ac:dyDescent="0.35">
      <c r="A8" s="13">
        <v>4</v>
      </c>
      <c r="B8" s="55">
        <v>5820</v>
      </c>
      <c r="C8" s="14" t="s">
        <v>297</v>
      </c>
      <c r="D8" s="14">
        <f>data!C224</f>
        <v>146018542</v>
      </c>
    </row>
    <row r="9" spans="1:13" ht="20.149999999999999" customHeight="1" x14ac:dyDescent="0.35">
      <c r="A9" s="13">
        <v>5</v>
      </c>
      <c r="B9" s="55">
        <v>5830</v>
      </c>
      <c r="C9" s="14" t="s">
        <v>309</v>
      </c>
      <c r="D9" s="14">
        <f>data!C225</f>
        <v>9103062</v>
      </c>
    </row>
    <row r="10" spans="1:13" ht="20.149999999999999" customHeight="1" x14ac:dyDescent="0.35">
      <c r="A10" s="13">
        <v>6</v>
      </c>
      <c r="B10" s="55">
        <v>5840</v>
      </c>
      <c r="C10" s="14" t="s">
        <v>347</v>
      </c>
      <c r="D10" s="14">
        <f>data!C226</f>
        <v>8198226</v>
      </c>
    </row>
    <row r="11" spans="1:13" ht="20.149999999999999" customHeight="1" x14ac:dyDescent="0.35">
      <c r="A11" s="13">
        <v>7</v>
      </c>
      <c r="B11" s="55">
        <v>5850</v>
      </c>
      <c r="C11" s="14" t="s">
        <v>1093</v>
      </c>
      <c r="D11" s="14">
        <f>data!C227</f>
        <v>502508168</v>
      </c>
    </row>
    <row r="12" spans="1:13" ht="20.149999999999999" customHeight="1" x14ac:dyDescent="0.35">
      <c r="A12" s="13">
        <v>8</v>
      </c>
      <c r="B12" s="55">
        <v>5860</v>
      </c>
      <c r="C12" s="14" t="s">
        <v>132</v>
      </c>
      <c r="D12" s="14">
        <f>data!C228</f>
        <v>465710</v>
      </c>
    </row>
    <row r="13" spans="1:13" ht="20.149999999999999" customHeight="1" x14ac:dyDescent="0.35">
      <c r="A13" s="23">
        <v>9</v>
      </c>
      <c r="B13" s="24"/>
      <c r="C13" s="14" t="s">
        <v>1094</v>
      </c>
      <c r="D13" s="14">
        <f>data!D229</f>
        <v>1302369340</v>
      </c>
    </row>
    <row r="14" spans="1:13" ht="20.149999999999999" customHeight="1" x14ac:dyDescent="0.35">
      <c r="A14" s="81">
        <v>10</v>
      </c>
      <c r="B14" s="56"/>
      <c r="C14" s="56"/>
      <c r="D14" s="56"/>
    </row>
    <row r="15" spans="1:13" ht="20.149999999999999" customHeight="1" x14ac:dyDescent="0.35">
      <c r="A15" s="23">
        <v>11</v>
      </c>
      <c r="B15" s="58"/>
      <c r="C15" s="9" t="s">
        <v>351</v>
      </c>
      <c r="D15" s="25"/>
    </row>
    <row r="16" spans="1:13" ht="20.149999999999999" customHeight="1" x14ac:dyDescent="0.35">
      <c r="A16" s="81">
        <v>12</v>
      </c>
      <c r="B16" s="56"/>
      <c r="C16" s="49" t="s">
        <v>1095</v>
      </c>
      <c r="D16" s="140">
        <f>+data!C231</f>
        <v>3855</v>
      </c>
      <c r="M16" s="269"/>
    </row>
    <row r="17" spans="1:4" ht="20.149999999999999" customHeight="1" x14ac:dyDescent="0.35">
      <c r="A17" s="23">
        <v>13</v>
      </c>
      <c r="B17" s="58"/>
      <c r="C17" s="45"/>
      <c r="D17" s="83"/>
    </row>
    <row r="18" spans="1:4" ht="20.149999999999999" customHeight="1" x14ac:dyDescent="0.35">
      <c r="A18" s="13">
        <v>14</v>
      </c>
      <c r="B18" s="59">
        <v>5900</v>
      </c>
      <c r="C18" s="14" t="s">
        <v>353</v>
      </c>
      <c r="D18" s="60">
        <f>data!C233</f>
        <v>3406539</v>
      </c>
    </row>
    <row r="19" spans="1:4" ht="20.149999999999999" customHeight="1" x14ac:dyDescent="0.35">
      <c r="A19" s="61">
        <v>15</v>
      </c>
      <c r="B19" s="55">
        <v>5910</v>
      </c>
      <c r="C19" s="22" t="s">
        <v>1096</v>
      </c>
      <c r="D19" s="14">
        <f>data!C234</f>
        <v>5038549</v>
      </c>
    </row>
    <row r="20" spans="1:4" ht="20.149999999999999" customHeight="1" x14ac:dyDescent="0.35">
      <c r="A20" s="23">
        <v>16</v>
      </c>
      <c r="B20" s="24"/>
      <c r="C20" s="24"/>
      <c r="D20" s="56"/>
    </row>
    <row r="21" spans="1:4" ht="20.149999999999999" customHeight="1" x14ac:dyDescent="0.35">
      <c r="A21" s="23">
        <v>17</v>
      </c>
      <c r="B21" s="56"/>
      <c r="C21" s="56"/>
      <c r="D21" s="56"/>
    </row>
    <row r="22" spans="1:4" ht="20.149999999999999" customHeight="1" x14ac:dyDescent="0.35">
      <c r="A22" s="81">
        <v>18</v>
      </c>
      <c r="B22" s="56"/>
      <c r="C22" s="15" t="s">
        <v>1097</v>
      </c>
      <c r="D22" s="14">
        <f>data!D236</f>
        <v>8445088</v>
      </c>
    </row>
    <row r="23" spans="1:4" ht="20.149999999999999" customHeight="1" x14ac:dyDescent="0.35">
      <c r="A23" s="62">
        <v>19</v>
      </c>
      <c r="B23" s="58"/>
      <c r="C23" s="58"/>
      <c r="D23" s="25"/>
    </row>
    <row r="24" spans="1:4" ht="20.149999999999999" customHeight="1" x14ac:dyDescent="0.35">
      <c r="A24" s="275">
        <v>20</v>
      </c>
      <c r="B24" s="55">
        <v>5970</v>
      </c>
      <c r="C24" s="14" t="s">
        <v>357</v>
      </c>
      <c r="D24" s="14">
        <f>data!C238</f>
        <v>4732488</v>
      </c>
    </row>
    <row r="25" spans="1:4" ht="20.149999999999999" customHeight="1" x14ac:dyDescent="0.35">
      <c r="A25" s="62">
        <v>21</v>
      </c>
      <c r="B25" s="30"/>
      <c r="C25" s="30"/>
      <c r="D25" s="25"/>
    </row>
    <row r="26" spans="1:4" ht="20.149999999999999" customHeight="1" x14ac:dyDescent="0.35">
      <c r="A26" s="23">
        <v>22</v>
      </c>
      <c r="B26" s="55">
        <v>5980</v>
      </c>
      <c r="C26" s="14" t="s">
        <v>1098</v>
      </c>
      <c r="D26" s="14">
        <f>data!C239</f>
        <v>0</v>
      </c>
    </row>
    <row r="27" spans="1:4" ht="20.149999999999999" customHeight="1" x14ac:dyDescent="0.35">
      <c r="A27" s="64">
        <v>23</v>
      </c>
      <c r="B27" s="63" t="s">
        <v>1099</v>
      </c>
      <c r="C27" s="56"/>
      <c r="D27" s="14">
        <f>data!D242</f>
        <v>1332477263</v>
      </c>
    </row>
    <row r="28" spans="1:4" ht="20.149999999999999" customHeight="1" x14ac:dyDescent="0.35">
      <c r="A28" s="126">
        <v>24</v>
      </c>
      <c r="B28" s="65" t="s">
        <v>1100</v>
      </c>
      <c r="C28" s="50"/>
      <c r="D28" s="54"/>
    </row>
    <row r="29" spans="1:4" ht="20.149999999999999" customHeight="1" x14ac:dyDescent="0.35">
      <c r="A29" s="66"/>
      <c r="B29" s="67"/>
      <c r="C29" s="67"/>
      <c r="D29" s="56"/>
    </row>
    <row r="30" spans="1:4" ht="20.149999999999999" customHeight="1" x14ac:dyDescent="0.35">
      <c r="A30" s="68"/>
      <c r="B30" s="38"/>
      <c r="C30" s="38"/>
      <c r="D30" s="56"/>
    </row>
    <row r="31" spans="1:4" ht="20.149999999999999" customHeight="1" x14ac:dyDescent="0.35">
      <c r="A31" s="68"/>
      <c r="B31" s="38"/>
      <c r="C31" s="38"/>
      <c r="D31" s="56"/>
    </row>
    <row r="32" spans="1:4" ht="20.149999999999999" customHeight="1" x14ac:dyDescent="0.35">
      <c r="A32" s="68"/>
      <c r="B32" s="38"/>
      <c r="C32" s="38"/>
      <c r="D32" s="56"/>
    </row>
    <row r="33" spans="1:4" ht="20.149999999999999" customHeight="1" x14ac:dyDescent="0.35">
      <c r="A33" s="68"/>
      <c r="B33" s="38"/>
      <c r="C33" s="38"/>
      <c r="D33" s="24"/>
    </row>
    <row r="34" spans="1:4" ht="20.149999999999999" customHeight="1" x14ac:dyDescent="0.35">
      <c r="A34" s="69"/>
      <c r="B34" s="70"/>
      <c r="C34" s="70"/>
      <c r="D34" s="27"/>
    </row>
  </sheetData>
  <phoneticPr fontId="0" type="noConversion"/>
  <printOptions horizontalCentered="1" verticalCentered="1" gridLinesSet="0"/>
  <pageMargins left="0" right="0" top="0" bottom="0" header="0" footer="0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M384"/>
  <sheetViews>
    <sheetView showGridLines="0" zoomScale="65" workbookViewId="0">
      <selection activeCell="I384" sqref="A1:I384"/>
    </sheetView>
  </sheetViews>
  <sheetFormatPr defaultColWidth="8.875" defaultRowHeight="20.149999999999999" customHeight="1" x14ac:dyDescent="0.35"/>
  <cols>
    <col min="1" max="1" width="5.75" style="78" customWidth="1"/>
    <col min="2" max="2" width="22.4375" style="78" customWidth="1"/>
    <col min="3" max="8" width="13.75" style="78" customWidth="1"/>
    <col min="9" max="9" width="15.75" style="78" customWidth="1"/>
    <col min="10" max="16384" width="8.875" style="78"/>
  </cols>
  <sheetData>
    <row r="1" spans="1:13" ht="20.149999999999999" customHeight="1" x14ac:dyDescent="0.35">
      <c r="A1" s="4" t="s">
        <v>1173</v>
      </c>
      <c r="B1" s="5"/>
      <c r="C1" s="5"/>
      <c r="D1" s="6"/>
      <c r="E1" s="5"/>
      <c r="F1" s="5"/>
      <c r="G1" s="5"/>
      <c r="H1" s="5"/>
      <c r="I1"/>
    </row>
    <row r="2" spans="1:13" ht="20.149999999999999" customHeight="1" x14ac:dyDescent="0.35">
      <c r="A2" s="45"/>
      <c r="B2" s="77"/>
      <c r="C2" s="77"/>
      <c r="D2" s="77"/>
      <c r="E2" s="77"/>
      <c r="F2" s="77"/>
      <c r="G2" s="77"/>
      <c r="H2" s="77"/>
      <c r="I2" s="168" t="s">
        <v>1174</v>
      </c>
    </row>
    <row r="3" spans="1:13" ht="20.149999999999999" customHeight="1" x14ac:dyDescent="0.35">
      <c r="A3" s="45"/>
      <c r="B3" s="77"/>
      <c r="C3" s="77"/>
      <c r="D3" s="77"/>
      <c r="E3" s="77"/>
      <c r="F3" s="77"/>
      <c r="G3" s="77"/>
      <c r="H3" s="77"/>
      <c r="I3" s="45"/>
    </row>
    <row r="4" spans="1:13" ht="20.149999999999999" customHeight="1" x14ac:dyDescent="0.35">
      <c r="A4" s="79" t="str">
        <f>"HOSPITAL NAME: "&amp;data!C84</f>
        <v>HOSPITAL NAME: EvergreenHealth Kirkland / King Country Public Hos #2</v>
      </c>
      <c r="B4" s="77"/>
      <c r="C4" s="77"/>
      <c r="D4" s="77"/>
      <c r="E4" s="77"/>
      <c r="F4" s="77"/>
      <c r="G4" s="80"/>
      <c r="H4" s="79" t="str">
        <f>"FYE: "&amp;data!C82</f>
        <v>FYE: 12/31/2021</v>
      </c>
    </row>
    <row r="5" spans="1:13" ht="20.149999999999999" customHeight="1" x14ac:dyDescent="0.35">
      <c r="A5" s="23">
        <v>1</v>
      </c>
      <c r="B5" s="14" t="s">
        <v>209</v>
      </c>
      <c r="C5" s="89" t="s">
        <v>10</v>
      </c>
      <c r="D5" s="15" t="s">
        <v>11</v>
      </c>
      <c r="E5" s="15" t="s">
        <v>12</v>
      </c>
      <c r="F5" s="15" t="s">
        <v>13</v>
      </c>
      <c r="G5" s="15" t="s">
        <v>14</v>
      </c>
      <c r="H5" s="15" t="s">
        <v>15</v>
      </c>
      <c r="I5" s="15" t="s">
        <v>16</v>
      </c>
    </row>
    <row r="6" spans="1:13" ht="20.149999999999999" customHeight="1" x14ac:dyDescent="0.35">
      <c r="A6" s="81">
        <v>2</v>
      </c>
      <c r="B6" s="17" t="s">
        <v>1175</v>
      </c>
      <c r="C6" s="88" t="s">
        <v>92</v>
      </c>
      <c r="D6" s="18" t="s">
        <v>1176</v>
      </c>
      <c r="E6" s="18" t="s">
        <v>94</v>
      </c>
      <c r="F6" s="18" t="s">
        <v>95</v>
      </c>
      <c r="G6" s="18" t="s">
        <v>96</v>
      </c>
      <c r="H6" s="18" t="s">
        <v>97</v>
      </c>
      <c r="I6" s="18" t="s">
        <v>98</v>
      </c>
    </row>
    <row r="7" spans="1:13" ht="20.149999999999999" customHeight="1" x14ac:dyDescent="0.35">
      <c r="A7" s="82"/>
      <c r="B7" s="83"/>
      <c r="C7" s="18" t="s">
        <v>163</v>
      </c>
      <c r="D7" s="18" t="s">
        <v>1177</v>
      </c>
      <c r="E7" s="18" t="s">
        <v>163</v>
      </c>
      <c r="F7" s="18" t="s">
        <v>1178</v>
      </c>
      <c r="G7" s="18" t="s">
        <v>165</v>
      </c>
      <c r="H7" s="18" t="s">
        <v>163</v>
      </c>
      <c r="I7" s="18" t="s">
        <v>166</v>
      </c>
    </row>
    <row r="8" spans="1:13" ht="20.149999999999999" customHeight="1" x14ac:dyDescent="0.35">
      <c r="A8" s="23">
        <v>3</v>
      </c>
      <c r="B8" s="14" t="s">
        <v>1179</v>
      </c>
      <c r="C8" s="15" t="s">
        <v>215</v>
      </c>
      <c r="D8" s="15" t="s">
        <v>215</v>
      </c>
      <c r="E8" s="15" t="s">
        <v>215</v>
      </c>
      <c r="F8" s="15" t="s">
        <v>215</v>
      </c>
      <c r="G8" s="15" t="s">
        <v>215</v>
      </c>
      <c r="H8" s="15" t="s">
        <v>215</v>
      </c>
      <c r="I8" s="15" t="s">
        <v>215</v>
      </c>
    </row>
    <row r="9" spans="1:13" ht="20.149999999999999" customHeight="1" x14ac:dyDescent="0.35">
      <c r="A9" s="23">
        <v>4</v>
      </c>
      <c r="B9" s="14" t="s">
        <v>233</v>
      </c>
      <c r="C9" s="14">
        <f>data!C59</f>
        <v>5466.41</v>
      </c>
      <c r="D9" s="14">
        <f>data!D59</f>
        <v>9975.4599999999991</v>
      </c>
      <c r="E9" s="14">
        <f>data!E59</f>
        <v>40880.5</v>
      </c>
      <c r="F9" s="14">
        <f>data!F59</f>
        <v>0</v>
      </c>
      <c r="G9" s="14">
        <f>data!G59</f>
        <v>3342</v>
      </c>
      <c r="H9" s="14">
        <f>data!H59</f>
        <v>0</v>
      </c>
      <c r="I9" s="14">
        <f>data!I59</f>
        <v>0</v>
      </c>
    </row>
    <row r="10" spans="1:13" ht="20.149999999999999" customHeight="1" x14ac:dyDescent="0.35">
      <c r="A10" s="23">
        <v>5</v>
      </c>
      <c r="B10" s="14" t="s">
        <v>234</v>
      </c>
      <c r="C10" s="26">
        <f>data!C60</f>
        <v>129.66117788461543</v>
      </c>
      <c r="D10" s="26">
        <f>data!D60</f>
        <v>70.320634615384606</v>
      </c>
      <c r="E10" s="26">
        <f>data!E60</f>
        <v>298.26640384615376</v>
      </c>
      <c r="F10" s="26">
        <f>data!F60</f>
        <v>7.6035576923076924</v>
      </c>
      <c r="G10" s="26">
        <f>data!G60</f>
        <v>17.9505625</v>
      </c>
      <c r="H10" s="26">
        <f>data!H60</f>
        <v>0</v>
      </c>
      <c r="I10" s="26">
        <f>data!I60</f>
        <v>0</v>
      </c>
    </row>
    <row r="11" spans="1:13" ht="20.149999999999999" customHeight="1" x14ac:dyDescent="0.35">
      <c r="A11" s="23">
        <v>6</v>
      </c>
      <c r="B11" s="14" t="s">
        <v>235</v>
      </c>
      <c r="C11" s="14">
        <f>data!C61</f>
        <v>16171232.809999999</v>
      </c>
      <c r="D11" s="14">
        <f>data!D61</f>
        <v>7759539.8299999991</v>
      </c>
      <c r="E11" s="14">
        <f>data!E61</f>
        <v>31075554.829999987</v>
      </c>
      <c r="F11" s="14">
        <f>data!F61</f>
        <v>1113002.7400000002</v>
      </c>
      <c r="G11" s="14">
        <f>data!G61</f>
        <v>2040310.1799999997</v>
      </c>
      <c r="H11" s="14">
        <f>data!H61</f>
        <v>0</v>
      </c>
      <c r="I11" s="14">
        <f>data!I61</f>
        <v>0</v>
      </c>
    </row>
    <row r="12" spans="1:13" ht="20.149999999999999" customHeight="1" x14ac:dyDescent="0.35">
      <c r="A12" s="23">
        <v>7</v>
      </c>
      <c r="B12" s="14" t="s">
        <v>3</v>
      </c>
      <c r="C12" s="14">
        <f>data!C62</f>
        <v>3281901</v>
      </c>
      <c r="D12" s="14">
        <f>data!D62</f>
        <v>1625255</v>
      </c>
      <c r="E12" s="14">
        <f>data!E62</f>
        <v>5461788</v>
      </c>
      <c r="F12" s="14">
        <f>data!F62</f>
        <v>195882</v>
      </c>
      <c r="G12" s="14">
        <f>data!G62</f>
        <v>486252</v>
      </c>
      <c r="H12" s="14">
        <f>data!H62</f>
        <v>0</v>
      </c>
      <c r="I12" s="14">
        <f>data!I62</f>
        <v>0</v>
      </c>
    </row>
    <row r="13" spans="1:13" ht="20.149999999999999" customHeight="1" x14ac:dyDescent="0.35">
      <c r="A13" s="23">
        <v>8</v>
      </c>
      <c r="B13" s="14" t="s">
        <v>236</v>
      </c>
      <c r="C13" s="14">
        <f>data!C63</f>
        <v>669000.25</v>
      </c>
      <c r="D13" s="14">
        <f>data!D63</f>
        <v>0</v>
      </c>
      <c r="E13" s="14">
        <f>data!E63</f>
        <v>0</v>
      </c>
      <c r="F13" s="14">
        <f>data!F63</f>
        <v>0</v>
      </c>
      <c r="G13" s="14">
        <f>data!G63</f>
        <v>0</v>
      </c>
      <c r="H13" s="14">
        <f>data!H63</f>
        <v>0</v>
      </c>
      <c r="I13" s="14">
        <f>data!I63</f>
        <v>0</v>
      </c>
    </row>
    <row r="14" spans="1:13" ht="20.149999999999999" customHeight="1" x14ac:dyDescent="0.35">
      <c r="A14" s="23">
        <v>9</v>
      </c>
      <c r="B14" s="14" t="s">
        <v>237</v>
      </c>
      <c r="C14" s="14">
        <f>data!C64</f>
        <v>1831742.92</v>
      </c>
      <c r="D14" s="14">
        <f>data!D64</f>
        <v>710662.7200000002</v>
      </c>
      <c r="E14" s="14">
        <f>data!E64</f>
        <v>2116460.9700000002</v>
      </c>
      <c r="F14" s="14">
        <f>data!F64</f>
        <v>6606.05</v>
      </c>
      <c r="G14" s="14">
        <f>data!G64</f>
        <v>75234.260000000009</v>
      </c>
      <c r="H14" s="14">
        <f>data!H64</f>
        <v>0</v>
      </c>
      <c r="I14" s="14">
        <f>data!I64</f>
        <v>0</v>
      </c>
    </row>
    <row r="15" spans="1:13" ht="20.149999999999999" customHeight="1" x14ac:dyDescent="0.35">
      <c r="A15" s="23">
        <v>10</v>
      </c>
      <c r="B15" s="14" t="s">
        <v>444</v>
      </c>
      <c r="C15" s="14">
        <f>data!C65</f>
        <v>5364.58</v>
      </c>
      <c r="D15" s="14">
        <f>data!D65</f>
        <v>0</v>
      </c>
      <c r="E15" s="14">
        <f>data!E65</f>
        <v>0</v>
      </c>
      <c r="F15" s="14">
        <f>data!F65</f>
        <v>0</v>
      </c>
      <c r="G15" s="14">
        <f>data!G65</f>
        <v>0</v>
      </c>
      <c r="H15" s="14">
        <f>data!H65</f>
        <v>0</v>
      </c>
      <c r="I15" s="14">
        <f>data!I65</f>
        <v>0</v>
      </c>
      <c r="M15" s="268"/>
    </row>
    <row r="16" spans="1:13" ht="20.149999999999999" customHeight="1" x14ac:dyDescent="0.35">
      <c r="A16" s="23">
        <v>11</v>
      </c>
      <c r="B16" s="14" t="s">
        <v>445</v>
      </c>
      <c r="C16" s="14">
        <f>data!C66</f>
        <v>421363.6</v>
      </c>
      <c r="D16" s="14">
        <f>data!D66</f>
        <v>323394.68999999994</v>
      </c>
      <c r="E16" s="14">
        <f>data!E66</f>
        <v>783906.57</v>
      </c>
      <c r="F16" s="14">
        <f>data!F66</f>
        <v>57111.28</v>
      </c>
      <c r="G16" s="14">
        <f>data!G66</f>
        <v>46066.080000000002</v>
      </c>
      <c r="H16" s="14">
        <f>data!H66</f>
        <v>0</v>
      </c>
      <c r="I16" s="14">
        <f>data!I66</f>
        <v>0</v>
      </c>
    </row>
    <row r="17" spans="1:9" ht="20.149999999999999" customHeight="1" x14ac:dyDescent="0.35">
      <c r="A17" s="23">
        <v>12</v>
      </c>
      <c r="B17" s="14" t="s">
        <v>6</v>
      </c>
      <c r="C17" s="14">
        <f>data!C67</f>
        <v>1452876</v>
      </c>
      <c r="D17" s="14">
        <f>data!D67</f>
        <v>1565460</v>
      </c>
      <c r="E17" s="14">
        <f>data!E67</f>
        <v>2309574</v>
      </c>
      <c r="F17" s="14">
        <f>data!F67</f>
        <v>140</v>
      </c>
      <c r="G17" s="14">
        <f>data!G67</f>
        <v>92894</v>
      </c>
      <c r="H17" s="14">
        <f>data!H67</f>
        <v>0</v>
      </c>
      <c r="I17" s="14">
        <f>data!I67</f>
        <v>0</v>
      </c>
    </row>
    <row r="18" spans="1:9" ht="20.149999999999999" customHeight="1" x14ac:dyDescent="0.35">
      <c r="A18" s="23">
        <v>13</v>
      </c>
      <c r="B18" s="14" t="s">
        <v>474</v>
      </c>
      <c r="C18" s="14">
        <f>data!C68</f>
        <v>0</v>
      </c>
      <c r="D18" s="14">
        <f>data!D68</f>
        <v>0</v>
      </c>
      <c r="E18" s="14">
        <f>data!E68</f>
        <v>0</v>
      </c>
      <c r="F18" s="14">
        <f>data!F68</f>
        <v>0</v>
      </c>
      <c r="G18" s="14">
        <f>data!G68</f>
        <v>0</v>
      </c>
      <c r="H18" s="14">
        <f>data!H68</f>
        <v>0</v>
      </c>
      <c r="I18" s="14">
        <f>data!I68</f>
        <v>0</v>
      </c>
    </row>
    <row r="19" spans="1:9" ht="20.149999999999999" customHeight="1" x14ac:dyDescent="0.35">
      <c r="A19" s="23">
        <v>14</v>
      </c>
      <c r="B19" s="14" t="s">
        <v>241</v>
      </c>
      <c r="C19" s="14">
        <f>data!C69</f>
        <v>11059.329999999998</v>
      </c>
      <c r="D19" s="14">
        <f>data!D69</f>
        <v>11096.31</v>
      </c>
      <c r="E19" s="14">
        <f>data!E69</f>
        <v>15187.97</v>
      </c>
      <c r="F19" s="14">
        <f>data!F69</f>
        <v>39722.799999999996</v>
      </c>
      <c r="G19" s="14">
        <f>data!G69</f>
        <v>9418.84</v>
      </c>
      <c r="H19" s="14">
        <f>data!H69</f>
        <v>0</v>
      </c>
      <c r="I19" s="14">
        <f>data!I69</f>
        <v>0</v>
      </c>
    </row>
    <row r="20" spans="1:9" ht="20.149999999999999" customHeight="1" x14ac:dyDescent="0.35">
      <c r="A20" s="23">
        <v>15</v>
      </c>
      <c r="B20" s="14" t="s">
        <v>242</v>
      </c>
      <c r="C20" s="14">
        <f>-data!C70</f>
        <v>-44850.53</v>
      </c>
      <c r="D20" s="14">
        <f>-data!D70</f>
        <v>0</v>
      </c>
      <c r="E20" s="14">
        <f>-data!E70</f>
        <v>-49.92</v>
      </c>
      <c r="F20" s="14">
        <f>-data!F70</f>
        <v>0</v>
      </c>
      <c r="G20" s="14">
        <f>-data!G70</f>
        <v>0</v>
      </c>
      <c r="H20" s="14">
        <f>-data!H70</f>
        <v>0</v>
      </c>
      <c r="I20" s="14">
        <f>-data!I70</f>
        <v>0</v>
      </c>
    </row>
    <row r="21" spans="1:9" ht="20.149999999999999" customHeight="1" x14ac:dyDescent="0.35">
      <c r="A21" s="23">
        <v>16</v>
      </c>
      <c r="B21" s="48" t="s">
        <v>1180</v>
      </c>
      <c r="C21" s="14">
        <f>data!C71</f>
        <v>23799689.959999993</v>
      </c>
      <c r="D21" s="14">
        <f>data!D71</f>
        <v>11995408.549999999</v>
      </c>
      <c r="E21" s="14">
        <f>data!E71</f>
        <v>41762422.419999979</v>
      </c>
      <c r="F21" s="14">
        <f>data!F71</f>
        <v>1412464.8700000003</v>
      </c>
      <c r="G21" s="14">
        <f>data!G71</f>
        <v>2750175.3599999994</v>
      </c>
      <c r="H21" s="14">
        <f>data!H71</f>
        <v>0</v>
      </c>
      <c r="I21" s="14">
        <f>data!I71</f>
        <v>0</v>
      </c>
    </row>
    <row r="22" spans="1:9" ht="20.149999999999999" customHeight="1" x14ac:dyDescent="0.35">
      <c r="A22" s="23">
        <v>17</v>
      </c>
      <c r="B22" s="14" t="s">
        <v>244</v>
      </c>
      <c r="C22" s="210"/>
      <c r="D22" s="211"/>
      <c r="E22" s="211"/>
      <c r="F22" s="211"/>
      <c r="G22" s="211"/>
      <c r="H22" s="211"/>
      <c r="I22" s="211"/>
    </row>
    <row r="23" spans="1:9" ht="20.149999999999999" customHeight="1" x14ac:dyDescent="0.35">
      <c r="A23" s="23">
        <v>18</v>
      </c>
      <c r="B23" s="14" t="s">
        <v>1181</v>
      </c>
      <c r="C23" s="48">
        <f>+data!M668</f>
        <v>8307438</v>
      </c>
      <c r="D23" s="48">
        <f>+data!M669</f>
        <v>4826318</v>
      </c>
      <c r="E23" s="48">
        <f>+data!M670</f>
        <v>16938233</v>
      </c>
      <c r="F23" s="48">
        <f>+data!M671</f>
        <v>132707</v>
      </c>
      <c r="G23" s="48">
        <f>+data!M672</f>
        <v>1335878</v>
      </c>
      <c r="H23" s="48">
        <f>+data!M673</f>
        <v>0</v>
      </c>
      <c r="I23" s="48">
        <f>+data!M674</f>
        <v>0</v>
      </c>
    </row>
    <row r="24" spans="1:9" ht="20.149999999999999" customHeight="1" x14ac:dyDescent="0.35">
      <c r="A24" s="23">
        <v>19</v>
      </c>
      <c r="B24" s="48" t="s">
        <v>1182</v>
      </c>
      <c r="C24" s="14">
        <f>data!C73</f>
        <v>81926691.040000007</v>
      </c>
      <c r="D24" s="14">
        <f>data!D73</f>
        <v>48349974.57</v>
      </c>
      <c r="E24" s="14">
        <f>data!E73</f>
        <v>138453400.66999999</v>
      </c>
      <c r="F24" s="14">
        <f>data!F73</f>
        <v>0</v>
      </c>
      <c r="G24" s="14">
        <f>data!G73</f>
        <v>13841087.310000001</v>
      </c>
      <c r="H24" s="14">
        <f>data!H73</f>
        <v>0</v>
      </c>
      <c r="I24" s="14">
        <f>data!I73</f>
        <v>0</v>
      </c>
    </row>
    <row r="25" spans="1:9" ht="20.149999999999999" customHeight="1" x14ac:dyDescent="0.35">
      <c r="A25" s="23">
        <v>20</v>
      </c>
      <c r="B25" s="48" t="s">
        <v>1183</v>
      </c>
      <c r="C25" s="14">
        <f>data!C74</f>
        <v>-70353</v>
      </c>
      <c r="D25" s="14">
        <f>data!D74</f>
        <v>535373</v>
      </c>
      <c r="E25" s="14">
        <f>data!E74</f>
        <v>6620204.9100000001</v>
      </c>
      <c r="F25" s="14">
        <f>data!F74</f>
        <v>0</v>
      </c>
      <c r="G25" s="14">
        <f>data!G74</f>
        <v>-4108</v>
      </c>
      <c r="H25" s="14">
        <f>data!H74</f>
        <v>0</v>
      </c>
      <c r="I25" s="14">
        <f>data!I74</f>
        <v>0</v>
      </c>
    </row>
    <row r="26" spans="1:9" ht="18" customHeight="1" x14ac:dyDescent="0.35">
      <c r="A26" s="23">
        <v>21</v>
      </c>
      <c r="B26" s="48" t="s">
        <v>1184</v>
      </c>
      <c r="C26" s="14">
        <f>data!C75</f>
        <v>81856338.040000007</v>
      </c>
      <c r="D26" s="14">
        <f>data!D75</f>
        <v>48885347.57</v>
      </c>
      <c r="E26" s="14">
        <f>data!E75</f>
        <v>145073605.57999998</v>
      </c>
      <c r="F26" s="14">
        <f>data!F75</f>
        <v>0</v>
      </c>
      <c r="G26" s="14">
        <f>data!G75</f>
        <v>13836979.310000001</v>
      </c>
      <c r="H26" s="14">
        <f>data!H75</f>
        <v>0</v>
      </c>
      <c r="I26" s="14">
        <f>data!I75</f>
        <v>0</v>
      </c>
    </row>
    <row r="27" spans="1:9" ht="20.149999999999999" customHeight="1" x14ac:dyDescent="0.35">
      <c r="A27" s="23" t="s">
        <v>1185</v>
      </c>
      <c r="B27" s="60"/>
      <c r="C27" s="211"/>
      <c r="D27" s="211"/>
      <c r="E27" s="211"/>
      <c r="F27" s="211"/>
      <c r="G27" s="211"/>
      <c r="H27" s="211"/>
      <c r="I27" s="211"/>
    </row>
    <row r="28" spans="1:9" ht="20.149999999999999" customHeight="1" x14ac:dyDescent="0.35">
      <c r="A28" s="23">
        <v>22</v>
      </c>
      <c r="B28" s="14" t="s">
        <v>1186</v>
      </c>
      <c r="C28" s="14">
        <f>data!C76</f>
        <v>31983</v>
      </c>
      <c r="D28" s="14">
        <f>data!D76</f>
        <v>24368</v>
      </c>
      <c r="E28" s="14">
        <f>data!E76</f>
        <v>112482</v>
      </c>
      <c r="F28" s="14">
        <f>data!F76</f>
        <v>0</v>
      </c>
      <c r="G28" s="14">
        <f>data!G76</f>
        <v>9095</v>
      </c>
      <c r="H28" s="14">
        <f>data!H76</f>
        <v>0</v>
      </c>
      <c r="I28" s="14">
        <f>data!I76</f>
        <v>0</v>
      </c>
    </row>
    <row r="29" spans="1:9" ht="20.149999999999999" customHeight="1" x14ac:dyDescent="0.35">
      <c r="A29" s="23">
        <v>23</v>
      </c>
      <c r="B29" s="14" t="s">
        <v>1187</v>
      </c>
      <c r="C29" s="14">
        <f>data!C77</f>
        <v>8432</v>
      </c>
      <c r="D29" s="14">
        <f>data!D77</f>
        <v>29212</v>
      </c>
      <c r="E29" s="14">
        <f>data!E77</f>
        <v>128071</v>
      </c>
      <c r="F29" s="14">
        <f>data!F77</f>
        <v>0</v>
      </c>
      <c r="G29" s="14">
        <f>data!G77</f>
        <v>9866</v>
      </c>
      <c r="H29" s="14">
        <f>data!H77</f>
        <v>0</v>
      </c>
      <c r="I29" s="14">
        <f>data!I77</f>
        <v>0</v>
      </c>
    </row>
    <row r="30" spans="1:9" ht="20.149999999999999" customHeight="1" x14ac:dyDescent="0.35">
      <c r="A30" s="23">
        <v>24</v>
      </c>
      <c r="B30" s="14" t="s">
        <v>1188</v>
      </c>
      <c r="C30" s="14">
        <f>data!C78</f>
        <v>4073</v>
      </c>
      <c r="D30" s="14">
        <f>data!D78</f>
        <v>3103</v>
      </c>
      <c r="E30" s="14">
        <f>data!E78</f>
        <v>14323</v>
      </c>
      <c r="F30" s="14">
        <f>data!F78</f>
        <v>0</v>
      </c>
      <c r="G30" s="14">
        <f>data!G78</f>
        <v>1158</v>
      </c>
      <c r="H30" s="14">
        <f>data!H78</f>
        <v>0</v>
      </c>
      <c r="I30" s="14">
        <f>data!I78</f>
        <v>0</v>
      </c>
    </row>
    <row r="31" spans="1:9" ht="20.149999999999999" customHeight="1" x14ac:dyDescent="0.35">
      <c r="A31" s="23">
        <v>25</v>
      </c>
      <c r="B31" s="14" t="s">
        <v>1189</v>
      </c>
      <c r="C31" s="14">
        <f>data!C79</f>
        <v>180193.28</v>
      </c>
      <c r="D31" s="14">
        <f>data!D79</f>
        <v>210015.85</v>
      </c>
      <c r="E31" s="14">
        <f>data!E79</f>
        <v>539544.76</v>
      </c>
      <c r="F31" s="14">
        <f>data!F79</f>
        <v>0</v>
      </c>
      <c r="G31" s="14">
        <f>data!G79</f>
        <v>31911.47</v>
      </c>
      <c r="H31" s="14">
        <f>data!H79</f>
        <v>0</v>
      </c>
      <c r="I31" s="14">
        <f>data!I79</f>
        <v>0</v>
      </c>
    </row>
    <row r="32" spans="1:9" ht="20.149999999999999" customHeight="1" x14ac:dyDescent="0.35">
      <c r="A32" s="23">
        <v>26</v>
      </c>
      <c r="B32" s="14" t="s">
        <v>252</v>
      </c>
      <c r="C32" s="84">
        <f>data!C80</f>
        <v>98.057163461538465</v>
      </c>
      <c r="D32" s="84">
        <f>data!D80</f>
        <v>45.436730769230763</v>
      </c>
      <c r="E32" s="84">
        <f>data!E80</f>
        <v>184.78013942307692</v>
      </c>
      <c r="F32" s="84">
        <f>data!F80</f>
        <v>0.41763461538461538</v>
      </c>
      <c r="G32" s="84">
        <f>data!G80</f>
        <v>11.122442307692308</v>
      </c>
      <c r="H32" s="84">
        <f>data!H80</f>
        <v>0</v>
      </c>
      <c r="I32" s="84">
        <f>data!I80</f>
        <v>0</v>
      </c>
    </row>
    <row r="33" spans="1:9" ht="20.149999999999999" customHeight="1" x14ac:dyDescent="0.35">
      <c r="A33" s="4" t="s">
        <v>1173</v>
      </c>
      <c r="B33" s="5"/>
      <c r="C33" s="5"/>
      <c r="D33" s="6"/>
      <c r="E33" s="5"/>
      <c r="F33" s="5"/>
      <c r="G33" s="5"/>
      <c r="H33" s="5"/>
      <c r="I33" s="4"/>
    </row>
    <row r="34" spans="1:9" ht="20.149999999999999" customHeight="1" x14ac:dyDescent="0.35">
      <c r="A34" s="45"/>
      <c r="B34" s="77"/>
      <c r="C34" s="77"/>
      <c r="D34" s="77"/>
      <c r="E34" s="77"/>
      <c r="F34" s="77"/>
      <c r="G34" s="77"/>
      <c r="H34" s="77"/>
      <c r="I34" s="168" t="s">
        <v>1190</v>
      </c>
    </row>
    <row r="35" spans="1:9" ht="20.149999999999999" customHeight="1" x14ac:dyDescent="0.35">
      <c r="A35" s="45"/>
      <c r="B35" s="77"/>
      <c r="C35" s="77"/>
      <c r="D35" s="77"/>
      <c r="E35" s="77"/>
      <c r="F35" s="77"/>
      <c r="G35" s="77"/>
      <c r="H35" s="77"/>
      <c r="I35" s="45"/>
    </row>
    <row r="36" spans="1:9" ht="20.149999999999999" customHeight="1" x14ac:dyDescent="0.35">
      <c r="A36" s="79" t="str">
        <f>"HOSPITAL NAME: "&amp;data!C84</f>
        <v>HOSPITAL NAME: EvergreenHealth Kirkland / King Country Public Hos #2</v>
      </c>
      <c r="B36" s="77"/>
      <c r="C36" s="77"/>
      <c r="D36" s="77"/>
      <c r="E36" s="77"/>
      <c r="F36" s="77"/>
      <c r="G36" s="80"/>
      <c r="H36" s="79" t="str">
        <f>"FYE: "&amp;data!C82</f>
        <v>FYE: 12/31/2021</v>
      </c>
    </row>
    <row r="37" spans="1:9" ht="20.149999999999999" customHeight="1" x14ac:dyDescent="0.35">
      <c r="A37" s="23">
        <v>1</v>
      </c>
      <c r="B37" s="14" t="s">
        <v>209</v>
      </c>
      <c r="C37" s="15" t="s">
        <v>17</v>
      </c>
      <c r="D37" s="15" t="s">
        <v>18</v>
      </c>
      <c r="E37" s="15" t="s">
        <v>19</v>
      </c>
      <c r="F37" s="15" t="s">
        <v>20</v>
      </c>
      <c r="G37" s="15" t="s">
        <v>21</v>
      </c>
      <c r="H37" s="15" t="s">
        <v>22</v>
      </c>
      <c r="I37" s="15" t="s">
        <v>23</v>
      </c>
    </row>
    <row r="38" spans="1:9" ht="20.149999999999999" customHeight="1" x14ac:dyDescent="0.35">
      <c r="A38" s="81">
        <v>2</v>
      </c>
      <c r="B38" s="17" t="s">
        <v>1175</v>
      </c>
      <c r="C38" s="25"/>
      <c r="D38" s="18" t="s">
        <v>100</v>
      </c>
      <c r="E38" s="18" t="s">
        <v>101</v>
      </c>
      <c r="F38" s="18" t="s">
        <v>1191</v>
      </c>
      <c r="G38" s="18" t="s">
        <v>103</v>
      </c>
      <c r="H38" s="18" t="s">
        <v>1192</v>
      </c>
      <c r="I38" s="18" t="s">
        <v>105</v>
      </c>
    </row>
    <row r="39" spans="1:9" ht="20.149999999999999" customHeight="1" x14ac:dyDescent="0.35">
      <c r="A39" s="82"/>
      <c r="B39" s="83"/>
      <c r="C39" s="18" t="s">
        <v>99</v>
      </c>
      <c r="D39" s="18" t="s">
        <v>157</v>
      </c>
      <c r="E39" s="88" t="s">
        <v>167</v>
      </c>
      <c r="F39" s="18" t="s">
        <v>168</v>
      </c>
      <c r="G39" s="18" t="s">
        <v>169</v>
      </c>
      <c r="H39" s="18" t="s">
        <v>170</v>
      </c>
      <c r="I39" s="18" t="s">
        <v>169</v>
      </c>
    </row>
    <row r="40" spans="1:9" ht="20.149999999999999" customHeight="1" x14ac:dyDescent="0.35">
      <c r="A40" s="23">
        <v>3</v>
      </c>
      <c r="B40" s="14" t="s">
        <v>1179</v>
      </c>
      <c r="C40" s="15" t="s">
        <v>216</v>
      </c>
      <c r="D40" s="15" t="s">
        <v>215</v>
      </c>
      <c r="E40" s="15" t="s">
        <v>215</v>
      </c>
      <c r="F40" s="15" t="s">
        <v>215</v>
      </c>
      <c r="G40" s="15" t="s">
        <v>215</v>
      </c>
      <c r="H40" s="15" t="s">
        <v>217</v>
      </c>
      <c r="I40" s="89" t="s">
        <v>218</v>
      </c>
    </row>
    <row r="41" spans="1:9" ht="20.149999999999999" customHeight="1" x14ac:dyDescent="0.35">
      <c r="A41" s="23">
        <v>4</v>
      </c>
      <c r="B41" s="14" t="s">
        <v>233</v>
      </c>
      <c r="C41" s="14">
        <f>data!J59</f>
        <v>0</v>
      </c>
      <c r="D41" s="14">
        <f>data!K59</f>
        <v>0</v>
      </c>
      <c r="E41" s="14">
        <f>data!L59</f>
        <v>0</v>
      </c>
      <c r="F41" s="14">
        <f>data!M59</f>
        <v>3471</v>
      </c>
      <c r="G41" s="14">
        <f>data!N59</f>
        <v>0</v>
      </c>
      <c r="H41" s="14">
        <f>data!O59</f>
        <v>4753</v>
      </c>
      <c r="I41" s="14">
        <f>data!P59</f>
        <v>758432</v>
      </c>
    </row>
    <row r="42" spans="1:9" ht="20.149999999999999" customHeight="1" x14ac:dyDescent="0.35">
      <c r="A42" s="23">
        <v>5</v>
      </c>
      <c r="B42" s="14" t="s">
        <v>234</v>
      </c>
      <c r="C42" s="26">
        <f>data!J60</f>
        <v>0</v>
      </c>
      <c r="D42" s="26">
        <f>data!K60</f>
        <v>0</v>
      </c>
      <c r="E42" s="26">
        <f>data!L60</f>
        <v>0</v>
      </c>
      <c r="F42" s="26">
        <f>data!M60</f>
        <v>47.3102740384615</v>
      </c>
      <c r="G42" s="26">
        <f>data!N60</f>
        <v>50.91838461538461</v>
      </c>
      <c r="H42" s="26">
        <f>data!O60</f>
        <v>176.98975961538463</v>
      </c>
      <c r="I42" s="26">
        <f>data!P60</f>
        <v>112.49838461538462</v>
      </c>
    </row>
    <row r="43" spans="1:9" ht="20.149999999999999" customHeight="1" x14ac:dyDescent="0.35">
      <c r="A43" s="23">
        <v>6</v>
      </c>
      <c r="B43" s="14" t="s">
        <v>235</v>
      </c>
      <c r="C43" s="14">
        <f>data!J61</f>
        <v>0</v>
      </c>
      <c r="D43" s="14">
        <f>data!K61</f>
        <v>0</v>
      </c>
      <c r="E43" s="14">
        <f>data!L61</f>
        <v>0</v>
      </c>
      <c r="F43" s="14">
        <f>data!M61</f>
        <v>5110697.1100000003</v>
      </c>
      <c r="G43" s="14">
        <f>data!N61</f>
        <v>16542331.979999999</v>
      </c>
      <c r="H43" s="14">
        <f>data!O61</f>
        <v>20499503.510000002</v>
      </c>
      <c r="I43" s="14">
        <f>data!P61</f>
        <v>11151731.559999997</v>
      </c>
    </row>
    <row r="44" spans="1:9" ht="20.149999999999999" customHeight="1" x14ac:dyDescent="0.35">
      <c r="A44" s="23">
        <v>7</v>
      </c>
      <c r="B44" s="14" t="s">
        <v>3</v>
      </c>
      <c r="C44" s="14">
        <f>data!J62</f>
        <v>0</v>
      </c>
      <c r="D44" s="14">
        <f>data!K62</f>
        <v>0</v>
      </c>
      <c r="E44" s="14">
        <f>data!L62</f>
        <v>0</v>
      </c>
      <c r="F44" s="14">
        <f>data!M62</f>
        <v>1278056</v>
      </c>
      <c r="G44" s="14">
        <f>data!N62</f>
        <v>2905261</v>
      </c>
      <c r="H44" s="14">
        <f>data!O62</f>
        <v>4405636</v>
      </c>
      <c r="I44" s="14">
        <f>data!P62</f>
        <v>2498221</v>
      </c>
    </row>
    <row r="45" spans="1:9" ht="20.149999999999999" customHeight="1" x14ac:dyDescent="0.35">
      <c r="A45" s="23">
        <v>8</v>
      </c>
      <c r="B45" s="14" t="s">
        <v>236</v>
      </c>
      <c r="C45" s="14">
        <f>data!J63</f>
        <v>0</v>
      </c>
      <c r="D45" s="14">
        <f>data!K63</f>
        <v>0</v>
      </c>
      <c r="E45" s="14">
        <f>data!L63</f>
        <v>0</v>
      </c>
      <c r="F45" s="14">
        <f>data!M63</f>
        <v>2247.7800000000002</v>
      </c>
      <c r="G45" s="14">
        <f>data!N63</f>
        <v>691954.86</v>
      </c>
      <c r="H45" s="14">
        <f>data!O63</f>
        <v>1695690.45</v>
      </c>
      <c r="I45" s="14">
        <f>data!P63</f>
        <v>-1374.26</v>
      </c>
    </row>
    <row r="46" spans="1:9" ht="20.149999999999999" customHeight="1" x14ac:dyDescent="0.35">
      <c r="A46" s="23">
        <v>9</v>
      </c>
      <c r="B46" s="14" t="s">
        <v>237</v>
      </c>
      <c r="C46" s="14">
        <f>data!J64</f>
        <v>0</v>
      </c>
      <c r="D46" s="14">
        <f>data!K64</f>
        <v>0</v>
      </c>
      <c r="E46" s="14">
        <f>data!L64</f>
        <v>0</v>
      </c>
      <c r="F46" s="14">
        <f>data!M64</f>
        <v>141964.64000000001</v>
      </c>
      <c r="G46" s="14">
        <f>data!N64</f>
        <v>10347.75</v>
      </c>
      <c r="H46" s="14">
        <f>data!O64</f>
        <v>1903344.3499999999</v>
      </c>
      <c r="I46" s="14">
        <f>data!P64</f>
        <v>37969102.170000002</v>
      </c>
    </row>
    <row r="47" spans="1:9" ht="20.149999999999999" customHeight="1" x14ac:dyDescent="0.35">
      <c r="A47" s="23">
        <v>10</v>
      </c>
      <c r="B47" s="14" t="s">
        <v>444</v>
      </c>
      <c r="C47" s="14">
        <f>data!J65</f>
        <v>0</v>
      </c>
      <c r="D47" s="14">
        <f>data!K65</f>
        <v>0</v>
      </c>
      <c r="E47" s="14">
        <f>data!L65</f>
        <v>0</v>
      </c>
      <c r="F47" s="14">
        <f>data!M65</f>
        <v>8774.1</v>
      </c>
      <c r="G47" s="14">
        <f>data!N65</f>
        <v>26778.240000000002</v>
      </c>
      <c r="H47" s="14">
        <f>data!O65</f>
        <v>480.34</v>
      </c>
      <c r="I47" s="14">
        <f>data!P65</f>
        <v>0</v>
      </c>
    </row>
    <row r="48" spans="1:9" ht="20.149999999999999" customHeight="1" x14ac:dyDescent="0.35">
      <c r="A48" s="23">
        <v>11</v>
      </c>
      <c r="B48" s="14" t="s">
        <v>445</v>
      </c>
      <c r="C48" s="14">
        <f>data!J66</f>
        <v>0</v>
      </c>
      <c r="D48" s="14">
        <f>data!K66</f>
        <v>0</v>
      </c>
      <c r="E48" s="14">
        <f>data!L66</f>
        <v>0</v>
      </c>
      <c r="F48" s="14">
        <f>data!M66</f>
        <v>182619.94999999998</v>
      </c>
      <c r="G48" s="14">
        <f>data!N66</f>
        <v>3340.33</v>
      </c>
      <c r="H48" s="14">
        <f>data!O66</f>
        <v>327818.21000000002</v>
      </c>
      <c r="I48" s="14">
        <f>data!P66</f>
        <v>1854756.0799999998</v>
      </c>
    </row>
    <row r="49" spans="1:9" ht="20.149999999999999" customHeight="1" x14ac:dyDescent="0.35">
      <c r="A49" s="23">
        <v>12</v>
      </c>
      <c r="B49" s="14" t="s">
        <v>6</v>
      </c>
      <c r="C49" s="14">
        <f>data!J67</f>
        <v>0</v>
      </c>
      <c r="D49" s="14">
        <f>data!K67</f>
        <v>0</v>
      </c>
      <c r="E49" s="14">
        <f>data!L67</f>
        <v>0</v>
      </c>
      <c r="F49" s="14">
        <f>data!M67</f>
        <v>151265</v>
      </c>
      <c r="G49" s="14">
        <f>data!N67</f>
        <v>4413</v>
      </c>
      <c r="H49" s="14">
        <f>data!O67</f>
        <v>712237</v>
      </c>
      <c r="I49" s="14">
        <f>data!P67</f>
        <v>3318699</v>
      </c>
    </row>
    <row r="50" spans="1:9" ht="20.149999999999999" customHeight="1" x14ac:dyDescent="0.35">
      <c r="A50" s="23">
        <v>13</v>
      </c>
      <c r="B50" s="14" t="s">
        <v>474</v>
      </c>
      <c r="C50" s="14">
        <f>data!J68</f>
        <v>0</v>
      </c>
      <c r="D50" s="14">
        <f>data!K68</f>
        <v>0</v>
      </c>
      <c r="E50" s="14">
        <f>data!L68</f>
        <v>0</v>
      </c>
      <c r="F50" s="14">
        <f>data!M68</f>
        <v>77882.34</v>
      </c>
      <c r="G50" s="14">
        <f>data!N68</f>
        <v>0</v>
      </c>
      <c r="H50" s="14">
        <f>data!O68</f>
        <v>0</v>
      </c>
      <c r="I50" s="14">
        <f>data!P68</f>
        <v>17624.900000000001</v>
      </c>
    </row>
    <row r="51" spans="1:9" ht="20.149999999999999" customHeight="1" x14ac:dyDescent="0.35">
      <c r="A51" s="23">
        <v>14</v>
      </c>
      <c r="B51" s="14" t="s">
        <v>241</v>
      </c>
      <c r="C51" s="14">
        <f>data!J69</f>
        <v>0</v>
      </c>
      <c r="D51" s="14">
        <f>data!K69</f>
        <v>0</v>
      </c>
      <c r="E51" s="14">
        <f>data!L69</f>
        <v>0</v>
      </c>
      <c r="F51" s="14">
        <f>data!M69</f>
        <v>42937.259999999995</v>
      </c>
      <c r="G51" s="14">
        <f>data!N69</f>
        <v>207195.55</v>
      </c>
      <c r="H51" s="14">
        <f>data!O69</f>
        <v>10379.61</v>
      </c>
      <c r="I51" s="14">
        <f>data!P69</f>
        <v>16550.5</v>
      </c>
    </row>
    <row r="52" spans="1:9" ht="20.149999999999999" customHeight="1" x14ac:dyDescent="0.35">
      <c r="A52" s="23">
        <v>15</v>
      </c>
      <c r="B52" s="14" t="s">
        <v>242</v>
      </c>
      <c r="C52" s="14">
        <f>-data!J70</f>
        <v>0</v>
      </c>
      <c r="D52" s="14">
        <f>-data!K70</f>
        <v>0</v>
      </c>
      <c r="E52" s="14">
        <f>-data!L70</f>
        <v>0</v>
      </c>
      <c r="F52" s="14">
        <f>-data!M70</f>
        <v>-873391.55</v>
      </c>
      <c r="G52" s="14">
        <f>-data!N70</f>
        <v>-35373.14</v>
      </c>
      <c r="H52" s="14">
        <f>-data!O70</f>
        <v>-7706.01</v>
      </c>
      <c r="I52" s="14">
        <f>-data!P70</f>
        <v>-42.3</v>
      </c>
    </row>
    <row r="53" spans="1:9" ht="20.149999999999999" customHeight="1" x14ac:dyDescent="0.35">
      <c r="A53" s="23">
        <v>16</v>
      </c>
      <c r="B53" s="48" t="s">
        <v>1180</v>
      </c>
      <c r="C53" s="14">
        <f>data!J71</f>
        <v>0</v>
      </c>
      <c r="D53" s="14">
        <f>data!K71</f>
        <v>0</v>
      </c>
      <c r="E53" s="14">
        <f>data!L71</f>
        <v>0</v>
      </c>
      <c r="F53" s="14">
        <f>data!M71</f>
        <v>6123052.6299999999</v>
      </c>
      <c r="G53" s="14">
        <f>data!N71</f>
        <v>20356249.569999993</v>
      </c>
      <c r="H53" s="14">
        <f>data!O71</f>
        <v>29547383.460000001</v>
      </c>
      <c r="I53" s="14">
        <f>data!P71</f>
        <v>56825268.649999999</v>
      </c>
    </row>
    <row r="54" spans="1:9" ht="20.149999999999999" customHeight="1" x14ac:dyDescent="0.35">
      <c r="A54" s="23">
        <v>17</v>
      </c>
      <c r="B54" s="14" t="s">
        <v>244</v>
      </c>
      <c r="C54" s="211"/>
      <c r="D54" s="211"/>
      <c r="E54" s="211"/>
      <c r="F54" s="211"/>
      <c r="G54" s="211"/>
      <c r="H54" s="211"/>
      <c r="I54" s="211"/>
    </row>
    <row r="55" spans="1:9" ht="20.149999999999999" customHeight="1" x14ac:dyDescent="0.35">
      <c r="A55" s="23">
        <v>18</v>
      </c>
      <c r="B55" s="14" t="s">
        <v>1181</v>
      </c>
      <c r="C55" s="48">
        <f>+data!M675</f>
        <v>0</v>
      </c>
      <c r="D55" s="48">
        <f>+data!M676</f>
        <v>0</v>
      </c>
      <c r="E55" s="48">
        <f>+data!M677</f>
        <v>0</v>
      </c>
      <c r="F55" s="48">
        <f>+data!M678</f>
        <v>1765716</v>
      </c>
      <c r="G55" s="48">
        <f>+data!M679</f>
        <v>2633701</v>
      </c>
      <c r="H55" s="48">
        <f>+data!M680</f>
        <v>11441842</v>
      </c>
      <c r="I55" s="48">
        <f>+data!M681</f>
        <v>23438576</v>
      </c>
    </row>
    <row r="56" spans="1:9" ht="20.149999999999999" customHeight="1" x14ac:dyDescent="0.35">
      <c r="A56" s="23">
        <v>19</v>
      </c>
      <c r="B56" s="48" t="s">
        <v>1182</v>
      </c>
      <c r="C56" s="14">
        <f>data!J73</f>
        <v>0</v>
      </c>
      <c r="D56" s="14">
        <f>data!K73</f>
        <v>0</v>
      </c>
      <c r="E56" s="14">
        <f>data!L73</f>
        <v>0</v>
      </c>
      <c r="F56" s="14">
        <f>data!M73</f>
        <v>5749377.3300000001</v>
      </c>
      <c r="G56" s="14">
        <f>data!N73</f>
        <v>19220243</v>
      </c>
      <c r="H56" s="14">
        <f>data!O73</f>
        <v>105901189.18000001</v>
      </c>
      <c r="I56" s="14">
        <f>data!P73</f>
        <v>77853637</v>
      </c>
    </row>
    <row r="57" spans="1:9" ht="20.149999999999999" customHeight="1" x14ac:dyDescent="0.35">
      <c r="A57" s="23">
        <v>20</v>
      </c>
      <c r="B57" s="48" t="s">
        <v>1183</v>
      </c>
      <c r="C57" s="14">
        <f>data!J74</f>
        <v>0</v>
      </c>
      <c r="D57" s="14">
        <f>data!K74</f>
        <v>0</v>
      </c>
      <c r="E57" s="14">
        <f>data!L74</f>
        <v>0</v>
      </c>
      <c r="F57" s="14">
        <f>data!M74</f>
        <v>222317</v>
      </c>
      <c r="G57" s="14">
        <f>data!N74</f>
        <v>1760059.01</v>
      </c>
      <c r="H57" s="14">
        <f>data!O74</f>
        <v>4835476</v>
      </c>
      <c r="I57" s="14">
        <f>data!P74</f>
        <v>201857071</v>
      </c>
    </row>
    <row r="58" spans="1:9" ht="20.149999999999999" customHeight="1" x14ac:dyDescent="0.35">
      <c r="A58" s="23">
        <v>21</v>
      </c>
      <c r="B58" s="48" t="s">
        <v>1184</v>
      </c>
      <c r="C58" s="14">
        <f>data!J75</f>
        <v>0</v>
      </c>
      <c r="D58" s="14">
        <f>data!K75</f>
        <v>0</v>
      </c>
      <c r="E58" s="14">
        <f>data!L75</f>
        <v>0</v>
      </c>
      <c r="F58" s="14">
        <f>data!M75</f>
        <v>5971694.3300000001</v>
      </c>
      <c r="G58" s="14">
        <f>data!N75</f>
        <v>20980302.010000002</v>
      </c>
      <c r="H58" s="14">
        <f>data!O75</f>
        <v>110736665.18000001</v>
      </c>
      <c r="I58" s="14">
        <f>data!P75</f>
        <v>279710708</v>
      </c>
    </row>
    <row r="59" spans="1:9" ht="20.149999999999999" customHeight="1" x14ac:dyDescent="0.35">
      <c r="A59" s="23" t="s">
        <v>1185</v>
      </c>
      <c r="B59" s="60"/>
      <c r="C59" s="211"/>
      <c r="D59" s="211"/>
      <c r="E59" s="211"/>
      <c r="F59" s="211"/>
      <c r="G59" s="211"/>
      <c r="H59" s="211"/>
      <c r="I59" s="211"/>
    </row>
    <row r="60" spans="1:9" ht="20.149999999999999" customHeight="1" x14ac:dyDescent="0.35">
      <c r="A60" s="23">
        <v>22</v>
      </c>
      <c r="B60" s="14" t="s">
        <v>1186</v>
      </c>
      <c r="C60" s="14">
        <f>data!J76</f>
        <v>0</v>
      </c>
      <c r="D60" s="14">
        <f>data!K76</f>
        <v>0</v>
      </c>
      <c r="E60" s="14">
        <f>data!L76</f>
        <v>0</v>
      </c>
      <c r="F60" s="14">
        <f>data!M76</f>
        <v>20520</v>
      </c>
      <c r="G60" s="14">
        <f>data!N76</f>
        <v>5055</v>
      </c>
      <c r="H60" s="14">
        <f>data!O76</f>
        <v>54397</v>
      </c>
      <c r="I60" s="14">
        <f>data!P76</f>
        <v>71966</v>
      </c>
    </row>
    <row r="61" spans="1:9" ht="20.149999999999999" customHeight="1" x14ac:dyDescent="0.35">
      <c r="A61" s="23">
        <v>23</v>
      </c>
      <c r="B61" s="14" t="s">
        <v>1187</v>
      </c>
      <c r="C61" s="14">
        <f>data!J77</f>
        <v>0</v>
      </c>
      <c r="D61" s="14">
        <f>data!K77</f>
        <v>0</v>
      </c>
      <c r="E61" s="14">
        <f>data!L77</f>
        <v>0</v>
      </c>
      <c r="F61" s="14">
        <f>data!M77</f>
        <v>5542</v>
      </c>
      <c r="G61" s="14">
        <f>data!N77</f>
        <v>0</v>
      </c>
      <c r="H61" s="14">
        <f>data!O77</f>
        <v>27122</v>
      </c>
      <c r="I61" s="14">
        <f>data!P77</f>
        <v>0</v>
      </c>
    </row>
    <row r="62" spans="1:9" ht="20.149999999999999" customHeight="1" x14ac:dyDescent="0.35">
      <c r="A62" s="23">
        <v>24</v>
      </c>
      <c r="B62" s="14" t="s">
        <v>1188</v>
      </c>
      <c r="C62" s="14">
        <f>data!J78</f>
        <v>0</v>
      </c>
      <c r="D62" s="14">
        <f>data!K78</f>
        <v>0</v>
      </c>
      <c r="E62" s="14">
        <f>data!L78</f>
        <v>0</v>
      </c>
      <c r="F62" s="14">
        <f>data!M78</f>
        <v>2613</v>
      </c>
      <c r="G62" s="14">
        <f>data!N78</f>
        <v>644</v>
      </c>
      <c r="H62" s="14">
        <f>data!O78</f>
        <v>6927</v>
      </c>
      <c r="I62" s="14">
        <f>data!P78</f>
        <v>9167</v>
      </c>
    </row>
    <row r="63" spans="1:9" ht="20.149999999999999" customHeight="1" x14ac:dyDescent="0.35">
      <c r="A63" s="23">
        <v>25</v>
      </c>
      <c r="B63" s="14" t="s">
        <v>1189</v>
      </c>
      <c r="C63" s="14">
        <f>data!J79</f>
        <v>0</v>
      </c>
      <c r="D63" s="14">
        <f>data!K79</f>
        <v>0</v>
      </c>
      <c r="E63" s="14">
        <f>data!L79</f>
        <v>0</v>
      </c>
      <c r="F63" s="14">
        <f>data!M79</f>
        <v>27725.599999999999</v>
      </c>
      <c r="G63" s="14">
        <f>data!N79</f>
        <v>0</v>
      </c>
      <c r="H63" s="14">
        <f>data!O79</f>
        <v>368240.08</v>
      </c>
      <c r="I63" s="14">
        <f>data!P79</f>
        <v>192441.32</v>
      </c>
    </row>
    <row r="64" spans="1:9" ht="20.149999999999999" customHeight="1" x14ac:dyDescent="0.35">
      <c r="A64" s="23">
        <v>26</v>
      </c>
      <c r="B64" s="14" t="s">
        <v>252</v>
      </c>
      <c r="C64" s="26">
        <f>data!J80</f>
        <v>0</v>
      </c>
      <c r="D64" s="26">
        <f>data!K80</f>
        <v>0</v>
      </c>
      <c r="E64" s="26">
        <f>data!L80</f>
        <v>0</v>
      </c>
      <c r="F64" s="26">
        <f>data!M80</f>
        <v>17.644692307692299</v>
      </c>
      <c r="G64" s="26">
        <f>data!N80</f>
        <v>0</v>
      </c>
      <c r="H64" s="26">
        <f>data!O80</f>
        <v>132.01289903846154</v>
      </c>
      <c r="I64" s="26">
        <f>data!P80</f>
        <v>51.87710096153846</v>
      </c>
    </row>
    <row r="65" spans="1:9" ht="20.149999999999999" customHeight="1" x14ac:dyDescent="0.35">
      <c r="A65" s="4" t="s">
        <v>1173</v>
      </c>
      <c r="B65" s="5"/>
      <c r="C65" s="5"/>
      <c r="D65" s="6"/>
      <c r="E65" s="5"/>
      <c r="F65" s="5"/>
      <c r="G65" s="5"/>
      <c r="H65" s="5"/>
      <c r="I65" s="4"/>
    </row>
    <row r="66" spans="1:9" ht="20.149999999999999" customHeight="1" x14ac:dyDescent="0.35">
      <c r="A66" s="77"/>
      <c r="B66" s="77"/>
      <c r="C66" s="77"/>
      <c r="D66" s="45"/>
      <c r="E66" s="77"/>
      <c r="F66" s="77"/>
      <c r="G66" s="77"/>
      <c r="H66" s="77"/>
      <c r="I66" s="168" t="s">
        <v>1193</v>
      </c>
    </row>
    <row r="67" spans="1:9" ht="20.149999999999999" customHeight="1" x14ac:dyDescent="0.35">
      <c r="A67" s="45"/>
      <c r="B67" s="77"/>
      <c r="C67" s="77"/>
      <c r="D67" s="77"/>
      <c r="E67" s="77"/>
      <c r="F67" s="77"/>
      <c r="G67" s="77"/>
      <c r="H67" s="77"/>
    </row>
    <row r="68" spans="1:9" ht="20.149999999999999" customHeight="1" x14ac:dyDescent="0.35">
      <c r="A68" s="79" t="str">
        <f>"HOSPITAL NAME: "&amp;data!C84</f>
        <v>HOSPITAL NAME: EvergreenHealth Kirkland / King Country Public Hos #2</v>
      </c>
      <c r="B68" s="77"/>
      <c r="C68" s="77"/>
      <c r="D68" s="77"/>
      <c r="E68" s="77"/>
      <c r="F68" s="77"/>
      <c r="G68" s="80"/>
      <c r="H68" s="79" t="str">
        <f>"FYE: "&amp;data!C82</f>
        <v>FYE: 12/31/2021</v>
      </c>
    </row>
    <row r="69" spans="1:9" ht="20.149999999999999" customHeight="1" x14ac:dyDescent="0.35">
      <c r="A69" s="23">
        <v>1</v>
      </c>
      <c r="B69" s="14" t="s">
        <v>209</v>
      </c>
      <c r="C69" s="15" t="s">
        <v>24</v>
      </c>
      <c r="D69" s="15" t="s">
        <v>25</v>
      </c>
      <c r="E69" s="15" t="s">
        <v>26</v>
      </c>
      <c r="F69" s="15" t="s">
        <v>27</v>
      </c>
      <c r="G69" s="15" t="s">
        <v>28</v>
      </c>
      <c r="H69" s="15" t="s">
        <v>29</v>
      </c>
      <c r="I69" s="15" t="s">
        <v>30</v>
      </c>
    </row>
    <row r="70" spans="1:9" ht="20.149999999999999" customHeight="1" x14ac:dyDescent="0.35">
      <c r="A70" s="81">
        <v>2</v>
      </c>
      <c r="B70" s="17" t="s">
        <v>1175</v>
      </c>
      <c r="C70" s="18" t="s">
        <v>106</v>
      </c>
      <c r="D70" s="25"/>
      <c r="E70" s="18" t="s">
        <v>108</v>
      </c>
      <c r="F70" s="18" t="s">
        <v>1194</v>
      </c>
      <c r="G70" s="25"/>
      <c r="H70" s="18" t="s">
        <v>110</v>
      </c>
      <c r="I70" s="18" t="s">
        <v>111</v>
      </c>
    </row>
    <row r="71" spans="1:9" ht="20.149999999999999" customHeight="1" x14ac:dyDescent="0.35">
      <c r="A71" s="82"/>
      <c r="B71" s="83"/>
      <c r="C71" s="18" t="s">
        <v>171</v>
      </c>
      <c r="D71" s="18" t="s">
        <v>1195</v>
      </c>
      <c r="E71" s="18" t="s">
        <v>169</v>
      </c>
      <c r="F71" s="18" t="s">
        <v>172</v>
      </c>
      <c r="G71" s="18" t="s">
        <v>109</v>
      </c>
      <c r="H71" s="18" t="s">
        <v>173</v>
      </c>
      <c r="I71" s="18" t="s">
        <v>174</v>
      </c>
    </row>
    <row r="72" spans="1:9" ht="20.149999999999999" customHeight="1" x14ac:dyDescent="0.35">
      <c r="A72" s="23">
        <v>3</v>
      </c>
      <c r="B72" s="14" t="s">
        <v>1179</v>
      </c>
      <c r="C72" s="15" t="s">
        <v>1196</v>
      </c>
      <c r="D72" s="89" t="s">
        <v>1197</v>
      </c>
      <c r="E72" s="212"/>
      <c r="F72" s="212"/>
      <c r="G72" s="89" t="s">
        <v>1198</v>
      </c>
      <c r="H72" s="89" t="s">
        <v>1198</v>
      </c>
      <c r="I72" s="15" t="s">
        <v>223</v>
      </c>
    </row>
    <row r="73" spans="1:9" ht="20.149999999999999" customHeight="1" x14ac:dyDescent="0.35">
      <c r="A73" s="23">
        <v>4</v>
      </c>
      <c r="B73" s="14" t="s">
        <v>233</v>
      </c>
      <c r="C73" s="14">
        <f>data!Q59</f>
        <v>1969976</v>
      </c>
      <c r="D73" s="48">
        <f>data!R59</f>
        <v>1287747</v>
      </c>
      <c r="E73" s="212"/>
      <c r="F73" s="212"/>
      <c r="G73" s="14">
        <f>data!U59</f>
        <v>1137833</v>
      </c>
      <c r="H73" s="14">
        <f>data!V59</f>
        <v>0</v>
      </c>
      <c r="I73" s="14">
        <f>data!W59</f>
        <v>33241</v>
      </c>
    </row>
    <row r="74" spans="1:9" ht="20.149999999999999" customHeight="1" x14ac:dyDescent="0.35">
      <c r="A74" s="23">
        <v>5</v>
      </c>
      <c r="B74" s="14" t="s">
        <v>234</v>
      </c>
      <c r="C74" s="26">
        <f>data!Q60</f>
        <v>51.467591346153853</v>
      </c>
      <c r="D74" s="26">
        <f>data!R60</f>
        <v>7.1129663461538462</v>
      </c>
      <c r="E74" s="26">
        <f>data!S60</f>
        <v>19.973749999999999</v>
      </c>
      <c r="F74" s="26">
        <f>data!T60</f>
        <v>0</v>
      </c>
      <c r="G74" s="26">
        <f>data!U60</f>
        <v>75.980634615384616</v>
      </c>
      <c r="H74" s="26">
        <f>data!V60</f>
        <v>2.3598028846153842</v>
      </c>
      <c r="I74" s="26">
        <f>data!W60</f>
        <v>5.7547307692307683</v>
      </c>
    </row>
    <row r="75" spans="1:9" ht="20.149999999999999" customHeight="1" x14ac:dyDescent="0.35">
      <c r="A75" s="23">
        <v>6</v>
      </c>
      <c r="B75" s="14" t="s">
        <v>235</v>
      </c>
      <c r="C75" s="14">
        <f>data!Q61</f>
        <v>6416633.2699999996</v>
      </c>
      <c r="D75" s="14">
        <f>data!R61</f>
        <v>563248.02</v>
      </c>
      <c r="E75" s="14">
        <f>data!S61</f>
        <v>1492052.1199999999</v>
      </c>
      <c r="F75" s="14">
        <f>data!T61</f>
        <v>0</v>
      </c>
      <c r="G75" s="14">
        <f>data!U61</f>
        <v>6187750.3500000006</v>
      </c>
      <c r="H75" s="14">
        <f>data!V61</f>
        <v>156175.69</v>
      </c>
      <c r="I75" s="14">
        <f>data!W61</f>
        <v>768209.97999999986</v>
      </c>
    </row>
    <row r="76" spans="1:9" ht="20.149999999999999" customHeight="1" x14ac:dyDescent="0.35">
      <c r="A76" s="23">
        <v>7</v>
      </c>
      <c r="B76" s="14" t="s">
        <v>3</v>
      </c>
      <c r="C76" s="14">
        <f>data!Q62</f>
        <v>1348568</v>
      </c>
      <c r="D76" s="14">
        <f>data!R62</f>
        <v>100086</v>
      </c>
      <c r="E76" s="14">
        <f>data!S62</f>
        <v>323838</v>
      </c>
      <c r="F76" s="14">
        <f>data!T62</f>
        <v>0</v>
      </c>
      <c r="G76" s="14">
        <f>data!U62</f>
        <v>1574854</v>
      </c>
      <c r="H76" s="14">
        <f>data!V62</f>
        <v>39935</v>
      </c>
      <c r="I76" s="14">
        <f>data!W62</f>
        <v>119312</v>
      </c>
    </row>
    <row r="77" spans="1:9" ht="20.149999999999999" customHeight="1" x14ac:dyDescent="0.35">
      <c r="A77" s="23">
        <v>8</v>
      </c>
      <c r="B77" s="14" t="s">
        <v>236</v>
      </c>
      <c r="C77" s="14">
        <f>data!Q63</f>
        <v>0</v>
      </c>
      <c r="D77" s="14">
        <f>data!R63</f>
        <v>0</v>
      </c>
      <c r="E77" s="14">
        <f>data!S63</f>
        <v>0</v>
      </c>
      <c r="F77" s="14">
        <f>data!T63</f>
        <v>0</v>
      </c>
      <c r="G77" s="14">
        <f>data!U63</f>
        <v>76453.67</v>
      </c>
      <c r="H77" s="14">
        <f>data!V63</f>
        <v>2625</v>
      </c>
      <c r="I77" s="14">
        <f>data!W63</f>
        <v>0</v>
      </c>
    </row>
    <row r="78" spans="1:9" ht="20.149999999999999" customHeight="1" x14ac:dyDescent="0.35">
      <c r="A78" s="23">
        <v>9</v>
      </c>
      <c r="B78" s="14" t="s">
        <v>237</v>
      </c>
      <c r="C78" s="14">
        <f>data!Q64</f>
        <v>452403.65000000008</v>
      </c>
      <c r="D78" s="14">
        <f>data!R64</f>
        <v>508688.05999999994</v>
      </c>
      <c r="E78" s="14">
        <f>data!S64</f>
        <v>609267.08000000007</v>
      </c>
      <c r="F78" s="14">
        <f>data!T64</f>
        <v>0</v>
      </c>
      <c r="G78" s="14">
        <f>data!U64</f>
        <v>6911849.8299999982</v>
      </c>
      <c r="H78" s="14">
        <f>data!V64</f>
        <v>38794.709999999992</v>
      </c>
      <c r="I78" s="14">
        <f>data!W64</f>
        <v>185774.03</v>
      </c>
    </row>
    <row r="79" spans="1:9" ht="20.149999999999999" customHeight="1" x14ac:dyDescent="0.35">
      <c r="A79" s="23">
        <v>10</v>
      </c>
      <c r="B79" s="14" t="s">
        <v>444</v>
      </c>
      <c r="C79" s="14">
        <f>data!Q65</f>
        <v>785.14</v>
      </c>
      <c r="D79" s="14">
        <f>data!R65</f>
        <v>0</v>
      </c>
      <c r="E79" s="14">
        <f>data!S65</f>
        <v>0</v>
      </c>
      <c r="F79" s="14">
        <f>data!T65</f>
        <v>0</v>
      </c>
      <c r="G79" s="14">
        <f>data!U65</f>
        <v>0</v>
      </c>
      <c r="H79" s="14">
        <f>data!V65</f>
        <v>0</v>
      </c>
      <c r="I79" s="14">
        <f>data!W65</f>
        <v>0</v>
      </c>
    </row>
    <row r="80" spans="1:9" ht="20.149999999999999" customHeight="1" x14ac:dyDescent="0.35">
      <c r="A80" s="23">
        <v>11</v>
      </c>
      <c r="B80" s="14" t="s">
        <v>445</v>
      </c>
      <c r="C80" s="14">
        <f>data!Q66</f>
        <v>70496.53</v>
      </c>
      <c r="D80" s="14">
        <f>data!R66</f>
        <v>66295.12</v>
      </c>
      <c r="E80" s="14">
        <f>data!S66</f>
        <v>140072.5</v>
      </c>
      <c r="F80" s="14">
        <f>data!T66</f>
        <v>0</v>
      </c>
      <c r="G80" s="14">
        <f>data!U66</f>
        <v>6704659.4299999997</v>
      </c>
      <c r="H80" s="14">
        <f>data!V66</f>
        <v>305.7</v>
      </c>
      <c r="I80" s="14">
        <f>data!W66</f>
        <v>165738.15000000002</v>
      </c>
    </row>
    <row r="81" spans="1:9" ht="20.149999999999999" customHeight="1" x14ac:dyDescent="0.35">
      <c r="A81" s="23">
        <v>12</v>
      </c>
      <c r="B81" s="14" t="s">
        <v>6</v>
      </c>
      <c r="C81" s="14">
        <f>data!Q67</f>
        <v>116903</v>
      </c>
      <c r="D81" s="14">
        <f>data!R67</f>
        <v>113754</v>
      </c>
      <c r="E81" s="14">
        <f>data!S67</f>
        <v>324584</v>
      </c>
      <c r="F81" s="14">
        <f>data!T67</f>
        <v>0</v>
      </c>
      <c r="G81" s="14">
        <f>data!U67</f>
        <v>410631</v>
      </c>
      <c r="H81" s="14">
        <f>data!V67</f>
        <v>8246</v>
      </c>
      <c r="I81" s="14">
        <f>data!W67</f>
        <v>216287</v>
      </c>
    </row>
    <row r="82" spans="1:9" ht="20.149999999999999" customHeight="1" x14ac:dyDescent="0.35">
      <c r="A82" s="23">
        <v>13</v>
      </c>
      <c r="B82" s="14" t="s">
        <v>474</v>
      </c>
      <c r="C82" s="14">
        <f>data!Q68</f>
        <v>0</v>
      </c>
      <c r="D82" s="14">
        <f>data!R68</f>
        <v>0</v>
      </c>
      <c r="E82" s="14">
        <f>data!S68</f>
        <v>0</v>
      </c>
      <c r="F82" s="14">
        <f>data!T68</f>
        <v>0</v>
      </c>
      <c r="G82" s="14">
        <f>data!U68</f>
        <v>23506.98</v>
      </c>
      <c r="H82" s="14">
        <f>data!V68</f>
        <v>0</v>
      </c>
      <c r="I82" s="14">
        <f>data!W68</f>
        <v>0</v>
      </c>
    </row>
    <row r="83" spans="1:9" ht="20.149999999999999" customHeight="1" x14ac:dyDescent="0.35">
      <c r="A83" s="23">
        <v>14</v>
      </c>
      <c r="B83" s="14" t="s">
        <v>241</v>
      </c>
      <c r="C83" s="14">
        <f>data!Q69</f>
        <v>4923.83</v>
      </c>
      <c r="D83" s="14">
        <f>data!R69</f>
        <v>550</v>
      </c>
      <c r="E83" s="14">
        <f>data!S69</f>
        <v>5243.85</v>
      </c>
      <c r="F83" s="14">
        <f>data!T69</f>
        <v>0</v>
      </c>
      <c r="G83" s="14">
        <f>data!U69</f>
        <v>53386.45</v>
      </c>
      <c r="H83" s="14">
        <f>data!V69</f>
        <v>0</v>
      </c>
      <c r="I83" s="14">
        <f>data!W69</f>
        <v>2874.5</v>
      </c>
    </row>
    <row r="84" spans="1:9" ht="20.149999999999999" customHeight="1" x14ac:dyDescent="0.35">
      <c r="A84" s="23">
        <v>15</v>
      </c>
      <c r="B84" s="14" t="s">
        <v>242</v>
      </c>
      <c r="C84" s="14">
        <f>-data!Q70</f>
        <v>0</v>
      </c>
      <c r="D84" s="14">
        <f>-data!R70</f>
        <v>0</v>
      </c>
      <c r="E84" s="14">
        <f>-data!S70</f>
        <v>0</v>
      </c>
      <c r="F84" s="14">
        <f>-data!T70</f>
        <v>0</v>
      </c>
      <c r="G84" s="14">
        <f>-data!U70</f>
        <v>-859617.06</v>
      </c>
      <c r="H84" s="14">
        <f>-data!V70</f>
        <v>-2855.47</v>
      </c>
      <c r="I84" s="14">
        <f>-data!W70</f>
        <v>0</v>
      </c>
    </row>
    <row r="85" spans="1:9" ht="20.149999999999999" customHeight="1" x14ac:dyDescent="0.35">
      <c r="A85" s="23">
        <v>16</v>
      </c>
      <c r="B85" s="48" t="s">
        <v>1180</v>
      </c>
      <c r="C85" s="14">
        <f>data!Q71</f>
        <v>8410713.4199999999</v>
      </c>
      <c r="D85" s="14">
        <f>data!R71</f>
        <v>1352621.2000000002</v>
      </c>
      <c r="E85" s="14">
        <f>data!S71</f>
        <v>2895057.5500000003</v>
      </c>
      <c r="F85" s="14">
        <f>data!T71</f>
        <v>0</v>
      </c>
      <c r="G85" s="14">
        <f>data!U71</f>
        <v>21083474.649999999</v>
      </c>
      <c r="H85" s="14">
        <f>data!V71</f>
        <v>243226.63</v>
      </c>
      <c r="I85" s="14">
        <f>data!W71</f>
        <v>1458195.6599999997</v>
      </c>
    </row>
    <row r="86" spans="1:9" ht="20.149999999999999" customHeight="1" x14ac:dyDescent="0.35">
      <c r="A86" s="23">
        <v>17</v>
      </c>
      <c r="B86" s="14" t="s">
        <v>244</v>
      </c>
      <c r="C86" s="211"/>
      <c r="D86" s="211"/>
      <c r="E86" s="211"/>
      <c r="F86" s="211"/>
      <c r="G86" s="211"/>
      <c r="H86" s="211"/>
      <c r="I86" s="211"/>
    </row>
    <row r="87" spans="1:9" ht="20.149999999999999" customHeight="1" x14ac:dyDescent="0.35">
      <c r="A87" s="23">
        <v>18</v>
      </c>
      <c r="B87" s="14" t="s">
        <v>1181</v>
      </c>
      <c r="C87" s="48">
        <f>+data!M682</f>
        <v>2690595</v>
      </c>
      <c r="D87" s="48">
        <f>+data!M683</f>
        <v>2192387</v>
      </c>
      <c r="E87" s="48">
        <f>+data!M684</f>
        <v>667499</v>
      </c>
      <c r="F87" s="48">
        <f>+data!M685</f>
        <v>0</v>
      </c>
      <c r="G87" s="48">
        <f>+data!M686</f>
        <v>9447487</v>
      </c>
      <c r="H87" s="48">
        <f>+data!M687</f>
        <v>173649</v>
      </c>
      <c r="I87" s="48">
        <f>+data!M688</f>
        <v>991181</v>
      </c>
    </row>
    <row r="88" spans="1:9" ht="20.149999999999999" customHeight="1" x14ac:dyDescent="0.35">
      <c r="A88" s="23">
        <v>19</v>
      </c>
      <c r="B88" s="48" t="s">
        <v>1182</v>
      </c>
      <c r="C88" s="14">
        <f>data!Q73</f>
        <v>5734359</v>
      </c>
      <c r="D88" s="14">
        <f>data!R73</f>
        <v>11149640</v>
      </c>
      <c r="E88" s="14">
        <f>data!S73</f>
        <v>0</v>
      </c>
      <c r="F88" s="14">
        <f>data!T73</f>
        <v>0</v>
      </c>
      <c r="G88" s="14">
        <f>data!U73</f>
        <v>72389141</v>
      </c>
      <c r="H88" s="14">
        <f>data!V73</f>
        <v>2127999</v>
      </c>
      <c r="I88" s="14">
        <f>data!W73</f>
        <v>5811312</v>
      </c>
    </row>
    <row r="89" spans="1:9" ht="20.149999999999999" customHeight="1" x14ac:dyDescent="0.35">
      <c r="A89" s="23">
        <v>20</v>
      </c>
      <c r="B89" s="48" t="s">
        <v>1183</v>
      </c>
      <c r="C89" s="14">
        <f>data!Q74</f>
        <v>21037370</v>
      </c>
      <c r="D89" s="14">
        <f>data!R74</f>
        <v>32146512</v>
      </c>
      <c r="E89" s="14">
        <f>data!S74</f>
        <v>0</v>
      </c>
      <c r="F89" s="14">
        <f>data!T74</f>
        <v>0</v>
      </c>
      <c r="G89" s="14">
        <f>data!U74</f>
        <v>70816412.75</v>
      </c>
      <c r="H89" s="14">
        <f>data!V74</f>
        <v>747397</v>
      </c>
      <c r="I89" s="14">
        <f>data!W74</f>
        <v>10318080</v>
      </c>
    </row>
    <row r="90" spans="1:9" ht="20.149999999999999" customHeight="1" x14ac:dyDescent="0.35">
      <c r="A90" s="23">
        <v>21</v>
      </c>
      <c r="B90" s="48" t="s">
        <v>1184</v>
      </c>
      <c r="C90" s="14">
        <f>data!Q75</f>
        <v>26771729</v>
      </c>
      <c r="D90" s="14">
        <f>data!R75</f>
        <v>43296152</v>
      </c>
      <c r="E90" s="14">
        <f>data!S75</f>
        <v>0</v>
      </c>
      <c r="F90" s="14">
        <f>data!T75</f>
        <v>0</v>
      </c>
      <c r="G90" s="14">
        <f>data!U75</f>
        <v>143205553.75</v>
      </c>
      <c r="H90" s="14">
        <f>data!V75</f>
        <v>2875396</v>
      </c>
      <c r="I90" s="14">
        <f>data!W75</f>
        <v>16129392</v>
      </c>
    </row>
    <row r="91" spans="1:9" ht="20.149999999999999" customHeight="1" x14ac:dyDescent="0.35">
      <c r="A91" s="23" t="s">
        <v>1185</v>
      </c>
      <c r="B91" s="60"/>
      <c r="C91" s="211"/>
      <c r="D91" s="211"/>
      <c r="E91" s="211"/>
      <c r="F91" s="211"/>
      <c r="G91" s="211"/>
      <c r="H91" s="211"/>
      <c r="I91" s="211"/>
    </row>
    <row r="92" spans="1:9" ht="20.149999999999999" customHeight="1" x14ac:dyDescent="0.35">
      <c r="A92" s="23">
        <v>22</v>
      </c>
      <c r="B92" s="14" t="s">
        <v>1186</v>
      </c>
      <c r="C92" s="14">
        <f>data!Q76</f>
        <v>5119</v>
      </c>
      <c r="D92" s="14">
        <f>data!R76</f>
        <v>651</v>
      </c>
      <c r="E92" s="14">
        <f>data!S76</f>
        <v>10270</v>
      </c>
      <c r="F92" s="14">
        <f>data!T76</f>
        <v>0</v>
      </c>
      <c r="G92" s="14">
        <f>data!U76</f>
        <v>15470</v>
      </c>
      <c r="H92" s="14">
        <f>data!V76</f>
        <v>298</v>
      </c>
      <c r="I92" s="14">
        <f>data!W76</f>
        <v>3104</v>
      </c>
    </row>
    <row r="93" spans="1:9" ht="20.149999999999999" customHeight="1" x14ac:dyDescent="0.35">
      <c r="A93" s="23">
        <v>23</v>
      </c>
      <c r="B93" s="14" t="s">
        <v>1187</v>
      </c>
      <c r="C93" s="14">
        <f>data!Q77</f>
        <v>0</v>
      </c>
      <c r="D93" s="14">
        <f>data!R77</f>
        <v>0</v>
      </c>
      <c r="E93" s="14">
        <f>data!S77</f>
        <v>0</v>
      </c>
      <c r="F93" s="14">
        <f>data!T77</f>
        <v>0</v>
      </c>
      <c r="G93" s="14">
        <f>data!U77</f>
        <v>0</v>
      </c>
      <c r="H93" s="14">
        <f>data!V77</f>
        <v>0</v>
      </c>
      <c r="I93" s="14">
        <f>data!W77</f>
        <v>0</v>
      </c>
    </row>
    <row r="94" spans="1:9" ht="20.149999999999999" customHeight="1" x14ac:dyDescent="0.35">
      <c r="A94" s="23">
        <v>24</v>
      </c>
      <c r="B94" s="14" t="s">
        <v>1188</v>
      </c>
      <c r="C94" s="14">
        <f>data!Q78</f>
        <v>652</v>
      </c>
      <c r="D94" s="14">
        <f>data!R78</f>
        <v>83</v>
      </c>
      <c r="E94" s="14">
        <f>data!S78</f>
        <v>1308</v>
      </c>
      <c r="F94" s="14">
        <f>data!T78</f>
        <v>0</v>
      </c>
      <c r="G94" s="14">
        <f>data!U78</f>
        <v>1970</v>
      </c>
      <c r="H94" s="14">
        <f>data!V78</f>
        <v>38</v>
      </c>
      <c r="I94" s="14">
        <f>data!W78</f>
        <v>395</v>
      </c>
    </row>
    <row r="95" spans="1:9" ht="20.149999999999999" customHeight="1" x14ac:dyDescent="0.35">
      <c r="A95" s="23">
        <v>25</v>
      </c>
      <c r="B95" s="14" t="s">
        <v>1189</v>
      </c>
      <c r="C95" s="14">
        <f>data!Q79</f>
        <v>0</v>
      </c>
      <c r="D95" s="14">
        <f>data!R79</f>
        <v>0</v>
      </c>
      <c r="E95" s="14">
        <f>data!S79</f>
        <v>17748.63</v>
      </c>
      <c r="F95" s="14">
        <f>data!T79</f>
        <v>0</v>
      </c>
      <c r="G95" s="14">
        <f>data!U79</f>
        <v>1925.25</v>
      </c>
      <c r="H95" s="14">
        <f>data!V79</f>
        <v>0</v>
      </c>
      <c r="I95" s="14">
        <f>data!W79</f>
        <v>21144.52</v>
      </c>
    </row>
    <row r="96" spans="1:9" ht="20.149999999999999" customHeight="1" x14ac:dyDescent="0.35">
      <c r="A96" s="23">
        <v>26</v>
      </c>
      <c r="B96" s="14" t="s">
        <v>252</v>
      </c>
      <c r="C96" s="84">
        <f>data!Q80</f>
        <v>40.69363461538461</v>
      </c>
      <c r="D96" s="84">
        <f>data!R80</f>
        <v>0</v>
      </c>
      <c r="E96" s="84">
        <f>data!S80</f>
        <v>9.1346153846153851E-3</v>
      </c>
      <c r="F96" s="84">
        <f>data!T80</f>
        <v>0</v>
      </c>
      <c r="G96" s="84">
        <f>data!U80</f>
        <v>0.68947115384615376</v>
      </c>
      <c r="H96" s="84">
        <f>data!V80</f>
        <v>0</v>
      </c>
      <c r="I96" s="84">
        <f>data!W80</f>
        <v>1.6826923076923078E-3</v>
      </c>
    </row>
    <row r="97" spans="1:9" ht="20.149999999999999" customHeight="1" x14ac:dyDescent="0.35">
      <c r="A97" s="4" t="s">
        <v>1173</v>
      </c>
      <c r="B97" s="5"/>
      <c r="C97" s="5"/>
      <c r="D97" s="6"/>
      <c r="E97" s="5"/>
      <c r="F97" s="5"/>
      <c r="G97" s="5"/>
      <c r="H97" s="5"/>
      <c r="I97" s="4"/>
    </row>
    <row r="98" spans="1:9" ht="20.149999999999999" customHeight="1" x14ac:dyDescent="0.35">
      <c r="A98" s="77"/>
      <c r="B98" s="77"/>
      <c r="C98" s="77"/>
      <c r="D98" s="45"/>
      <c r="E98" s="77"/>
      <c r="F98" s="77"/>
      <c r="G98" s="77"/>
      <c r="H98" s="77"/>
      <c r="I98" s="168" t="s">
        <v>1199</v>
      </c>
    </row>
    <row r="99" spans="1:9" ht="20.149999999999999" customHeight="1" x14ac:dyDescent="0.35">
      <c r="A99" s="45"/>
      <c r="B99" s="77"/>
      <c r="C99" s="77"/>
      <c r="D99" s="77"/>
      <c r="E99" s="77"/>
      <c r="F99" s="77"/>
      <c r="G99" s="77"/>
      <c r="H99" s="77"/>
      <c r="I99" s="77"/>
    </row>
    <row r="100" spans="1:9" ht="20.149999999999999" customHeight="1" x14ac:dyDescent="0.35">
      <c r="A100" s="79" t="str">
        <f>"HOSPITAL NAME: "&amp;data!C84</f>
        <v>HOSPITAL NAME: EvergreenHealth Kirkland / King Country Public Hos #2</v>
      </c>
      <c r="B100" s="77"/>
      <c r="C100" s="77"/>
      <c r="D100" s="77"/>
      <c r="E100" s="77"/>
      <c r="F100" s="77"/>
      <c r="G100" s="80"/>
      <c r="H100" s="79" t="str">
        <f>"FYE: "&amp;data!C82</f>
        <v>FYE: 12/31/2021</v>
      </c>
    </row>
    <row r="101" spans="1:9" ht="20.149999999999999" customHeight="1" x14ac:dyDescent="0.35">
      <c r="A101" s="23">
        <v>1</v>
      </c>
      <c r="B101" s="14" t="s">
        <v>209</v>
      </c>
      <c r="C101" s="15" t="s">
        <v>31</v>
      </c>
      <c r="D101" s="15" t="s">
        <v>32</v>
      </c>
      <c r="E101" s="15" t="s">
        <v>33</v>
      </c>
      <c r="F101" s="15" t="s">
        <v>34</v>
      </c>
      <c r="G101" s="15" t="s">
        <v>35</v>
      </c>
      <c r="H101" s="15" t="s">
        <v>36</v>
      </c>
      <c r="I101" s="15" t="s">
        <v>37</v>
      </c>
    </row>
    <row r="102" spans="1:9" ht="20.149999999999999" customHeight="1" x14ac:dyDescent="0.35">
      <c r="A102" s="81">
        <v>2</v>
      </c>
      <c r="B102" s="17" t="s">
        <v>1175</v>
      </c>
      <c r="C102" s="18" t="s">
        <v>1200</v>
      </c>
      <c r="D102" s="18" t="s">
        <v>1201</v>
      </c>
      <c r="E102" s="18" t="s">
        <v>1201</v>
      </c>
      <c r="F102" s="18" t="s">
        <v>114</v>
      </c>
      <c r="G102" s="25"/>
      <c r="H102" s="18" t="s">
        <v>116</v>
      </c>
      <c r="I102" s="25"/>
    </row>
    <row r="103" spans="1:9" ht="20.149999999999999" customHeight="1" x14ac:dyDescent="0.35">
      <c r="A103" s="82"/>
      <c r="B103" s="83"/>
      <c r="C103" s="18" t="s">
        <v>175</v>
      </c>
      <c r="D103" s="18" t="s">
        <v>176</v>
      </c>
      <c r="E103" s="18" t="s">
        <v>177</v>
      </c>
      <c r="F103" s="18" t="s">
        <v>178</v>
      </c>
      <c r="G103" s="18" t="s">
        <v>115</v>
      </c>
      <c r="H103" s="18" t="s">
        <v>172</v>
      </c>
      <c r="I103" s="18" t="s">
        <v>117</v>
      </c>
    </row>
    <row r="104" spans="1:9" ht="20.149999999999999" customHeight="1" x14ac:dyDescent="0.35">
      <c r="A104" s="23">
        <v>3</v>
      </c>
      <c r="B104" s="14" t="s">
        <v>1179</v>
      </c>
      <c r="C104" s="89" t="s">
        <v>224</v>
      </c>
      <c r="D104" s="15" t="s">
        <v>1202</v>
      </c>
      <c r="E104" s="15" t="s">
        <v>1202</v>
      </c>
      <c r="F104" s="15" t="s">
        <v>1202</v>
      </c>
      <c r="G104" s="212"/>
      <c r="H104" s="15" t="s">
        <v>226</v>
      </c>
      <c r="I104" s="15" t="s">
        <v>227</v>
      </c>
    </row>
    <row r="105" spans="1:9" ht="20.149999999999999" customHeight="1" x14ac:dyDescent="0.35">
      <c r="A105" s="23">
        <v>4</v>
      </c>
      <c r="B105" s="14" t="s">
        <v>233</v>
      </c>
      <c r="C105" s="14">
        <f>data!X59</f>
        <v>166849.9</v>
      </c>
      <c r="D105" s="14">
        <f>data!Y59</f>
        <v>389467.97</v>
      </c>
      <c r="E105" s="14">
        <f>data!Z59</f>
        <v>50517.22</v>
      </c>
      <c r="F105" s="14">
        <f>data!AA59</f>
        <v>13874.32</v>
      </c>
      <c r="G105" s="212"/>
      <c r="H105" s="14">
        <f>data!AC59</f>
        <v>24515.949999999997</v>
      </c>
      <c r="I105" s="14">
        <f>data!AD59</f>
        <v>0</v>
      </c>
    </row>
    <row r="106" spans="1:9" ht="20.149999999999999" customHeight="1" x14ac:dyDescent="0.35">
      <c r="A106" s="23">
        <v>5</v>
      </c>
      <c r="B106" s="14" t="s">
        <v>234</v>
      </c>
      <c r="C106" s="26">
        <f>data!X60</f>
        <v>13.034769230769228</v>
      </c>
      <c r="D106" s="26">
        <f>data!Y60</f>
        <v>150.63518269230769</v>
      </c>
      <c r="E106" s="26">
        <f>data!Z60</f>
        <v>21.436451923076923</v>
      </c>
      <c r="F106" s="26">
        <f>data!AA60</f>
        <v>3.0096298076923076</v>
      </c>
      <c r="G106" s="26">
        <f>data!AB60</f>
        <v>54.008668269230768</v>
      </c>
      <c r="H106" s="26">
        <f>data!AC60</f>
        <v>24.193471153846158</v>
      </c>
      <c r="I106" s="26">
        <f>data!AD60</f>
        <v>0</v>
      </c>
    </row>
    <row r="107" spans="1:9" ht="20.149999999999999" customHeight="1" x14ac:dyDescent="0.35">
      <c r="A107" s="23">
        <v>6</v>
      </c>
      <c r="B107" s="14" t="s">
        <v>235</v>
      </c>
      <c r="C107" s="14">
        <f>data!X61</f>
        <v>1498495.0799999998</v>
      </c>
      <c r="D107" s="14">
        <f>data!Y61</f>
        <v>16432037.029999997</v>
      </c>
      <c r="E107" s="14">
        <f>data!Z61</f>
        <v>4316882.4799999995</v>
      </c>
      <c r="F107" s="14">
        <f>data!AA61</f>
        <v>427951.03</v>
      </c>
      <c r="G107" s="14">
        <f>data!AB61</f>
        <v>5968169.8099999996</v>
      </c>
      <c r="H107" s="14">
        <f>data!AC61</f>
        <v>2560068.4900000002</v>
      </c>
      <c r="I107" s="14">
        <f>data!AD61</f>
        <v>0</v>
      </c>
    </row>
    <row r="108" spans="1:9" ht="20.149999999999999" customHeight="1" x14ac:dyDescent="0.35">
      <c r="A108" s="23">
        <v>7</v>
      </c>
      <c r="B108" s="14" t="s">
        <v>3</v>
      </c>
      <c r="C108" s="14">
        <f>data!X62</f>
        <v>264587</v>
      </c>
      <c r="D108" s="14">
        <f>data!Y62</f>
        <v>3559652</v>
      </c>
      <c r="E108" s="14">
        <f>data!Z62</f>
        <v>715834</v>
      </c>
      <c r="F108" s="14">
        <f>data!AA62</f>
        <v>86051</v>
      </c>
      <c r="G108" s="14">
        <f>data!AB62</f>
        <v>1348406</v>
      </c>
      <c r="H108" s="14">
        <f>data!AC62</f>
        <v>625232</v>
      </c>
      <c r="I108" s="14">
        <f>data!AD62</f>
        <v>0</v>
      </c>
    </row>
    <row r="109" spans="1:9" ht="20.149999999999999" customHeight="1" x14ac:dyDescent="0.35">
      <c r="A109" s="23">
        <v>8</v>
      </c>
      <c r="B109" s="14" t="s">
        <v>236</v>
      </c>
      <c r="C109" s="14">
        <f>data!X63</f>
        <v>0</v>
      </c>
      <c r="D109" s="14">
        <f>data!Y63</f>
        <v>154828.01999999999</v>
      </c>
      <c r="E109" s="14">
        <f>data!Z63</f>
        <v>6840</v>
      </c>
      <c r="F109" s="14">
        <f>data!AA63</f>
        <v>0</v>
      </c>
      <c r="G109" s="14">
        <f>data!AB63</f>
        <v>0</v>
      </c>
      <c r="H109" s="14">
        <f>data!AC63</f>
        <v>0</v>
      </c>
      <c r="I109" s="14">
        <f>data!AD63</f>
        <v>0</v>
      </c>
    </row>
    <row r="110" spans="1:9" ht="20.149999999999999" customHeight="1" x14ac:dyDescent="0.35">
      <c r="A110" s="23">
        <v>9</v>
      </c>
      <c r="B110" s="14" t="s">
        <v>237</v>
      </c>
      <c r="C110" s="14">
        <f>data!X64</f>
        <v>440212.32</v>
      </c>
      <c r="D110" s="14">
        <f>data!Y64</f>
        <v>6990950.2700000005</v>
      </c>
      <c r="E110" s="14">
        <f>data!Z64</f>
        <v>485879.67</v>
      </c>
      <c r="F110" s="14">
        <f>data!AA64</f>
        <v>302970.1700000001</v>
      </c>
      <c r="G110" s="14">
        <f>data!AB64</f>
        <v>17648488.440000009</v>
      </c>
      <c r="H110" s="14">
        <f>data!AC64</f>
        <v>378326.5500000001</v>
      </c>
      <c r="I110" s="14">
        <f>data!AD64</f>
        <v>0</v>
      </c>
    </row>
    <row r="111" spans="1:9" ht="20.149999999999999" customHeight="1" x14ac:dyDescent="0.35">
      <c r="A111" s="23">
        <v>10</v>
      </c>
      <c r="B111" s="14" t="s">
        <v>444</v>
      </c>
      <c r="C111" s="14">
        <f>data!X65</f>
        <v>0</v>
      </c>
      <c r="D111" s="14">
        <f>data!Y65</f>
        <v>16987.82</v>
      </c>
      <c r="E111" s="14">
        <f>data!Z65</f>
        <v>2573.31</v>
      </c>
      <c r="F111" s="14">
        <f>data!AA65</f>
        <v>0</v>
      </c>
      <c r="G111" s="14">
        <f>data!AB65</f>
        <v>0</v>
      </c>
      <c r="H111" s="14">
        <f>data!AC65</f>
        <v>0</v>
      </c>
      <c r="I111" s="14">
        <f>data!AD65</f>
        <v>0</v>
      </c>
    </row>
    <row r="112" spans="1:9" ht="20.149999999999999" customHeight="1" x14ac:dyDescent="0.35">
      <c r="A112" s="23">
        <v>11</v>
      </c>
      <c r="B112" s="14" t="s">
        <v>445</v>
      </c>
      <c r="C112" s="14">
        <f>data!X66</f>
        <v>412820.23000000004</v>
      </c>
      <c r="D112" s="14">
        <f>data!Y66</f>
        <v>4633739.3899999997</v>
      </c>
      <c r="E112" s="14">
        <f>data!Z66</f>
        <v>1263653.2499999998</v>
      </c>
      <c r="F112" s="14">
        <f>data!AA66</f>
        <v>99444.13</v>
      </c>
      <c r="G112" s="14">
        <f>data!AB66</f>
        <v>270698.12</v>
      </c>
      <c r="H112" s="14">
        <f>data!AC66</f>
        <v>1373.03</v>
      </c>
      <c r="I112" s="14">
        <f>data!AD66</f>
        <v>0</v>
      </c>
    </row>
    <row r="113" spans="1:9" ht="20.149999999999999" customHeight="1" x14ac:dyDescent="0.35">
      <c r="A113" s="23">
        <v>12</v>
      </c>
      <c r="B113" s="14" t="s">
        <v>6</v>
      </c>
      <c r="C113" s="14">
        <f>data!X67</f>
        <v>179096</v>
      </c>
      <c r="D113" s="14">
        <f>data!Y67</f>
        <v>2924032</v>
      </c>
      <c r="E113" s="14">
        <f>data!Z67</f>
        <v>1176998</v>
      </c>
      <c r="F113" s="14">
        <f>data!AA67</f>
        <v>101329</v>
      </c>
      <c r="G113" s="14">
        <f>data!AB67</f>
        <v>246142</v>
      </c>
      <c r="H113" s="14">
        <f>data!AC67</f>
        <v>61808</v>
      </c>
      <c r="I113" s="14">
        <f>data!AD67</f>
        <v>0</v>
      </c>
    </row>
    <row r="114" spans="1:9" ht="20.149999999999999" customHeight="1" x14ac:dyDescent="0.35">
      <c r="A114" s="23">
        <v>13</v>
      </c>
      <c r="B114" s="14" t="s">
        <v>474</v>
      </c>
      <c r="C114" s="14">
        <f>data!X68</f>
        <v>0</v>
      </c>
      <c r="D114" s="14">
        <f>data!Y68</f>
        <v>476170.63</v>
      </c>
      <c r="E114" s="14">
        <f>data!Z68</f>
        <v>0</v>
      </c>
      <c r="F114" s="14">
        <f>data!AA68</f>
        <v>0</v>
      </c>
      <c r="G114" s="14">
        <f>data!AB68</f>
        <v>0</v>
      </c>
      <c r="H114" s="14">
        <f>data!AC68</f>
        <v>5281.51</v>
      </c>
      <c r="I114" s="14">
        <f>data!AD68</f>
        <v>0</v>
      </c>
    </row>
    <row r="115" spans="1:9" ht="20.149999999999999" customHeight="1" x14ac:dyDescent="0.35">
      <c r="A115" s="23">
        <v>14</v>
      </c>
      <c r="B115" s="14" t="s">
        <v>241</v>
      </c>
      <c r="C115" s="14">
        <f>data!X69</f>
        <v>5044.75</v>
      </c>
      <c r="D115" s="14">
        <f>data!Y69</f>
        <v>87132.779999999984</v>
      </c>
      <c r="E115" s="14">
        <f>data!Z69</f>
        <v>32426.89</v>
      </c>
      <c r="F115" s="14">
        <f>data!AA69</f>
        <v>9263</v>
      </c>
      <c r="G115" s="14">
        <f>data!AB69</f>
        <v>29028.620000000003</v>
      </c>
      <c r="H115" s="14">
        <f>data!AC69</f>
        <v>328.23</v>
      </c>
      <c r="I115" s="14">
        <f>data!AD69</f>
        <v>0</v>
      </c>
    </row>
    <row r="116" spans="1:9" ht="20.149999999999999" customHeight="1" x14ac:dyDescent="0.35">
      <c r="A116" s="23">
        <v>15</v>
      </c>
      <c r="B116" s="14" t="s">
        <v>242</v>
      </c>
      <c r="C116" s="14">
        <f>-data!X70</f>
        <v>0</v>
      </c>
      <c r="D116" s="14">
        <f>-data!Y70</f>
        <v>-62254.87</v>
      </c>
      <c r="E116" s="14">
        <f>-data!Z70</f>
        <v>-14086.02</v>
      </c>
      <c r="F116" s="14">
        <f>-data!AA70</f>
        <v>0</v>
      </c>
      <c r="G116" s="14">
        <f>-data!AB70</f>
        <v>-2243.4699999999998</v>
      </c>
      <c r="H116" s="14">
        <f>-data!AC70</f>
        <v>0</v>
      </c>
      <c r="I116" s="14">
        <f>-data!AD70</f>
        <v>0</v>
      </c>
    </row>
    <row r="117" spans="1:9" ht="20.149999999999999" customHeight="1" x14ac:dyDescent="0.35">
      <c r="A117" s="23">
        <v>16</v>
      </c>
      <c r="B117" s="48" t="s">
        <v>1180</v>
      </c>
      <c r="C117" s="14">
        <f>data!X71</f>
        <v>2800255.38</v>
      </c>
      <c r="D117" s="14">
        <f>data!Y71</f>
        <v>35213275.070000008</v>
      </c>
      <c r="E117" s="14">
        <f>data!Z71</f>
        <v>7987001.5799999991</v>
      </c>
      <c r="F117" s="14">
        <f>data!AA71</f>
        <v>1027008.3300000002</v>
      </c>
      <c r="G117" s="14">
        <f>data!AB71</f>
        <v>25508689.520000011</v>
      </c>
      <c r="H117" s="14">
        <f>data!AC71</f>
        <v>3632417.81</v>
      </c>
      <c r="I117" s="14">
        <f>data!AD71</f>
        <v>0</v>
      </c>
    </row>
    <row r="118" spans="1:9" ht="20.149999999999999" customHeight="1" x14ac:dyDescent="0.35">
      <c r="A118" s="23">
        <v>17</v>
      </c>
      <c r="B118" s="14" t="s">
        <v>244</v>
      </c>
      <c r="C118" s="211"/>
      <c r="D118" s="211"/>
      <c r="E118" s="211"/>
      <c r="F118" s="211"/>
      <c r="G118" s="211"/>
      <c r="H118" s="211"/>
      <c r="I118" s="211"/>
    </row>
    <row r="119" spans="1:9" ht="20.149999999999999" customHeight="1" x14ac:dyDescent="0.35">
      <c r="A119" s="23">
        <v>18</v>
      </c>
      <c r="B119" s="14" t="s">
        <v>1181</v>
      </c>
      <c r="C119" s="48">
        <f>+data!M689</f>
        <v>3783005</v>
      </c>
      <c r="D119" s="48">
        <f>+data!M690</f>
        <v>14341389</v>
      </c>
      <c r="E119" s="48">
        <f>+data!M691</f>
        <v>3053971</v>
      </c>
      <c r="F119" s="48">
        <f>+data!M692</f>
        <v>371879</v>
      </c>
      <c r="G119" s="48">
        <f>+data!M693</f>
        <v>10445882</v>
      </c>
      <c r="H119" s="48">
        <f>+data!M694</f>
        <v>1506271</v>
      </c>
      <c r="I119" s="48">
        <f>+data!M695</f>
        <v>0</v>
      </c>
    </row>
    <row r="120" spans="1:9" ht="20.149999999999999" customHeight="1" x14ac:dyDescent="0.35">
      <c r="A120" s="23">
        <v>19</v>
      </c>
      <c r="B120" s="48" t="s">
        <v>1182</v>
      </c>
      <c r="C120" s="14">
        <f>data!X73</f>
        <v>23971883</v>
      </c>
      <c r="D120" s="14">
        <f>data!Y73</f>
        <v>44220207</v>
      </c>
      <c r="E120" s="14">
        <f>data!Z73</f>
        <v>780043</v>
      </c>
      <c r="F120" s="14">
        <f>data!AA73</f>
        <v>1067322</v>
      </c>
      <c r="G120" s="14">
        <f>data!AB73</f>
        <v>79485575.290000007</v>
      </c>
      <c r="H120" s="14">
        <f>data!AC73</f>
        <v>21682835</v>
      </c>
      <c r="I120" s="14">
        <f>data!AD73</f>
        <v>0</v>
      </c>
    </row>
    <row r="121" spans="1:9" ht="20.149999999999999" customHeight="1" x14ac:dyDescent="0.35">
      <c r="A121" s="23">
        <v>20</v>
      </c>
      <c r="B121" s="48" t="s">
        <v>1183</v>
      </c>
      <c r="C121" s="14">
        <f>data!X74</f>
        <v>49573661</v>
      </c>
      <c r="D121" s="14">
        <f>data!Y74</f>
        <v>143108373.94999999</v>
      </c>
      <c r="E121" s="14">
        <f>data!Z74</f>
        <v>38746178</v>
      </c>
      <c r="F121" s="14">
        <f>data!AA74</f>
        <v>3906615</v>
      </c>
      <c r="G121" s="14">
        <f>data!AB74</f>
        <v>65857035.630000003</v>
      </c>
      <c r="H121" s="14">
        <f>data!AC74</f>
        <v>716225</v>
      </c>
      <c r="I121" s="14">
        <f>data!AD74</f>
        <v>0</v>
      </c>
    </row>
    <row r="122" spans="1:9" ht="20.149999999999999" customHeight="1" x14ac:dyDescent="0.35">
      <c r="A122" s="23">
        <v>21</v>
      </c>
      <c r="B122" s="48" t="s">
        <v>1184</v>
      </c>
      <c r="C122" s="14">
        <f>data!X75</f>
        <v>73545544</v>
      </c>
      <c r="D122" s="14">
        <f>data!Y75</f>
        <v>187328580.94999999</v>
      </c>
      <c r="E122" s="14">
        <f>data!Z75</f>
        <v>39526221</v>
      </c>
      <c r="F122" s="14">
        <f>data!AA75</f>
        <v>4973937</v>
      </c>
      <c r="G122" s="14">
        <f>data!AB75</f>
        <v>145342610.92000002</v>
      </c>
      <c r="H122" s="14">
        <f>data!AC75</f>
        <v>22399060</v>
      </c>
      <c r="I122" s="14">
        <f>data!AD75</f>
        <v>0</v>
      </c>
    </row>
    <row r="123" spans="1:9" ht="20.149999999999999" customHeight="1" x14ac:dyDescent="0.35">
      <c r="A123" s="23" t="s">
        <v>1185</v>
      </c>
      <c r="B123" s="60"/>
      <c r="C123" s="211"/>
      <c r="D123" s="211"/>
      <c r="E123" s="211"/>
      <c r="F123" s="211"/>
      <c r="G123" s="211"/>
      <c r="H123" s="211"/>
      <c r="I123" s="211"/>
    </row>
    <row r="124" spans="1:9" ht="20.149999999999999" customHeight="1" x14ac:dyDescent="0.35">
      <c r="A124" s="23">
        <v>22</v>
      </c>
      <c r="B124" s="14" t="s">
        <v>1186</v>
      </c>
      <c r="C124" s="14">
        <f>data!X76</f>
        <v>3166</v>
      </c>
      <c r="D124" s="14">
        <f>data!Y76</f>
        <v>50628</v>
      </c>
      <c r="E124" s="14">
        <f>data!Z76</f>
        <v>16493</v>
      </c>
      <c r="F124" s="14">
        <f>data!AA76</f>
        <v>1139</v>
      </c>
      <c r="G124" s="14">
        <f>data!AB76</f>
        <v>7695</v>
      </c>
      <c r="H124" s="14">
        <f>data!AC76</f>
        <v>2635</v>
      </c>
      <c r="I124" s="14">
        <f>data!AD76</f>
        <v>0</v>
      </c>
    </row>
    <row r="125" spans="1:9" ht="20.149999999999999" customHeight="1" x14ac:dyDescent="0.35">
      <c r="A125" s="23">
        <v>23</v>
      </c>
      <c r="B125" s="14" t="s">
        <v>1187</v>
      </c>
      <c r="C125" s="14">
        <f>data!X77</f>
        <v>0</v>
      </c>
      <c r="D125" s="14">
        <f>data!Y77</f>
        <v>50</v>
      </c>
      <c r="E125" s="14">
        <f>data!Z77</f>
        <v>0</v>
      </c>
      <c r="F125" s="14">
        <f>data!AA77</f>
        <v>0</v>
      </c>
      <c r="G125" s="14">
        <f>data!AB77</f>
        <v>0</v>
      </c>
      <c r="H125" s="14">
        <f>data!AC77</f>
        <v>0</v>
      </c>
      <c r="I125" s="14">
        <f>data!AD77</f>
        <v>0</v>
      </c>
    </row>
    <row r="126" spans="1:9" ht="20.149999999999999" customHeight="1" x14ac:dyDescent="0.35">
      <c r="A126" s="23">
        <v>24</v>
      </c>
      <c r="B126" s="14" t="s">
        <v>1188</v>
      </c>
      <c r="C126" s="14">
        <f>data!X78</f>
        <v>403</v>
      </c>
      <c r="D126" s="14">
        <f>data!Y78</f>
        <v>6447</v>
      </c>
      <c r="E126" s="14">
        <f>data!Z78</f>
        <v>2100</v>
      </c>
      <c r="F126" s="14">
        <f>data!AA78</f>
        <v>145</v>
      </c>
      <c r="G126" s="14">
        <f>data!AB78</f>
        <v>980</v>
      </c>
      <c r="H126" s="14">
        <f>data!AC78</f>
        <v>336</v>
      </c>
      <c r="I126" s="14">
        <f>data!AD78</f>
        <v>0</v>
      </c>
    </row>
    <row r="127" spans="1:9" ht="20.149999999999999" customHeight="1" x14ac:dyDescent="0.35">
      <c r="A127" s="23">
        <v>25</v>
      </c>
      <c r="B127" s="14" t="s">
        <v>1189</v>
      </c>
      <c r="C127" s="14">
        <f>data!X79</f>
        <v>0</v>
      </c>
      <c r="D127" s="14">
        <f>data!Y79</f>
        <v>280119.38</v>
      </c>
      <c r="E127" s="14">
        <f>data!Z79</f>
        <v>45184.5</v>
      </c>
      <c r="F127" s="14">
        <f>data!AA79</f>
        <v>0</v>
      </c>
      <c r="G127" s="14">
        <f>data!AB79</f>
        <v>0</v>
      </c>
      <c r="H127" s="14">
        <f>data!AC79</f>
        <v>0</v>
      </c>
      <c r="I127" s="14">
        <f>data!AD79</f>
        <v>0</v>
      </c>
    </row>
    <row r="128" spans="1:9" ht="20.149999999999999" customHeight="1" x14ac:dyDescent="0.35">
      <c r="A128" s="23">
        <v>26</v>
      </c>
      <c r="B128" s="14" t="s">
        <v>252</v>
      </c>
      <c r="C128" s="26">
        <f>data!X80</f>
        <v>0</v>
      </c>
      <c r="D128" s="26">
        <f>data!Y80</f>
        <v>30.538735576923077</v>
      </c>
      <c r="E128" s="26">
        <f>data!Z80</f>
        <v>4.2729519230769233</v>
      </c>
      <c r="F128" s="26">
        <f>data!AA80</f>
        <v>0</v>
      </c>
      <c r="G128" s="26">
        <f>data!AB80</f>
        <v>0</v>
      </c>
      <c r="H128" s="26">
        <f>data!AC80</f>
        <v>0</v>
      </c>
      <c r="I128" s="26">
        <f>data!AD80</f>
        <v>0</v>
      </c>
    </row>
    <row r="129" spans="1:9" ht="20.149999999999999" customHeight="1" x14ac:dyDescent="0.35">
      <c r="A129" s="4" t="s">
        <v>1173</v>
      </c>
      <c r="B129" s="5"/>
      <c r="C129" s="5"/>
      <c r="D129" s="6"/>
      <c r="E129" s="5"/>
      <c r="F129" s="5"/>
      <c r="G129" s="5"/>
      <c r="H129" s="5"/>
      <c r="I129" s="4"/>
    </row>
    <row r="130" spans="1:9" ht="20.149999999999999" customHeight="1" x14ac:dyDescent="0.35">
      <c r="A130" s="77"/>
      <c r="B130" s="77"/>
      <c r="C130" s="77"/>
      <c r="D130" s="45"/>
      <c r="E130" s="77"/>
      <c r="F130" s="77"/>
      <c r="G130" s="77"/>
      <c r="H130" s="77"/>
      <c r="I130" s="168" t="s">
        <v>1203</v>
      </c>
    </row>
    <row r="131" spans="1:9" ht="20.149999999999999" customHeight="1" x14ac:dyDescent="0.35">
      <c r="A131" s="45"/>
      <c r="B131" s="77"/>
      <c r="C131" s="77"/>
      <c r="D131" s="77"/>
      <c r="E131" s="77"/>
      <c r="F131" s="77"/>
      <c r="G131" s="77"/>
      <c r="H131" s="77"/>
      <c r="I131" s="77"/>
    </row>
    <row r="132" spans="1:9" ht="20.149999999999999" customHeight="1" x14ac:dyDescent="0.35">
      <c r="A132" s="79" t="str">
        <f>"HOSPITAL NAME: "&amp;data!C84</f>
        <v>HOSPITAL NAME: EvergreenHealth Kirkland / King Country Public Hos #2</v>
      </c>
      <c r="B132" s="77"/>
      <c r="C132" s="77"/>
      <c r="D132" s="77"/>
      <c r="E132" s="77"/>
      <c r="F132" s="77"/>
      <c r="G132" s="80"/>
      <c r="H132" s="79" t="str">
        <f>"FYE: "&amp;data!C82</f>
        <v>FYE: 12/31/2021</v>
      </c>
    </row>
    <row r="133" spans="1:9" ht="20.149999999999999" customHeight="1" x14ac:dyDescent="0.35">
      <c r="A133" s="23">
        <v>1</v>
      </c>
      <c r="B133" s="14" t="s">
        <v>209</v>
      </c>
      <c r="C133" s="15" t="s">
        <v>38</v>
      </c>
      <c r="D133" s="15" t="s">
        <v>39</v>
      </c>
      <c r="E133" s="15" t="s">
        <v>40</v>
      </c>
      <c r="F133" s="15" t="s">
        <v>41</v>
      </c>
      <c r="G133" s="15" t="s">
        <v>42</v>
      </c>
      <c r="H133" s="15" t="s">
        <v>43</v>
      </c>
      <c r="I133" s="15" t="s">
        <v>44</v>
      </c>
    </row>
    <row r="134" spans="1:9" ht="20.149999999999999" customHeight="1" x14ac:dyDescent="0.35">
      <c r="A134" s="81">
        <v>2</v>
      </c>
      <c r="B134" s="17" t="s">
        <v>1175</v>
      </c>
      <c r="C134" s="18" t="s">
        <v>96</v>
      </c>
      <c r="D134" s="18" t="s">
        <v>97</v>
      </c>
      <c r="E134" s="18" t="s">
        <v>118</v>
      </c>
      <c r="F134" s="25"/>
      <c r="G134" s="18" t="s">
        <v>1204</v>
      </c>
      <c r="H134" s="25"/>
      <c r="I134" s="18" t="s">
        <v>122</v>
      </c>
    </row>
    <row r="135" spans="1:9" ht="20.149999999999999" customHeight="1" x14ac:dyDescent="0.35">
      <c r="A135" s="82"/>
      <c r="B135" s="83"/>
      <c r="C135" s="18" t="s">
        <v>172</v>
      </c>
      <c r="D135" s="18" t="s">
        <v>179</v>
      </c>
      <c r="E135" s="18" t="s">
        <v>171</v>
      </c>
      <c r="F135" s="18" t="s">
        <v>119</v>
      </c>
      <c r="G135" s="18" t="s">
        <v>180</v>
      </c>
      <c r="H135" s="18" t="s">
        <v>121</v>
      </c>
      <c r="I135" s="18" t="s">
        <v>172</v>
      </c>
    </row>
    <row r="136" spans="1:9" ht="20.149999999999999" customHeight="1" x14ac:dyDescent="0.35">
      <c r="A136" s="23">
        <v>3</v>
      </c>
      <c r="B136" s="14" t="s">
        <v>1179</v>
      </c>
      <c r="C136" s="15" t="s">
        <v>226</v>
      </c>
      <c r="D136" s="15" t="s">
        <v>228</v>
      </c>
      <c r="E136" s="15" t="s">
        <v>228</v>
      </c>
      <c r="F136" s="15" t="s">
        <v>229</v>
      </c>
      <c r="G136" s="89" t="s">
        <v>1205</v>
      </c>
      <c r="H136" s="15" t="s">
        <v>228</v>
      </c>
      <c r="I136" s="15" t="s">
        <v>226</v>
      </c>
    </row>
    <row r="137" spans="1:9" ht="20.149999999999999" customHeight="1" x14ac:dyDescent="0.35">
      <c r="A137" s="23">
        <v>4</v>
      </c>
      <c r="B137" s="14" t="s">
        <v>233</v>
      </c>
      <c r="C137" s="14">
        <f>data!AE59</f>
        <v>50293</v>
      </c>
      <c r="D137" s="14">
        <f>data!AF59</f>
        <v>0</v>
      </c>
      <c r="E137" s="14">
        <f>data!AG59</f>
        <v>113304</v>
      </c>
      <c r="F137" s="14">
        <f>data!AH59</f>
        <v>0</v>
      </c>
      <c r="G137" s="14">
        <f>data!AI59</f>
        <v>0</v>
      </c>
      <c r="H137" s="14">
        <f>data!AJ59</f>
        <v>281820</v>
      </c>
      <c r="I137" s="14">
        <f>data!AK59</f>
        <v>0</v>
      </c>
    </row>
    <row r="138" spans="1:9" ht="20.149999999999999" customHeight="1" x14ac:dyDescent="0.35">
      <c r="A138" s="23">
        <v>5</v>
      </c>
      <c r="B138" s="14" t="s">
        <v>234</v>
      </c>
      <c r="C138" s="26">
        <f>data!AE60</f>
        <v>62.115490384615384</v>
      </c>
      <c r="D138" s="26">
        <f>data!AF60</f>
        <v>0</v>
      </c>
      <c r="E138" s="26">
        <f>data!AG60</f>
        <v>112.04542788461539</v>
      </c>
      <c r="F138" s="26">
        <f>data!AH60</f>
        <v>0</v>
      </c>
      <c r="G138" s="26">
        <f>data!AI60</f>
        <v>0</v>
      </c>
      <c r="H138" s="26">
        <f>data!AJ60</f>
        <v>471.51002884615377</v>
      </c>
      <c r="I138" s="26">
        <f>data!AK60</f>
        <v>0</v>
      </c>
    </row>
    <row r="139" spans="1:9" ht="20.149999999999999" customHeight="1" x14ac:dyDescent="0.35">
      <c r="A139" s="23">
        <v>6</v>
      </c>
      <c r="B139" s="14" t="s">
        <v>235</v>
      </c>
      <c r="C139" s="14">
        <f>data!AE61</f>
        <v>5476217.9300000006</v>
      </c>
      <c r="D139" s="14">
        <f>data!AF61</f>
        <v>0</v>
      </c>
      <c r="E139" s="14">
        <f>data!AG61</f>
        <v>11338575.839999998</v>
      </c>
      <c r="F139" s="14">
        <f>data!AH61</f>
        <v>0</v>
      </c>
      <c r="G139" s="14">
        <f>data!AI61</f>
        <v>0</v>
      </c>
      <c r="H139" s="14">
        <f>data!AJ61</f>
        <v>77260345.109999999</v>
      </c>
      <c r="I139" s="14">
        <f>data!AK61</f>
        <v>0</v>
      </c>
    </row>
    <row r="140" spans="1:9" ht="20.149999999999999" customHeight="1" x14ac:dyDescent="0.35">
      <c r="A140" s="23">
        <v>7</v>
      </c>
      <c r="B140" s="14" t="s">
        <v>3</v>
      </c>
      <c r="C140" s="14">
        <f>data!AE62</f>
        <v>1288817</v>
      </c>
      <c r="D140" s="14">
        <f>data!AF62</f>
        <v>0</v>
      </c>
      <c r="E140" s="14">
        <f>data!AG62</f>
        <v>2740807</v>
      </c>
      <c r="F140" s="14">
        <f>data!AH62</f>
        <v>0</v>
      </c>
      <c r="G140" s="14">
        <f>data!AI62</f>
        <v>0</v>
      </c>
      <c r="H140" s="14">
        <f>data!AJ62</f>
        <v>13834081</v>
      </c>
      <c r="I140" s="14">
        <f>data!AK62</f>
        <v>0</v>
      </c>
    </row>
    <row r="141" spans="1:9" ht="20.149999999999999" customHeight="1" x14ac:dyDescent="0.35">
      <c r="A141" s="23">
        <v>8</v>
      </c>
      <c r="B141" s="14" t="s">
        <v>236</v>
      </c>
      <c r="C141" s="14">
        <f>data!AE63</f>
        <v>0</v>
      </c>
      <c r="D141" s="14">
        <f>data!AF63</f>
        <v>0</v>
      </c>
      <c r="E141" s="14">
        <f>data!AG63</f>
        <v>392702.27</v>
      </c>
      <c r="F141" s="14">
        <f>data!AH63</f>
        <v>0</v>
      </c>
      <c r="G141" s="14">
        <f>data!AI63</f>
        <v>0</v>
      </c>
      <c r="H141" s="14">
        <f>data!AJ63</f>
        <v>1078964.31</v>
      </c>
      <c r="I141" s="14">
        <f>data!AK63</f>
        <v>0</v>
      </c>
    </row>
    <row r="142" spans="1:9" ht="20.149999999999999" customHeight="1" x14ac:dyDescent="0.35">
      <c r="A142" s="23">
        <v>9</v>
      </c>
      <c r="B142" s="14" t="s">
        <v>237</v>
      </c>
      <c r="C142" s="14">
        <f>data!AE64</f>
        <v>125625.09000000001</v>
      </c>
      <c r="D142" s="14">
        <f>data!AF64</f>
        <v>0</v>
      </c>
      <c r="E142" s="14">
        <f>data!AG64</f>
        <v>1770793.2300000002</v>
      </c>
      <c r="F142" s="14">
        <f>data!AH64</f>
        <v>0</v>
      </c>
      <c r="G142" s="14">
        <f>data!AI64</f>
        <v>0</v>
      </c>
      <c r="H142" s="14">
        <f>data!AJ64</f>
        <v>5650448.0000000009</v>
      </c>
      <c r="I142" s="14">
        <f>data!AK64</f>
        <v>0</v>
      </c>
    </row>
    <row r="143" spans="1:9" ht="20.149999999999999" customHeight="1" x14ac:dyDescent="0.35">
      <c r="A143" s="23">
        <v>10</v>
      </c>
      <c r="B143" s="14" t="s">
        <v>444</v>
      </c>
      <c r="C143" s="14">
        <f>data!AE65</f>
        <v>8437.3700000000008</v>
      </c>
      <c r="D143" s="14">
        <f>data!AF65</f>
        <v>0</v>
      </c>
      <c r="E143" s="14">
        <f>data!AG65</f>
        <v>2216.0100000000002</v>
      </c>
      <c r="F143" s="14">
        <f>data!AH65</f>
        <v>0</v>
      </c>
      <c r="G143" s="14">
        <f>data!AI65</f>
        <v>0</v>
      </c>
      <c r="H143" s="14">
        <f>data!AJ65</f>
        <v>110130</v>
      </c>
      <c r="I143" s="14">
        <f>data!AK65</f>
        <v>0</v>
      </c>
    </row>
    <row r="144" spans="1:9" ht="20.149999999999999" customHeight="1" x14ac:dyDescent="0.35">
      <c r="A144" s="23">
        <v>11</v>
      </c>
      <c r="B144" s="14" t="s">
        <v>445</v>
      </c>
      <c r="C144" s="14">
        <f>data!AE66</f>
        <v>133092.23000000001</v>
      </c>
      <c r="D144" s="14">
        <f>data!AF66</f>
        <v>0</v>
      </c>
      <c r="E144" s="14">
        <f>data!AG66</f>
        <v>647109.44000000018</v>
      </c>
      <c r="F144" s="14">
        <f>data!AH66</f>
        <v>0</v>
      </c>
      <c r="G144" s="14">
        <f>data!AI66</f>
        <v>0</v>
      </c>
      <c r="H144" s="14">
        <f>data!AJ66</f>
        <v>1090478.1900000002</v>
      </c>
      <c r="I144" s="14">
        <f>data!AK66</f>
        <v>0</v>
      </c>
    </row>
    <row r="145" spans="1:9" ht="20.149999999999999" customHeight="1" x14ac:dyDescent="0.35">
      <c r="A145" s="23">
        <v>12</v>
      </c>
      <c r="B145" s="14" t="s">
        <v>6</v>
      </c>
      <c r="C145" s="14">
        <f>data!AE67</f>
        <v>180449</v>
      </c>
      <c r="D145" s="14">
        <f>data!AF67</f>
        <v>0</v>
      </c>
      <c r="E145" s="14">
        <f>data!AG67</f>
        <v>1128622</v>
      </c>
      <c r="F145" s="14">
        <f>data!AH67</f>
        <v>0</v>
      </c>
      <c r="G145" s="14">
        <f>data!AI67</f>
        <v>0</v>
      </c>
      <c r="H145" s="14">
        <f>data!AJ67</f>
        <v>3147027</v>
      </c>
      <c r="I145" s="14">
        <f>data!AK67</f>
        <v>0</v>
      </c>
    </row>
    <row r="146" spans="1:9" ht="20.149999999999999" customHeight="1" x14ac:dyDescent="0.35">
      <c r="A146" s="23">
        <v>13</v>
      </c>
      <c r="B146" s="14" t="s">
        <v>474</v>
      </c>
      <c r="C146" s="14">
        <f>data!AE68</f>
        <v>157317.63</v>
      </c>
      <c r="D146" s="14">
        <f>data!AF68</f>
        <v>0</v>
      </c>
      <c r="E146" s="14">
        <f>data!AG68</f>
        <v>632910.63</v>
      </c>
      <c r="F146" s="14">
        <f>data!AH68</f>
        <v>0</v>
      </c>
      <c r="G146" s="14">
        <f>data!AI68</f>
        <v>0</v>
      </c>
      <c r="H146" s="14">
        <f>data!AJ68</f>
        <v>109882.76</v>
      </c>
      <c r="I146" s="14">
        <f>data!AK68</f>
        <v>0</v>
      </c>
    </row>
    <row r="147" spans="1:9" ht="20.149999999999999" customHeight="1" x14ac:dyDescent="0.35">
      <c r="A147" s="23">
        <v>14</v>
      </c>
      <c r="B147" s="14" t="s">
        <v>241</v>
      </c>
      <c r="C147" s="14">
        <f>data!AE69</f>
        <v>26049.399999999998</v>
      </c>
      <c r="D147" s="14">
        <f>data!AF69</f>
        <v>0</v>
      </c>
      <c r="E147" s="14">
        <f>data!AG69</f>
        <v>18702.949999999997</v>
      </c>
      <c r="F147" s="14">
        <f>data!AH69</f>
        <v>0</v>
      </c>
      <c r="G147" s="14">
        <f>data!AI69</f>
        <v>0</v>
      </c>
      <c r="H147" s="14">
        <f>data!AJ69</f>
        <v>1094384.1399999999</v>
      </c>
      <c r="I147" s="14">
        <f>data!AK69</f>
        <v>0</v>
      </c>
    </row>
    <row r="148" spans="1:9" ht="20.149999999999999" customHeight="1" x14ac:dyDescent="0.35">
      <c r="A148" s="23">
        <v>15</v>
      </c>
      <c r="B148" s="14" t="s">
        <v>242</v>
      </c>
      <c r="C148" s="14">
        <f>-data!AE70</f>
        <v>-2685</v>
      </c>
      <c r="D148" s="14">
        <f>-data!AF70</f>
        <v>0</v>
      </c>
      <c r="E148" s="14">
        <f>-data!AG70</f>
        <v>-459.15</v>
      </c>
      <c r="F148" s="14">
        <f>-data!AH70</f>
        <v>0</v>
      </c>
      <c r="G148" s="14">
        <f>-data!AI70</f>
        <v>0</v>
      </c>
      <c r="H148" s="14">
        <f>-data!AJ70</f>
        <v>-3266478.32</v>
      </c>
      <c r="I148" s="14">
        <f>-data!AK70</f>
        <v>0</v>
      </c>
    </row>
    <row r="149" spans="1:9" ht="20.149999999999999" customHeight="1" x14ac:dyDescent="0.35">
      <c r="A149" s="23">
        <v>16</v>
      </c>
      <c r="B149" s="48" t="s">
        <v>1180</v>
      </c>
      <c r="C149" s="14">
        <f>data!AE71</f>
        <v>7393320.6500000013</v>
      </c>
      <c r="D149" s="14">
        <f>data!AF71</f>
        <v>0</v>
      </c>
      <c r="E149" s="14">
        <f>data!AG71</f>
        <v>18671980.219999999</v>
      </c>
      <c r="F149" s="14">
        <f>data!AH71</f>
        <v>0</v>
      </c>
      <c r="G149" s="14">
        <f>data!AI71</f>
        <v>0</v>
      </c>
      <c r="H149" s="14">
        <f>data!AJ71</f>
        <v>100109262.19000001</v>
      </c>
      <c r="I149" s="14">
        <f>data!AK71</f>
        <v>0</v>
      </c>
    </row>
    <row r="150" spans="1:9" ht="20.149999999999999" customHeight="1" x14ac:dyDescent="0.35">
      <c r="A150" s="23">
        <v>17</v>
      </c>
      <c r="B150" s="14" t="s">
        <v>244</v>
      </c>
      <c r="C150" s="211"/>
      <c r="D150" s="211"/>
      <c r="E150" s="211"/>
      <c r="F150" s="211"/>
      <c r="G150" s="211"/>
      <c r="H150" s="211"/>
      <c r="I150" s="211"/>
    </row>
    <row r="151" spans="1:9" ht="20.149999999999999" customHeight="1" x14ac:dyDescent="0.35">
      <c r="A151" s="23">
        <v>18</v>
      </c>
      <c r="B151" s="14" t="s">
        <v>1181</v>
      </c>
      <c r="C151" s="48">
        <f>+data!M696</f>
        <v>2916019</v>
      </c>
      <c r="D151" s="48">
        <f>+data!M697</f>
        <v>0</v>
      </c>
      <c r="E151" s="48">
        <f>+data!M698</f>
        <v>12399672</v>
      </c>
      <c r="F151" s="48">
        <f>+data!M699</f>
        <v>0</v>
      </c>
      <c r="G151" s="48">
        <f>+data!M700</f>
        <v>0</v>
      </c>
      <c r="H151" s="48">
        <f>+data!M701</f>
        <v>23489876</v>
      </c>
      <c r="I151" s="48">
        <f>+data!M702</f>
        <v>0</v>
      </c>
    </row>
    <row r="152" spans="1:9" ht="20.149999999999999" customHeight="1" x14ac:dyDescent="0.35">
      <c r="A152" s="23">
        <v>19</v>
      </c>
      <c r="B152" s="48" t="s">
        <v>1182</v>
      </c>
      <c r="C152" s="14">
        <f>data!AE73</f>
        <v>13659570</v>
      </c>
      <c r="D152" s="14">
        <f>data!AF73</f>
        <v>0</v>
      </c>
      <c r="E152" s="14">
        <f>data!AG73</f>
        <v>38241925.390000001</v>
      </c>
      <c r="F152" s="14">
        <f>data!AH73</f>
        <v>0</v>
      </c>
      <c r="G152" s="14">
        <f>data!AI73</f>
        <v>0</v>
      </c>
      <c r="H152" s="14">
        <f>data!AJ73</f>
        <v>28153211.449999999</v>
      </c>
      <c r="I152" s="14">
        <f>data!AK73</f>
        <v>0</v>
      </c>
    </row>
    <row r="153" spans="1:9" ht="20.149999999999999" customHeight="1" x14ac:dyDescent="0.35">
      <c r="A153" s="23">
        <v>20</v>
      </c>
      <c r="B153" s="48" t="s">
        <v>1183</v>
      </c>
      <c r="C153" s="14">
        <f>data!AE74</f>
        <v>20523283.129999999</v>
      </c>
      <c r="D153" s="14">
        <f>data!AF74</f>
        <v>0</v>
      </c>
      <c r="E153" s="14">
        <f>data!AG74</f>
        <v>131145287.45</v>
      </c>
      <c r="F153" s="14">
        <f>data!AH74</f>
        <v>0</v>
      </c>
      <c r="G153" s="14">
        <f>data!AI74</f>
        <v>0</v>
      </c>
      <c r="H153" s="14">
        <f>data!AJ74</f>
        <v>171234296.55000001</v>
      </c>
      <c r="I153" s="14">
        <f>data!AK74</f>
        <v>0</v>
      </c>
    </row>
    <row r="154" spans="1:9" ht="20.149999999999999" customHeight="1" x14ac:dyDescent="0.35">
      <c r="A154" s="23">
        <v>21</v>
      </c>
      <c r="B154" s="48" t="s">
        <v>1184</v>
      </c>
      <c r="C154" s="14">
        <f>data!AE75</f>
        <v>34182853.129999995</v>
      </c>
      <c r="D154" s="14">
        <f>data!AF75</f>
        <v>0</v>
      </c>
      <c r="E154" s="14">
        <f>data!AG75</f>
        <v>169387212.84</v>
      </c>
      <c r="F154" s="14">
        <f>data!AH75</f>
        <v>0</v>
      </c>
      <c r="G154" s="14">
        <f>data!AI75</f>
        <v>0</v>
      </c>
      <c r="H154" s="14">
        <f>data!AJ75</f>
        <v>199387508</v>
      </c>
      <c r="I154" s="14">
        <f>data!AK75</f>
        <v>0</v>
      </c>
    </row>
    <row r="155" spans="1:9" ht="20.149999999999999" customHeight="1" x14ac:dyDescent="0.35">
      <c r="A155" s="23" t="s">
        <v>1185</v>
      </c>
      <c r="B155" s="60"/>
      <c r="C155" s="211"/>
      <c r="D155" s="211"/>
      <c r="E155" s="211"/>
      <c r="F155" s="211"/>
      <c r="G155" s="211"/>
      <c r="H155" s="211"/>
      <c r="I155" s="211"/>
    </row>
    <row r="156" spans="1:9" ht="20.149999999999999" customHeight="1" x14ac:dyDescent="0.35">
      <c r="A156" s="23">
        <v>22</v>
      </c>
      <c r="B156" s="14" t="s">
        <v>1186</v>
      </c>
      <c r="C156" s="14">
        <f>data!AE76</f>
        <v>17259</v>
      </c>
      <c r="D156" s="14">
        <f>data!AF76</f>
        <v>0</v>
      </c>
      <c r="E156" s="14">
        <f>data!AG76</f>
        <v>55060</v>
      </c>
      <c r="F156" s="14">
        <f>data!AH76</f>
        <v>0</v>
      </c>
      <c r="G156" s="14">
        <f>data!AI76</f>
        <v>0</v>
      </c>
      <c r="H156" s="14">
        <f>data!AJ76</f>
        <v>144637</v>
      </c>
      <c r="I156" s="14">
        <f>data!AK76</f>
        <v>0</v>
      </c>
    </row>
    <row r="157" spans="1:9" ht="20.149999999999999" customHeight="1" x14ac:dyDescent="0.35">
      <c r="A157" s="23">
        <v>23</v>
      </c>
      <c r="B157" s="14" t="s">
        <v>1187</v>
      </c>
      <c r="C157" s="14">
        <f>data!AE77</f>
        <v>0</v>
      </c>
      <c r="D157" s="14">
        <f>data!AF77</f>
        <v>0</v>
      </c>
      <c r="E157" s="14">
        <f>data!AG77</f>
        <v>5081</v>
      </c>
      <c r="F157" s="14">
        <f>data!AH77</f>
        <v>0</v>
      </c>
      <c r="G157" s="14">
        <f>data!AI77</f>
        <v>0</v>
      </c>
      <c r="H157" s="14">
        <f>data!AJ77</f>
        <v>0</v>
      </c>
      <c r="I157" s="14">
        <f>data!AK77</f>
        <v>0</v>
      </c>
    </row>
    <row r="158" spans="1:9" ht="20.149999999999999" customHeight="1" x14ac:dyDescent="0.35">
      <c r="A158" s="23">
        <v>24</v>
      </c>
      <c r="B158" s="14" t="s">
        <v>1188</v>
      </c>
      <c r="C158" s="14">
        <f>data!AE78</f>
        <v>2232</v>
      </c>
      <c r="D158" s="14">
        <f>data!AF78</f>
        <v>0</v>
      </c>
      <c r="E158" s="14">
        <f>data!AG78</f>
        <v>7011</v>
      </c>
      <c r="F158" s="14">
        <f>data!AH78</f>
        <v>0</v>
      </c>
      <c r="G158" s="14">
        <f>data!AI78</f>
        <v>0</v>
      </c>
      <c r="H158" s="14">
        <f>data!AJ78</f>
        <v>18418</v>
      </c>
      <c r="I158" s="14">
        <f>data!AK78</f>
        <v>0</v>
      </c>
    </row>
    <row r="159" spans="1:9" ht="20.149999999999999" customHeight="1" x14ac:dyDescent="0.35">
      <c r="A159" s="23">
        <v>25</v>
      </c>
      <c r="B159" s="14" t="s">
        <v>1189</v>
      </c>
      <c r="C159" s="14">
        <f>data!AE79</f>
        <v>0</v>
      </c>
      <c r="D159" s="14">
        <f>data!AF79</f>
        <v>0</v>
      </c>
      <c r="E159" s="14">
        <f>data!AG79</f>
        <v>370208.2</v>
      </c>
      <c r="F159" s="14">
        <f>data!AH79</f>
        <v>0</v>
      </c>
      <c r="G159" s="14">
        <f>data!AI79</f>
        <v>0</v>
      </c>
      <c r="H159" s="14">
        <f>data!AJ79</f>
        <v>88729.2</v>
      </c>
      <c r="I159" s="14">
        <f>data!AK79</f>
        <v>0</v>
      </c>
    </row>
    <row r="160" spans="1:9" ht="20.149999999999999" customHeight="1" x14ac:dyDescent="0.35">
      <c r="A160" s="23">
        <v>26</v>
      </c>
      <c r="B160" s="14" t="s">
        <v>252</v>
      </c>
      <c r="C160" s="26">
        <f>data!AE80</f>
        <v>0</v>
      </c>
      <c r="D160" s="26">
        <f>data!AF80</f>
        <v>0</v>
      </c>
      <c r="E160" s="26">
        <f>data!AG80</f>
        <v>65.661836538461543</v>
      </c>
      <c r="F160" s="26">
        <f>data!AH80</f>
        <v>0</v>
      </c>
      <c r="G160" s="26">
        <f>data!AI80</f>
        <v>0</v>
      </c>
      <c r="H160" s="26">
        <f>data!AJ80</f>
        <v>53.624048076923081</v>
      </c>
      <c r="I160" s="26">
        <f>data!AK80</f>
        <v>0</v>
      </c>
    </row>
    <row r="161" spans="1:9" ht="20.149999999999999" customHeight="1" x14ac:dyDescent="0.35">
      <c r="A161" s="4" t="s">
        <v>1173</v>
      </c>
      <c r="B161" s="5"/>
      <c r="C161" s="5"/>
      <c r="D161" s="6"/>
      <c r="E161" s="5"/>
      <c r="F161" s="5"/>
      <c r="G161" s="5"/>
      <c r="H161" s="5"/>
      <c r="I161" s="4"/>
    </row>
    <row r="162" spans="1:9" ht="20.149999999999999" customHeight="1" x14ac:dyDescent="0.35">
      <c r="A162" s="77"/>
      <c r="B162" s="77"/>
      <c r="C162" s="77"/>
      <c r="D162" s="45"/>
      <c r="E162" s="77"/>
      <c r="F162" s="77"/>
      <c r="G162" s="77"/>
      <c r="H162" s="77"/>
      <c r="I162" s="168" t="s">
        <v>1206</v>
      </c>
    </row>
    <row r="163" spans="1:9" ht="20.149999999999999" customHeight="1" x14ac:dyDescent="0.35">
      <c r="A163" s="45"/>
      <c r="B163" s="77"/>
      <c r="C163" s="77"/>
      <c r="D163" s="77"/>
      <c r="E163" s="77"/>
      <c r="F163" s="77"/>
      <c r="G163" s="77"/>
      <c r="H163" s="77"/>
      <c r="I163" s="77"/>
    </row>
    <row r="164" spans="1:9" ht="20.149999999999999" customHeight="1" x14ac:dyDescent="0.35">
      <c r="A164" s="79" t="str">
        <f>"HOSPITAL NAME: "&amp;data!C84</f>
        <v>HOSPITAL NAME: EvergreenHealth Kirkland / King Country Public Hos #2</v>
      </c>
      <c r="B164" s="77"/>
      <c r="C164" s="77"/>
      <c r="D164" s="77"/>
      <c r="E164" s="77"/>
      <c r="F164" s="77"/>
      <c r="G164" s="80"/>
      <c r="H164" s="79" t="str">
        <f>"FYE: "&amp;data!C82</f>
        <v>FYE: 12/31/2021</v>
      </c>
    </row>
    <row r="165" spans="1:9" ht="20.149999999999999" customHeight="1" x14ac:dyDescent="0.35">
      <c r="A165" s="23">
        <v>1</v>
      </c>
      <c r="B165" s="14" t="s">
        <v>209</v>
      </c>
      <c r="C165" s="15" t="s">
        <v>45</v>
      </c>
      <c r="D165" s="15" t="s">
        <v>46</v>
      </c>
      <c r="E165" s="15" t="s">
        <v>47</v>
      </c>
      <c r="F165" s="15" t="s">
        <v>48</v>
      </c>
      <c r="G165" s="15" t="s">
        <v>49</v>
      </c>
      <c r="H165" s="15" t="s">
        <v>50</v>
      </c>
      <c r="I165" s="15" t="s">
        <v>51</v>
      </c>
    </row>
    <row r="166" spans="1:9" ht="20.149999999999999" customHeight="1" x14ac:dyDescent="0.35">
      <c r="A166" s="81">
        <v>2</v>
      </c>
      <c r="B166" s="17" t="s">
        <v>1175</v>
      </c>
      <c r="C166" s="18" t="s">
        <v>123</v>
      </c>
      <c r="D166" s="18" t="s">
        <v>124</v>
      </c>
      <c r="E166" s="18" t="s">
        <v>110</v>
      </c>
      <c r="F166" s="18" t="s">
        <v>125</v>
      </c>
      <c r="G166" s="18" t="s">
        <v>1207</v>
      </c>
      <c r="H166" s="18" t="s">
        <v>127</v>
      </c>
      <c r="I166" s="18" t="s">
        <v>128</v>
      </c>
    </row>
    <row r="167" spans="1:9" ht="20.149999999999999" customHeight="1" x14ac:dyDescent="0.35">
      <c r="A167" s="82"/>
      <c r="B167" s="83"/>
      <c r="C167" s="18" t="s">
        <v>172</v>
      </c>
      <c r="D167" s="18" t="s">
        <v>172</v>
      </c>
      <c r="E167" s="18" t="s">
        <v>1208</v>
      </c>
      <c r="F167" s="18" t="s">
        <v>182</v>
      </c>
      <c r="G167" s="18" t="s">
        <v>121</v>
      </c>
      <c r="H167" s="88" t="s">
        <v>1209</v>
      </c>
      <c r="I167" s="18" t="s">
        <v>169</v>
      </c>
    </row>
    <row r="168" spans="1:9" ht="20.149999999999999" customHeight="1" x14ac:dyDescent="0.35">
      <c r="A168" s="23">
        <v>3</v>
      </c>
      <c r="B168" s="14" t="s">
        <v>1179</v>
      </c>
      <c r="C168" s="15" t="s">
        <v>226</v>
      </c>
      <c r="D168" s="15" t="s">
        <v>226</v>
      </c>
      <c r="E168" s="15" t="s">
        <v>217</v>
      </c>
      <c r="F168" s="15" t="s">
        <v>227</v>
      </c>
      <c r="G168" s="15" t="s">
        <v>228</v>
      </c>
      <c r="H168" s="15" t="s">
        <v>229</v>
      </c>
      <c r="I168" s="15" t="s">
        <v>228</v>
      </c>
    </row>
    <row r="169" spans="1:9" ht="20.149999999999999" customHeight="1" x14ac:dyDescent="0.35">
      <c r="A169" s="23">
        <v>4</v>
      </c>
      <c r="B169" s="14" t="s">
        <v>233</v>
      </c>
      <c r="C169" s="14">
        <f>data!AL59</f>
        <v>0</v>
      </c>
      <c r="D169" s="14">
        <f>data!AM59</f>
        <v>0</v>
      </c>
      <c r="E169" s="14">
        <f>data!AN59</f>
        <v>0</v>
      </c>
      <c r="F169" s="14">
        <f>data!AO59</f>
        <v>0</v>
      </c>
      <c r="G169" s="14">
        <f>data!AP59</f>
        <v>363714</v>
      </c>
      <c r="H169" s="14">
        <f>data!AQ59</f>
        <v>0</v>
      </c>
      <c r="I169" s="14">
        <f>data!AR59</f>
        <v>111169</v>
      </c>
    </row>
    <row r="170" spans="1:9" ht="20.149999999999999" customHeight="1" x14ac:dyDescent="0.35">
      <c r="A170" s="23">
        <v>5</v>
      </c>
      <c r="B170" s="14" t="s">
        <v>234</v>
      </c>
      <c r="C170" s="26">
        <f>data!AL60</f>
        <v>0</v>
      </c>
      <c r="D170" s="26">
        <f>data!AM60</f>
        <v>0</v>
      </c>
      <c r="E170" s="26">
        <f>data!AN60</f>
        <v>0</v>
      </c>
      <c r="F170" s="26">
        <f>data!AO60</f>
        <v>0</v>
      </c>
      <c r="G170" s="26">
        <f>data!AP60</f>
        <v>393.55525480769228</v>
      </c>
      <c r="H170" s="26">
        <f>data!AQ60</f>
        <v>0</v>
      </c>
      <c r="I170" s="26">
        <f>data!AR60</f>
        <v>477.40179326923101</v>
      </c>
    </row>
    <row r="171" spans="1:9" ht="20.149999999999999" customHeight="1" x14ac:dyDescent="0.35">
      <c r="A171" s="23">
        <v>6</v>
      </c>
      <c r="B171" s="14" t="s">
        <v>235</v>
      </c>
      <c r="C171" s="14">
        <f>data!AL61</f>
        <v>0</v>
      </c>
      <c r="D171" s="14">
        <f>data!AM61</f>
        <v>0</v>
      </c>
      <c r="E171" s="14">
        <f>data!AN61</f>
        <v>0</v>
      </c>
      <c r="F171" s="14">
        <f>data!AO61</f>
        <v>0</v>
      </c>
      <c r="G171" s="14">
        <f>data!AP61</f>
        <v>50022360.600000001</v>
      </c>
      <c r="H171" s="14">
        <f>data!AQ61</f>
        <v>0</v>
      </c>
      <c r="I171" s="14">
        <f>data!AR61</f>
        <v>49975552.32</v>
      </c>
    </row>
    <row r="172" spans="1:9" ht="20.149999999999999" customHeight="1" x14ac:dyDescent="0.35">
      <c r="A172" s="23">
        <v>7</v>
      </c>
      <c r="B172" s="14" t="s">
        <v>3</v>
      </c>
      <c r="C172" s="14">
        <f>data!AL62</f>
        <v>0</v>
      </c>
      <c r="D172" s="14">
        <f>data!AM62</f>
        <v>0</v>
      </c>
      <c r="E172" s="14">
        <f>data!AN62</f>
        <v>0</v>
      </c>
      <c r="F172" s="14">
        <f>data!AO62</f>
        <v>0</v>
      </c>
      <c r="G172" s="14">
        <f>data!AP62</f>
        <v>10050856</v>
      </c>
      <c r="H172" s="14">
        <f>data!AQ62</f>
        <v>0</v>
      </c>
      <c r="I172" s="14">
        <f>data!AR62</f>
        <v>11781690</v>
      </c>
    </row>
    <row r="173" spans="1:9" ht="20.149999999999999" customHeight="1" x14ac:dyDescent="0.35">
      <c r="A173" s="23">
        <v>8</v>
      </c>
      <c r="B173" s="14" t="s">
        <v>236</v>
      </c>
      <c r="C173" s="14">
        <f>data!AL63</f>
        <v>0</v>
      </c>
      <c r="D173" s="14">
        <f>data!AM63</f>
        <v>0</v>
      </c>
      <c r="E173" s="14">
        <f>data!AN63</f>
        <v>0</v>
      </c>
      <c r="F173" s="14">
        <f>data!AO63</f>
        <v>0</v>
      </c>
      <c r="G173" s="14">
        <f>data!AP63</f>
        <v>5701848.21</v>
      </c>
      <c r="H173" s="14">
        <f>data!AQ63</f>
        <v>0</v>
      </c>
      <c r="I173" s="14">
        <f>data!AR63</f>
        <v>6753.86</v>
      </c>
    </row>
    <row r="174" spans="1:9" ht="20.149999999999999" customHeight="1" x14ac:dyDescent="0.35">
      <c r="A174" s="23">
        <v>9</v>
      </c>
      <c r="B174" s="14" t="s">
        <v>237</v>
      </c>
      <c r="C174" s="14">
        <f>data!AL64</f>
        <v>0</v>
      </c>
      <c r="D174" s="14">
        <f>data!AM64</f>
        <v>0</v>
      </c>
      <c r="E174" s="14">
        <f>data!AN64</f>
        <v>0</v>
      </c>
      <c r="F174" s="14">
        <f>data!AO64</f>
        <v>0</v>
      </c>
      <c r="G174" s="14">
        <f>data!AP64</f>
        <v>5106941.1100000013</v>
      </c>
      <c r="H174" s="14">
        <f>data!AQ64</f>
        <v>0</v>
      </c>
      <c r="I174" s="14">
        <f>data!AR64</f>
        <v>3801119.5100000002</v>
      </c>
    </row>
    <row r="175" spans="1:9" ht="20.149999999999999" customHeight="1" x14ac:dyDescent="0.35">
      <c r="A175" s="23">
        <v>10</v>
      </c>
      <c r="B175" s="14" t="s">
        <v>444</v>
      </c>
      <c r="C175" s="14">
        <f>data!AL65</f>
        <v>0</v>
      </c>
      <c r="D175" s="14">
        <f>data!AM65</f>
        <v>0</v>
      </c>
      <c r="E175" s="14">
        <f>data!AN65</f>
        <v>0</v>
      </c>
      <c r="F175" s="14">
        <f>data!AO65</f>
        <v>0</v>
      </c>
      <c r="G175" s="14">
        <f>data!AP65</f>
        <v>201269.15</v>
      </c>
      <c r="H175" s="14">
        <f>data!AQ65</f>
        <v>0</v>
      </c>
      <c r="I175" s="14">
        <f>data!AR65</f>
        <v>287273.18</v>
      </c>
    </row>
    <row r="176" spans="1:9" ht="20.149999999999999" customHeight="1" x14ac:dyDescent="0.35">
      <c r="A176" s="23">
        <v>11</v>
      </c>
      <c r="B176" s="14" t="s">
        <v>445</v>
      </c>
      <c r="C176" s="14">
        <f>data!AL66</f>
        <v>0</v>
      </c>
      <c r="D176" s="14">
        <f>data!AM66</f>
        <v>0</v>
      </c>
      <c r="E176" s="14">
        <f>data!AN66</f>
        <v>0</v>
      </c>
      <c r="F176" s="14">
        <f>data!AO66</f>
        <v>0</v>
      </c>
      <c r="G176" s="14">
        <f>data!AP66</f>
        <v>1459180.7799999998</v>
      </c>
      <c r="H176" s="14">
        <f>data!AQ66</f>
        <v>0</v>
      </c>
      <c r="I176" s="14">
        <f>data!AR66</f>
        <v>2630591.67</v>
      </c>
    </row>
    <row r="177" spans="1:9" ht="20.149999999999999" customHeight="1" x14ac:dyDescent="0.35">
      <c r="A177" s="23">
        <v>12</v>
      </c>
      <c r="B177" s="14" t="s">
        <v>6</v>
      </c>
      <c r="C177" s="14">
        <f>data!AL67</f>
        <v>0</v>
      </c>
      <c r="D177" s="14">
        <f>data!AM67</f>
        <v>0</v>
      </c>
      <c r="E177" s="14">
        <f>data!AN67</f>
        <v>0</v>
      </c>
      <c r="F177" s="14">
        <f>data!AO67</f>
        <v>0</v>
      </c>
      <c r="G177" s="14">
        <f>data!AP67</f>
        <v>2893094</v>
      </c>
      <c r="H177" s="14">
        <f>data!AQ67</f>
        <v>0</v>
      </c>
      <c r="I177" s="14">
        <f>data!AR67</f>
        <v>99926</v>
      </c>
    </row>
    <row r="178" spans="1:9" ht="20.149999999999999" customHeight="1" x14ac:dyDescent="0.35">
      <c r="A178" s="23">
        <v>13</v>
      </c>
      <c r="B178" s="14" t="s">
        <v>474</v>
      </c>
      <c r="C178" s="14">
        <f>data!AL68</f>
        <v>0</v>
      </c>
      <c r="D178" s="14">
        <f>data!AM68</f>
        <v>0</v>
      </c>
      <c r="E178" s="14">
        <f>data!AN68</f>
        <v>0</v>
      </c>
      <c r="F178" s="14">
        <f>data!AO68</f>
        <v>0</v>
      </c>
      <c r="G178" s="14">
        <f>data!AP68</f>
        <v>6322615.71</v>
      </c>
      <c r="H178" s="14">
        <f>data!AQ68</f>
        <v>0</v>
      </c>
      <c r="I178" s="14">
        <f>data!AR68</f>
        <v>1723047.8</v>
      </c>
    </row>
    <row r="179" spans="1:9" ht="20.149999999999999" customHeight="1" x14ac:dyDescent="0.35">
      <c r="A179" s="23">
        <v>14</v>
      </c>
      <c r="B179" s="14" t="s">
        <v>241</v>
      </c>
      <c r="C179" s="14">
        <f>data!AL69</f>
        <v>0</v>
      </c>
      <c r="D179" s="14">
        <f>data!AM69</f>
        <v>0</v>
      </c>
      <c r="E179" s="14">
        <f>data!AN69</f>
        <v>0</v>
      </c>
      <c r="F179" s="14">
        <f>data!AO69</f>
        <v>0</v>
      </c>
      <c r="G179" s="14">
        <f>data!AP69</f>
        <v>1053389.3000000003</v>
      </c>
      <c r="H179" s="14">
        <f>data!AQ69</f>
        <v>0</v>
      </c>
      <c r="I179" s="14">
        <f>data!AR69</f>
        <v>1369810.18</v>
      </c>
    </row>
    <row r="180" spans="1:9" ht="20.149999999999999" customHeight="1" x14ac:dyDescent="0.35">
      <c r="A180" s="23">
        <v>15</v>
      </c>
      <c r="B180" s="14" t="s">
        <v>242</v>
      </c>
      <c r="C180" s="14">
        <f>-data!AL70</f>
        <v>0</v>
      </c>
      <c r="D180" s="14">
        <f>-data!AM70</f>
        <v>0</v>
      </c>
      <c r="E180" s="14">
        <f>-data!AN70</f>
        <v>0</v>
      </c>
      <c r="F180" s="14">
        <f>-data!AO70</f>
        <v>0</v>
      </c>
      <c r="G180" s="14">
        <f>-data!AP70</f>
        <v>-2990682.62</v>
      </c>
      <c r="H180" s="14">
        <f>-data!AQ70</f>
        <v>0</v>
      </c>
      <c r="I180" s="14">
        <f>-data!AR70</f>
        <v>-303423.09000000003</v>
      </c>
    </row>
    <row r="181" spans="1:9" ht="20.149999999999999" customHeight="1" x14ac:dyDescent="0.35">
      <c r="A181" s="23">
        <v>16</v>
      </c>
      <c r="B181" s="48" t="s">
        <v>1180</v>
      </c>
      <c r="C181" s="14">
        <f>data!AL71</f>
        <v>0</v>
      </c>
      <c r="D181" s="14">
        <f>data!AM71</f>
        <v>0</v>
      </c>
      <c r="E181" s="14">
        <f>data!AN71</f>
        <v>0</v>
      </c>
      <c r="F181" s="14">
        <f>data!AO71</f>
        <v>0</v>
      </c>
      <c r="G181" s="14">
        <f>data!AP71</f>
        <v>79820872.239999995</v>
      </c>
      <c r="H181" s="14">
        <f>data!AQ71</f>
        <v>0</v>
      </c>
      <c r="I181" s="14">
        <f>data!AR71</f>
        <v>71372341.429999992</v>
      </c>
    </row>
    <row r="182" spans="1:9" ht="20.149999999999999" customHeight="1" x14ac:dyDescent="0.35">
      <c r="A182" s="23">
        <v>17</v>
      </c>
      <c r="B182" s="14" t="s">
        <v>244</v>
      </c>
      <c r="C182" s="211"/>
      <c r="D182" s="211"/>
      <c r="E182" s="211"/>
      <c r="F182" s="211"/>
      <c r="G182" s="211"/>
      <c r="H182" s="211"/>
      <c r="I182" s="211"/>
    </row>
    <row r="183" spans="1:9" ht="20.149999999999999" customHeight="1" x14ac:dyDescent="0.35">
      <c r="A183" s="23">
        <v>18</v>
      </c>
      <c r="B183" s="14" t="s">
        <v>1181</v>
      </c>
      <c r="C183" s="48">
        <f>+data!M703</f>
        <v>0</v>
      </c>
      <c r="D183" s="48">
        <f>+data!M704</f>
        <v>0</v>
      </c>
      <c r="E183" s="48">
        <f>+data!M705</f>
        <v>0</v>
      </c>
      <c r="F183" s="48">
        <f>+data!M706</f>
        <v>0</v>
      </c>
      <c r="G183" s="48">
        <f>+data!M707</f>
        <v>15256823</v>
      </c>
      <c r="H183" s="48">
        <f>+data!M708</f>
        <v>0</v>
      </c>
      <c r="I183" s="48">
        <f>+data!M709</f>
        <v>15637380</v>
      </c>
    </row>
    <row r="184" spans="1:9" ht="20.149999999999999" customHeight="1" x14ac:dyDescent="0.35">
      <c r="A184" s="23">
        <v>19</v>
      </c>
      <c r="B184" s="48" t="s">
        <v>1182</v>
      </c>
      <c r="C184" s="14">
        <f>data!AL73</f>
        <v>0</v>
      </c>
      <c r="D184" s="14">
        <f>data!AM73</f>
        <v>0</v>
      </c>
      <c r="E184" s="14">
        <f>data!AN73</f>
        <v>0</v>
      </c>
      <c r="F184" s="14">
        <f>data!AO73</f>
        <v>0</v>
      </c>
      <c r="G184" s="14">
        <f>data!AP73</f>
        <v>4201995.5</v>
      </c>
      <c r="H184" s="14">
        <f>data!AQ73</f>
        <v>0</v>
      </c>
      <c r="I184" s="14">
        <f>data!AR73</f>
        <v>0</v>
      </c>
    </row>
    <row r="185" spans="1:9" ht="20.149999999999999" customHeight="1" x14ac:dyDescent="0.35">
      <c r="A185" s="23">
        <v>20</v>
      </c>
      <c r="B185" s="48" t="s">
        <v>1183</v>
      </c>
      <c r="C185" s="14">
        <f>data!AL74</f>
        <v>0</v>
      </c>
      <c r="D185" s="14">
        <f>data!AM74</f>
        <v>0</v>
      </c>
      <c r="E185" s="14">
        <f>data!AN74</f>
        <v>0</v>
      </c>
      <c r="F185" s="14">
        <f>data!AO74</f>
        <v>0</v>
      </c>
      <c r="G185" s="14">
        <f>data!AP74</f>
        <v>129829512.22999999</v>
      </c>
      <c r="H185" s="14">
        <f>data!AQ74</f>
        <v>0</v>
      </c>
      <c r="I185" s="14">
        <f>data!AR74</f>
        <v>137334541.94999999</v>
      </c>
    </row>
    <row r="186" spans="1:9" ht="20.149999999999999" customHeight="1" x14ac:dyDescent="0.35">
      <c r="A186" s="23">
        <v>21</v>
      </c>
      <c r="B186" s="48" t="s">
        <v>1184</v>
      </c>
      <c r="C186" s="14">
        <f>data!AL75</f>
        <v>0</v>
      </c>
      <c r="D186" s="14">
        <f>data!AM75</f>
        <v>0</v>
      </c>
      <c r="E186" s="14">
        <f>data!AN75</f>
        <v>0</v>
      </c>
      <c r="F186" s="14">
        <f>data!AO75</f>
        <v>0</v>
      </c>
      <c r="G186" s="14">
        <f>data!AP75</f>
        <v>134031507.72999999</v>
      </c>
      <c r="H186" s="14">
        <f>data!AQ75</f>
        <v>0</v>
      </c>
      <c r="I186" s="14">
        <f>data!AR75</f>
        <v>137334541.94999999</v>
      </c>
    </row>
    <row r="187" spans="1:9" ht="20.149999999999999" customHeight="1" x14ac:dyDescent="0.35">
      <c r="A187" s="23" t="s">
        <v>1185</v>
      </c>
      <c r="B187" s="60"/>
      <c r="C187" s="211"/>
      <c r="D187" s="211"/>
      <c r="E187" s="211"/>
      <c r="F187" s="211"/>
      <c r="G187" s="211"/>
      <c r="H187" s="211"/>
      <c r="I187" s="211"/>
    </row>
    <row r="188" spans="1:9" ht="20.149999999999999" customHeight="1" x14ac:dyDescent="0.35">
      <c r="A188" s="23">
        <v>22</v>
      </c>
      <c r="B188" s="14" t="s">
        <v>1186</v>
      </c>
      <c r="C188" s="14">
        <f>data!AL76</f>
        <v>0</v>
      </c>
      <c r="D188" s="14">
        <f>data!AM76</f>
        <v>0</v>
      </c>
      <c r="E188" s="14">
        <f>data!AN76</f>
        <v>0</v>
      </c>
      <c r="F188" s="14">
        <f>data!AO76</f>
        <v>0</v>
      </c>
      <c r="G188" s="14">
        <f>data!AP76</f>
        <v>45968</v>
      </c>
      <c r="H188" s="14">
        <f>data!AQ76</f>
        <v>0</v>
      </c>
      <c r="I188" s="14">
        <f>data!AR76</f>
        <v>0</v>
      </c>
    </row>
    <row r="189" spans="1:9" ht="20.149999999999999" customHeight="1" x14ac:dyDescent="0.35">
      <c r="A189" s="23">
        <v>23</v>
      </c>
      <c r="B189" s="14" t="s">
        <v>1187</v>
      </c>
      <c r="C189" s="14">
        <f>data!AL77</f>
        <v>0</v>
      </c>
      <c r="D189" s="14">
        <f>data!AM77</f>
        <v>0</v>
      </c>
      <c r="E189" s="14">
        <f>data!AN77</f>
        <v>0</v>
      </c>
      <c r="F189" s="14">
        <f>data!AO77</f>
        <v>0</v>
      </c>
      <c r="G189" s="14">
        <f>data!AP77</f>
        <v>0</v>
      </c>
      <c r="H189" s="14">
        <f>data!AQ77</f>
        <v>0</v>
      </c>
      <c r="I189" s="14">
        <f>data!AR77</f>
        <v>0</v>
      </c>
    </row>
    <row r="190" spans="1:9" ht="20.149999999999999" customHeight="1" x14ac:dyDescent="0.35">
      <c r="A190" s="23">
        <v>24</v>
      </c>
      <c r="B190" s="14" t="s">
        <v>1188</v>
      </c>
      <c r="C190" s="14">
        <f>data!AL78</f>
        <v>0</v>
      </c>
      <c r="D190" s="14">
        <f>data!AM78</f>
        <v>0</v>
      </c>
      <c r="E190" s="14">
        <f>data!AN78</f>
        <v>0</v>
      </c>
      <c r="F190" s="14">
        <f>data!AO78</f>
        <v>0</v>
      </c>
      <c r="G190" s="14">
        <f>data!AP78</f>
        <v>5854</v>
      </c>
      <c r="H190" s="14">
        <f>data!AQ78</f>
        <v>0</v>
      </c>
      <c r="I190" s="14">
        <f>data!AR78</f>
        <v>0</v>
      </c>
    </row>
    <row r="191" spans="1:9" ht="20.149999999999999" customHeight="1" x14ac:dyDescent="0.35">
      <c r="A191" s="23">
        <v>25</v>
      </c>
      <c r="B191" s="14" t="s">
        <v>1189</v>
      </c>
      <c r="C191" s="14">
        <f>data!AL79</f>
        <v>0</v>
      </c>
      <c r="D191" s="14">
        <f>data!AM79</f>
        <v>0</v>
      </c>
      <c r="E191" s="14">
        <f>data!AN79</f>
        <v>0</v>
      </c>
      <c r="F191" s="14">
        <f>data!AO79</f>
        <v>0</v>
      </c>
      <c r="G191" s="14">
        <f>data!AP79</f>
        <v>0</v>
      </c>
      <c r="H191" s="14">
        <f>data!AQ79</f>
        <v>0</v>
      </c>
      <c r="I191" s="14">
        <f>data!AR79</f>
        <v>0</v>
      </c>
    </row>
    <row r="192" spans="1:9" ht="20.149999999999999" customHeight="1" x14ac:dyDescent="0.35">
      <c r="A192" s="23">
        <v>26</v>
      </c>
      <c r="B192" s="14" t="s">
        <v>252</v>
      </c>
      <c r="C192" s="26">
        <f>data!AL80</f>
        <v>0</v>
      </c>
      <c r="D192" s="26">
        <f>data!AM80</f>
        <v>0</v>
      </c>
      <c r="E192" s="26">
        <f>data!AN80</f>
        <v>0</v>
      </c>
      <c r="F192" s="26">
        <f>data!AO80</f>
        <v>0</v>
      </c>
      <c r="G192" s="26">
        <f>data!AP80</f>
        <v>15.406192307692308</v>
      </c>
      <c r="H192" s="26">
        <f>data!AQ80</f>
        <v>0</v>
      </c>
      <c r="I192" s="26">
        <f>data!AR80</f>
        <v>174.25440384615399</v>
      </c>
    </row>
    <row r="193" spans="1:9" ht="20.149999999999999" customHeight="1" x14ac:dyDescent="0.35">
      <c r="A193" s="4" t="s">
        <v>1173</v>
      </c>
      <c r="B193" s="5"/>
      <c r="C193" s="5"/>
      <c r="D193" s="6"/>
      <c r="E193" s="5"/>
      <c r="F193" s="5"/>
      <c r="G193" s="5"/>
      <c r="H193" s="5"/>
      <c r="I193" s="4"/>
    </row>
    <row r="194" spans="1:9" ht="20.149999999999999" customHeight="1" x14ac:dyDescent="0.35">
      <c r="A194" s="77"/>
      <c r="B194" s="77"/>
      <c r="C194" s="77"/>
      <c r="D194" s="45"/>
      <c r="E194" s="77"/>
      <c r="F194" s="77"/>
      <c r="G194" s="77"/>
      <c r="H194" s="77"/>
      <c r="I194" s="168" t="s">
        <v>1210</v>
      </c>
    </row>
    <row r="195" spans="1:9" ht="20.149999999999999" customHeight="1" x14ac:dyDescent="0.35">
      <c r="A195" s="45"/>
      <c r="B195" s="77"/>
      <c r="C195" s="77"/>
      <c r="D195" s="77"/>
      <c r="E195" s="77"/>
      <c r="F195" s="77"/>
      <c r="G195" s="77"/>
      <c r="H195" s="77"/>
      <c r="I195" s="77"/>
    </row>
    <row r="196" spans="1:9" ht="20.149999999999999" customHeight="1" x14ac:dyDescent="0.35">
      <c r="A196" s="79" t="str">
        <f>"HOSPITAL NAME: "&amp;data!C84</f>
        <v>HOSPITAL NAME: EvergreenHealth Kirkland / King Country Public Hos #2</v>
      </c>
      <c r="B196" s="77"/>
      <c r="C196" s="77"/>
      <c r="D196" s="77"/>
      <c r="E196" s="77"/>
      <c r="F196" s="77"/>
      <c r="G196" s="80"/>
      <c r="H196" s="79" t="str">
        <f>"FYE: "&amp;data!C82</f>
        <v>FYE: 12/31/2021</v>
      </c>
    </row>
    <row r="197" spans="1:9" ht="20.149999999999999" customHeight="1" x14ac:dyDescent="0.35">
      <c r="A197" s="23">
        <v>1</v>
      </c>
      <c r="B197" s="14" t="s">
        <v>209</v>
      </c>
      <c r="C197" s="15" t="s">
        <v>52</v>
      </c>
      <c r="D197" s="15" t="s">
        <v>53</v>
      </c>
      <c r="E197" s="15" t="s">
        <v>54</v>
      </c>
      <c r="F197" s="15" t="s">
        <v>55</v>
      </c>
      <c r="G197" s="15" t="s">
        <v>56</v>
      </c>
      <c r="H197" s="15" t="s">
        <v>57</v>
      </c>
      <c r="I197" s="15" t="s">
        <v>58</v>
      </c>
    </row>
    <row r="198" spans="1:9" ht="20.149999999999999" customHeight="1" x14ac:dyDescent="0.35">
      <c r="A198" s="81">
        <v>2</v>
      </c>
      <c r="B198" s="17" t="s">
        <v>1175</v>
      </c>
      <c r="C198" s="25"/>
      <c r="D198" s="18" t="s">
        <v>130</v>
      </c>
      <c r="E198" s="18" t="s">
        <v>131</v>
      </c>
      <c r="F198" s="18" t="s">
        <v>132</v>
      </c>
      <c r="G198" s="18" t="s">
        <v>1211</v>
      </c>
      <c r="H198" s="18" t="s">
        <v>134</v>
      </c>
      <c r="I198" s="25"/>
    </row>
    <row r="199" spans="1:9" ht="20.149999999999999" customHeight="1" x14ac:dyDescent="0.35">
      <c r="A199" s="82"/>
      <c r="B199" s="83"/>
      <c r="C199" s="18" t="s">
        <v>129</v>
      </c>
      <c r="D199" s="18" t="s">
        <v>1212</v>
      </c>
      <c r="E199" s="18" t="s">
        <v>1213</v>
      </c>
      <c r="F199" s="18" t="s">
        <v>186</v>
      </c>
      <c r="G199" s="18" t="s">
        <v>201</v>
      </c>
      <c r="H199" s="18" t="s">
        <v>188</v>
      </c>
      <c r="I199" s="18" t="s">
        <v>135</v>
      </c>
    </row>
    <row r="200" spans="1:9" ht="20.149999999999999" customHeight="1" x14ac:dyDescent="0.35">
      <c r="A200" s="23">
        <v>3</v>
      </c>
      <c r="B200" s="14" t="s">
        <v>1179</v>
      </c>
      <c r="C200" s="15" t="s">
        <v>226</v>
      </c>
      <c r="D200" s="15" t="s">
        <v>1212</v>
      </c>
      <c r="E200" s="15" t="s">
        <v>228</v>
      </c>
      <c r="F200" s="212"/>
      <c r="G200" s="212"/>
      <c r="H200" s="212"/>
      <c r="I200" s="15" t="s">
        <v>231</v>
      </c>
    </row>
    <row r="201" spans="1:9" ht="20.149999999999999" customHeight="1" x14ac:dyDescent="0.35">
      <c r="A201" s="23">
        <v>4</v>
      </c>
      <c r="B201" s="14" t="s">
        <v>233</v>
      </c>
      <c r="C201" s="14">
        <f>data!AS59</f>
        <v>0</v>
      </c>
      <c r="D201" s="14">
        <f>data!AT59</f>
        <v>0</v>
      </c>
      <c r="E201" s="14">
        <f>data!AU59</f>
        <v>0</v>
      </c>
      <c r="F201" s="212"/>
      <c r="G201" s="212"/>
      <c r="H201" s="212"/>
      <c r="I201" s="14">
        <f>data!AY59</f>
        <v>0</v>
      </c>
    </row>
    <row r="202" spans="1:9" ht="20.149999999999999" customHeight="1" x14ac:dyDescent="0.35">
      <c r="A202" s="23">
        <v>5</v>
      </c>
      <c r="B202" s="14" t="s">
        <v>234</v>
      </c>
      <c r="C202" s="26">
        <f>data!AS60</f>
        <v>0</v>
      </c>
      <c r="D202" s="26">
        <f>data!AT60</f>
        <v>0</v>
      </c>
      <c r="E202" s="26">
        <f>data!AU60</f>
        <v>0</v>
      </c>
      <c r="F202" s="26">
        <f>data!AV60</f>
        <v>23.774870192307695</v>
      </c>
      <c r="G202" s="26">
        <f>data!AW60</f>
        <v>19.243591346153849</v>
      </c>
      <c r="H202" s="26">
        <f>data!AX60</f>
        <v>0</v>
      </c>
      <c r="I202" s="26">
        <f>data!AY60</f>
        <v>0</v>
      </c>
    </row>
    <row r="203" spans="1:9" ht="20.149999999999999" customHeight="1" x14ac:dyDescent="0.35">
      <c r="A203" s="23">
        <v>6</v>
      </c>
      <c r="B203" s="14" t="s">
        <v>235</v>
      </c>
      <c r="C203" s="14">
        <f>data!AS61</f>
        <v>0</v>
      </c>
      <c r="D203" s="14">
        <f>data!AT61</f>
        <v>0</v>
      </c>
      <c r="E203" s="14">
        <f>data!AU61</f>
        <v>0</v>
      </c>
      <c r="F203" s="14">
        <f>data!AV61</f>
        <v>2606072.9800000004</v>
      </c>
      <c r="G203" s="14">
        <f>data!AW61</f>
        <v>1575940.53</v>
      </c>
      <c r="H203" s="14">
        <f>data!AX61</f>
        <v>158.1</v>
      </c>
      <c r="I203" s="14">
        <f>data!AY61</f>
        <v>0</v>
      </c>
    </row>
    <row r="204" spans="1:9" ht="20.149999999999999" customHeight="1" x14ac:dyDescent="0.35">
      <c r="A204" s="23">
        <v>7</v>
      </c>
      <c r="B204" s="14" t="s">
        <v>3</v>
      </c>
      <c r="C204" s="14">
        <f>data!AS62</f>
        <v>0</v>
      </c>
      <c r="D204" s="14">
        <f>data!AT62</f>
        <v>0</v>
      </c>
      <c r="E204" s="14">
        <f>data!AU62</f>
        <v>0</v>
      </c>
      <c r="F204" s="14">
        <f>data!AV62</f>
        <v>593427</v>
      </c>
      <c r="G204" s="14">
        <f>data!AW62</f>
        <v>318366</v>
      </c>
      <c r="H204" s="14">
        <f>data!AX62</f>
        <v>0</v>
      </c>
      <c r="I204" s="14">
        <f>data!AY62</f>
        <v>0</v>
      </c>
    </row>
    <row r="205" spans="1:9" ht="20.149999999999999" customHeight="1" x14ac:dyDescent="0.35">
      <c r="A205" s="23">
        <v>8</v>
      </c>
      <c r="B205" s="14" t="s">
        <v>236</v>
      </c>
      <c r="C205" s="14">
        <f>data!AS63</f>
        <v>0</v>
      </c>
      <c r="D205" s="14">
        <f>data!AT63</f>
        <v>0</v>
      </c>
      <c r="E205" s="14">
        <f>data!AU63</f>
        <v>0</v>
      </c>
      <c r="F205" s="14">
        <f>data!AV63</f>
        <v>0</v>
      </c>
      <c r="G205" s="14">
        <f>data!AW63</f>
        <v>493308.35000000003</v>
      </c>
      <c r="H205" s="14">
        <f>data!AX63</f>
        <v>0</v>
      </c>
      <c r="I205" s="14">
        <f>data!AY63</f>
        <v>0</v>
      </c>
    </row>
    <row r="206" spans="1:9" ht="20.149999999999999" customHeight="1" x14ac:dyDescent="0.35">
      <c r="A206" s="23">
        <v>9</v>
      </c>
      <c r="B206" s="14" t="s">
        <v>237</v>
      </c>
      <c r="C206" s="14">
        <f>data!AS64</f>
        <v>0</v>
      </c>
      <c r="D206" s="14">
        <f>data!AT64</f>
        <v>0</v>
      </c>
      <c r="E206" s="14">
        <f>data!AU64</f>
        <v>0</v>
      </c>
      <c r="F206" s="14">
        <f>data!AV64</f>
        <v>8539724.660000002</v>
      </c>
      <c r="G206" s="14">
        <f>data!AW64</f>
        <v>49655.570000000007</v>
      </c>
      <c r="H206" s="14">
        <f>data!AX64</f>
        <v>315249.93</v>
      </c>
      <c r="I206" s="14">
        <f>data!AY64</f>
        <v>0</v>
      </c>
    </row>
    <row r="207" spans="1:9" ht="20.149999999999999" customHeight="1" x14ac:dyDescent="0.35">
      <c r="A207" s="23">
        <v>10</v>
      </c>
      <c r="B207" s="14" t="s">
        <v>444</v>
      </c>
      <c r="C207" s="14">
        <f>data!AS65</f>
        <v>0</v>
      </c>
      <c r="D207" s="14">
        <f>data!AT65</f>
        <v>0</v>
      </c>
      <c r="E207" s="14">
        <f>data!AU65</f>
        <v>0</v>
      </c>
      <c r="F207" s="14">
        <f>data!AV65</f>
        <v>5301.16</v>
      </c>
      <c r="G207" s="14">
        <f>data!AW65</f>
        <v>740.48</v>
      </c>
      <c r="H207" s="14">
        <f>data!AX65</f>
        <v>2920.87</v>
      </c>
      <c r="I207" s="14">
        <f>data!AY65</f>
        <v>0</v>
      </c>
    </row>
    <row r="208" spans="1:9" ht="20.149999999999999" customHeight="1" x14ac:dyDescent="0.35">
      <c r="A208" s="23">
        <v>11</v>
      </c>
      <c r="B208" s="14" t="s">
        <v>445</v>
      </c>
      <c r="C208" s="14">
        <f>data!AS66</f>
        <v>0</v>
      </c>
      <c r="D208" s="14">
        <f>data!AT66</f>
        <v>0</v>
      </c>
      <c r="E208" s="14">
        <f>data!AU66</f>
        <v>0</v>
      </c>
      <c r="F208" s="14">
        <f>data!AV66</f>
        <v>615185.67000000004</v>
      </c>
      <c r="G208" s="14">
        <f>data!AW66</f>
        <v>78969.659999999989</v>
      </c>
      <c r="H208" s="14">
        <f>data!AX66</f>
        <v>2578688.4000000004</v>
      </c>
      <c r="I208" s="14">
        <f>data!AY66</f>
        <v>0</v>
      </c>
    </row>
    <row r="209" spans="1:9" ht="20.149999999999999" customHeight="1" x14ac:dyDescent="0.35">
      <c r="A209" s="23">
        <v>12</v>
      </c>
      <c r="B209" s="14" t="s">
        <v>6</v>
      </c>
      <c r="C209" s="14">
        <f>data!AS67</f>
        <v>0</v>
      </c>
      <c r="D209" s="14">
        <f>data!AT67</f>
        <v>0</v>
      </c>
      <c r="E209" s="14">
        <f>data!AU67</f>
        <v>0</v>
      </c>
      <c r="F209" s="14">
        <f>data!AV67</f>
        <v>221789</v>
      </c>
      <c r="G209" s="14">
        <f>data!AW67</f>
        <v>32088</v>
      </c>
      <c r="H209" s="14">
        <f>data!AX67</f>
        <v>0</v>
      </c>
      <c r="I209" s="14">
        <f>data!AY67</f>
        <v>0</v>
      </c>
    </row>
    <row r="210" spans="1:9" ht="20.149999999999999" customHeight="1" x14ac:dyDescent="0.35">
      <c r="A210" s="23">
        <v>13</v>
      </c>
      <c r="B210" s="14" t="s">
        <v>474</v>
      </c>
      <c r="C210" s="14">
        <f>data!AS68</f>
        <v>0</v>
      </c>
      <c r="D210" s="14">
        <f>data!AT68</f>
        <v>0</v>
      </c>
      <c r="E210" s="14">
        <f>data!AU68</f>
        <v>0</v>
      </c>
      <c r="F210" s="14">
        <f>data!AV68</f>
        <v>0</v>
      </c>
      <c r="G210" s="14">
        <f>data!AW68</f>
        <v>13658.64</v>
      </c>
      <c r="H210" s="14">
        <f>data!AX68</f>
        <v>1832557.44</v>
      </c>
      <c r="I210" s="14">
        <f>data!AY68</f>
        <v>0</v>
      </c>
    </row>
    <row r="211" spans="1:9" ht="20.149999999999999" customHeight="1" x14ac:dyDescent="0.35">
      <c r="A211" s="23">
        <v>14</v>
      </c>
      <c r="B211" s="14" t="s">
        <v>241</v>
      </c>
      <c r="C211" s="14">
        <f>data!AS69</f>
        <v>0</v>
      </c>
      <c r="D211" s="14">
        <f>data!AT69</f>
        <v>0</v>
      </c>
      <c r="E211" s="14">
        <f>data!AU69</f>
        <v>0</v>
      </c>
      <c r="F211" s="14">
        <f>data!AV69</f>
        <v>5404.29</v>
      </c>
      <c r="G211" s="14">
        <f>data!AW69</f>
        <v>76617.429999999993</v>
      </c>
      <c r="H211" s="14">
        <f>data!AX69</f>
        <v>1991.69</v>
      </c>
      <c r="I211" s="14">
        <f>data!AY69</f>
        <v>0</v>
      </c>
    </row>
    <row r="212" spans="1:9" ht="20.149999999999999" customHeight="1" x14ac:dyDescent="0.35">
      <c r="A212" s="23">
        <v>15</v>
      </c>
      <c r="B212" s="14" t="s">
        <v>242</v>
      </c>
      <c r="C212" s="14">
        <f>-data!AS70</f>
        <v>0</v>
      </c>
      <c r="D212" s="14">
        <f>-data!AT70</f>
        <v>0</v>
      </c>
      <c r="E212" s="14">
        <f>-data!AU70</f>
        <v>0</v>
      </c>
      <c r="F212" s="14">
        <f>-data!AV70</f>
        <v>-8247510.29</v>
      </c>
      <c r="G212" s="14">
        <f>-data!AW70</f>
        <v>-4231695.1500000004</v>
      </c>
      <c r="H212" s="14">
        <f>-data!AX70</f>
        <v>0</v>
      </c>
      <c r="I212" s="14">
        <f>-data!AY70</f>
        <v>0</v>
      </c>
    </row>
    <row r="213" spans="1:9" ht="20.149999999999999" customHeight="1" x14ac:dyDescent="0.35">
      <c r="A213" s="23">
        <v>16</v>
      </c>
      <c r="B213" s="48" t="s">
        <v>1180</v>
      </c>
      <c r="C213" s="14">
        <f>data!AS71</f>
        <v>0</v>
      </c>
      <c r="D213" s="14">
        <f>data!AT71</f>
        <v>0</v>
      </c>
      <c r="E213" s="14">
        <f>data!AU71</f>
        <v>0</v>
      </c>
      <c r="F213" s="14">
        <f>data!AV71</f>
        <v>4339394.4700000016</v>
      </c>
      <c r="G213" s="14">
        <f>data!AW71</f>
        <v>-1592350.4900000002</v>
      </c>
      <c r="H213" s="14">
        <f>data!AX71</f>
        <v>4731566.4300000006</v>
      </c>
      <c r="I213" s="14">
        <f>data!AY71</f>
        <v>0</v>
      </c>
    </row>
    <row r="214" spans="1:9" ht="20.149999999999999" customHeight="1" x14ac:dyDescent="0.35">
      <c r="A214" s="23">
        <v>17</v>
      </c>
      <c r="B214" s="14" t="s">
        <v>244</v>
      </c>
      <c r="C214" s="211"/>
      <c r="D214" s="211"/>
      <c r="E214" s="211"/>
      <c r="F214" s="211"/>
      <c r="G214" s="211"/>
      <c r="H214" s="211"/>
      <c r="I214" s="211"/>
    </row>
    <row r="215" spans="1:9" ht="20.149999999999999" customHeight="1" x14ac:dyDescent="0.35">
      <c r="A215" s="23">
        <v>18</v>
      </c>
      <c r="B215" s="14" t="s">
        <v>1181</v>
      </c>
      <c r="C215" s="48">
        <f>+data!M710</f>
        <v>0</v>
      </c>
      <c r="D215" s="48">
        <f>+data!M711</f>
        <v>0</v>
      </c>
      <c r="E215" s="48">
        <f>+data!M712</f>
        <v>0</v>
      </c>
      <c r="F215" s="48">
        <f>+data!M713</f>
        <v>2999392</v>
      </c>
      <c r="G215" s="22"/>
      <c r="H215" s="14"/>
      <c r="I215" s="14"/>
    </row>
    <row r="216" spans="1:9" ht="20.149999999999999" customHeight="1" x14ac:dyDescent="0.35">
      <c r="A216" s="23">
        <v>19</v>
      </c>
      <c r="B216" s="48" t="s">
        <v>1182</v>
      </c>
      <c r="C216" s="14">
        <f>data!AS73</f>
        <v>0</v>
      </c>
      <c r="D216" s="14">
        <f>data!AT73</f>
        <v>0</v>
      </c>
      <c r="E216" s="14">
        <f>data!AU73</f>
        <v>0</v>
      </c>
      <c r="F216" s="14">
        <f>data!AV73</f>
        <v>3522698.24</v>
      </c>
      <c r="G216" s="213" t="str">
        <f>IF(data!AW73&gt;0,data!AW73,"")</f>
        <v>x</v>
      </c>
      <c r="H216" s="213" t="str">
        <f>IF(data!AX73&gt;0,data!AX73,"")</f>
        <v>x</v>
      </c>
      <c r="I216" s="213" t="str">
        <f>IF(data!AY73&gt;0,data!AY73,"")</f>
        <v>x</v>
      </c>
    </row>
    <row r="217" spans="1:9" ht="20.149999999999999" customHeight="1" x14ac:dyDescent="0.35">
      <c r="A217" s="23">
        <v>20</v>
      </c>
      <c r="B217" s="48" t="s">
        <v>1183</v>
      </c>
      <c r="C217" s="14">
        <f>data!AS74</f>
        <v>0</v>
      </c>
      <c r="D217" s="14">
        <f>data!AT74</f>
        <v>0</v>
      </c>
      <c r="E217" s="14">
        <f>data!AU74</f>
        <v>0</v>
      </c>
      <c r="F217" s="14">
        <f>data!AV74</f>
        <v>10717738.050000001</v>
      </c>
      <c r="G217" s="213" t="str">
        <f>IF(data!AW74&gt;0,data!AW74,"")</f>
        <v>x</v>
      </c>
      <c r="H217" s="213" t="str">
        <f>IF(data!AX74&gt;0,data!AX74,"")</f>
        <v>x</v>
      </c>
      <c r="I217" s="213" t="str">
        <f>IF(data!AY74&gt;0,data!AY74,"")</f>
        <v>x</v>
      </c>
    </row>
    <row r="218" spans="1:9" ht="20.149999999999999" customHeight="1" x14ac:dyDescent="0.35">
      <c r="A218" s="23">
        <v>21</v>
      </c>
      <c r="B218" s="48" t="s">
        <v>1184</v>
      </c>
      <c r="C218" s="14">
        <f>data!AS75</f>
        <v>0</v>
      </c>
      <c r="D218" s="14">
        <f>data!AT75</f>
        <v>0</v>
      </c>
      <c r="E218" s="14">
        <f>data!AU75</f>
        <v>0</v>
      </c>
      <c r="F218" s="14">
        <f>data!AV75</f>
        <v>14240436.290000001</v>
      </c>
      <c r="G218" s="213" t="str">
        <f>IF(data!AW75&gt;0,data!AW75,"")</f>
        <v>x</v>
      </c>
      <c r="H218" s="213" t="str">
        <f>IF(data!AX75&gt;0,data!AX75,"")</f>
        <v>x</v>
      </c>
      <c r="I218" s="213" t="str">
        <f>IF(data!AY75&gt;0,data!AY75,"")</f>
        <v>x</v>
      </c>
    </row>
    <row r="219" spans="1:9" ht="20.149999999999999" customHeight="1" x14ac:dyDescent="0.35">
      <c r="A219" s="23" t="s">
        <v>1185</v>
      </c>
      <c r="B219" s="60"/>
      <c r="C219" s="211"/>
      <c r="D219" s="211"/>
      <c r="E219" s="211"/>
      <c r="F219" s="211"/>
      <c r="G219" s="211"/>
      <c r="H219" s="211"/>
      <c r="I219" s="211"/>
    </row>
    <row r="220" spans="1:9" ht="20.149999999999999" customHeight="1" x14ac:dyDescent="0.35">
      <c r="A220" s="23">
        <v>22</v>
      </c>
      <c r="B220" s="14" t="s">
        <v>1186</v>
      </c>
      <c r="C220" s="14">
        <f>data!AS76</f>
        <v>0</v>
      </c>
      <c r="D220" s="14">
        <f>data!AT76</f>
        <v>0</v>
      </c>
      <c r="E220" s="14">
        <f>data!AU76</f>
        <v>0</v>
      </c>
      <c r="F220" s="14">
        <f>data!AV76</f>
        <v>13135</v>
      </c>
      <c r="G220" s="14">
        <f>data!AW76</f>
        <v>3911</v>
      </c>
      <c r="H220" s="14">
        <f>data!AX76</f>
        <v>0</v>
      </c>
      <c r="I220" s="85">
        <f>data!AY76</f>
        <v>0</v>
      </c>
    </row>
    <row r="221" spans="1:9" ht="20.149999999999999" customHeight="1" x14ac:dyDescent="0.35">
      <c r="A221" s="23">
        <v>23</v>
      </c>
      <c r="B221" s="14" t="s">
        <v>1187</v>
      </c>
      <c r="C221" s="14">
        <f>data!AS77</f>
        <v>0</v>
      </c>
      <c r="D221" s="14">
        <f>data!AT77</f>
        <v>0</v>
      </c>
      <c r="E221" s="14">
        <f>data!AU77</f>
        <v>0</v>
      </c>
      <c r="F221" s="14">
        <f>data!AV77</f>
        <v>0</v>
      </c>
      <c r="G221" s="14">
        <f>data!AW77</f>
        <v>0</v>
      </c>
      <c r="H221" s="213" t="str">
        <f>IF(data!AX77&gt;0,data!AX77,"")</f>
        <v>x</v>
      </c>
      <c r="I221" s="213" t="str">
        <f>IF(data!AY77&gt;0,data!AY77,"")</f>
        <v>x</v>
      </c>
    </row>
    <row r="222" spans="1:9" ht="20.149999999999999" customHeight="1" x14ac:dyDescent="0.35">
      <c r="A222" s="23">
        <v>24</v>
      </c>
      <c r="B222" s="14" t="s">
        <v>1188</v>
      </c>
      <c r="C222" s="14">
        <f>data!AS78</f>
        <v>0</v>
      </c>
      <c r="D222" s="14">
        <f>data!AT78</f>
        <v>0</v>
      </c>
      <c r="E222" s="14">
        <f>data!AU78</f>
        <v>0</v>
      </c>
      <c r="F222" s="14">
        <f>data!AV78</f>
        <v>1673</v>
      </c>
      <c r="G222" s="14">
        <f>data!AW78</f>
        <v>498</v>
      </c>
      <c r="H222" s="213" t="str">
        <f>IF(data!AX78&gt;0,data!AX78,"")</f>
        <v>x</v>
      </c>
      <c r="I222" s="213" t="str">
        <f>IF(data!AY78&gt;0,data!AY78,"")</f>
        <v>x</v>
      </c>
    </row>
    <row r="223" spans="1:9" ht="20.149999999999999" customHeight="1" x14ac:dyDescent="0.35">
      <c r="A223" s="23">
        <v>25</v>
      </c>
      <c r="B223" s="14" t="s">
        <v>1189</v>
      </c>
      <c r="C223" s="14">
        <f>data!AS79</f>
        <v>0</v>
      </c>
      <c r="D223" s="14">
        <f>data!AT79</f>
        <v>0</v>
      </c>
      <c r="E223" s="14">
        <f>data!AU79</f>
        <v>0</v>
      </c>
      <c r="F223" s="14">
        <f>data!AV79</f>
        <v>28262.06</v>
      </c>
      <c r="G223" s="14">
        <f>data!AW79</f>
        <v>0</v>
      </c>
      <c r="H223" s="213" t="str">
        <f>IF(data!AX79&gt;0,data!AX79,"")</f>
        <v>x</v>
      </c>
      <c r="I223" s="213" t="str">
        <f>IF(data!AY79&gt;0,data!AY79,"")</f>
        <v>x</v>
      </c>
    </row>
    <row r="224" spans="1:9" ht="20.149999999999999" customHeight="1" x14ac:dyDescent="0.35">
      <c r="A224" s="23">
        <v>26</v>
      </c>
      <c r="B224" s="14" t="s">
        <v>252</v>
      </c>
      <c r="C224" s="26">
        <f>data!AS80</f>
        <v>0</v>
      </c>
      <c r="D224" s="26">
        <f>data!AT80</f>
        <v>0</v>
      </c>
      <c r="E224" s="26">
        <f>data!AU80</f>
        <v>0</v>
      </c>
      <c r="F224" s="26">
        <f>data!AV80</f>
        <v>64.618427884615386</v>
      </c>
      <c r="G224" s="213" t="str">
        <f>IF(data!AW80&gt;0,data!AW80,"")</f>
        <v>x</v>
      </c>
      <c r="H224" s="213" t="str">
        <f>IF(data!AX80&gt;0,data!AX80,"")</f>
        <v>x</v>
      </c>
      <c r="I224" s="213" t="str">
        <f>IF(data!AY80&gt;0,data!AY80,"")</f>
        <v>x</v>
      </c>
    </row>
    <row r="225" spans="1:9" ht="20.149999999999999" customHeight="1" x14ac:dyDescent="0.35">
      <c r="A225" s="4" t="s">
        <v>1173</v>
      </c>
      <c r="B225" s="5"/>
      <c r="C225" s="5"/>
      <c r="D225" s="6"/>
      <c r="E225" s="5"/>
      <c r="F225" s="5"/>
      <c r="G225" s="5"/>
      <c r="H225" s="5"/>
      <c r="I225" s="4"/>
    </row>
    <row r="226" spans="1:9" ht="20.149999999999999" customHeight="1" x14ac:dyDescent="0.35">
      <c r="A226" s="77"/>
      <c r="B226" s="77"/>
      <c r="C226" s="77"/>
      <c r="D226" s="45"/>
      <c r="E226" s="77"/>
      <c r="F226" s="77"/>
      <c r="G226" s="77"/>
      <c r="H226" s="77"/>
      <c r="I226" s="168" t="s">
        <v>1214</v>
      </c>
    </row>
    <row r="227" spans="1:9" ht="20.149999999999999" customHeight="1" x14ac:dyDescent="0.35">
      <c r="A227" s="45"/>
      <c r="B227" s="77"/>
      <c r="C227" s="77"/>
      <c r="D227" s="77"/>
      <c r="E227" s="77"/>
      <c r="F227" s="77"/>
      <c r="G227" s="77"/>
      <c r="H227" s="77"/>
      <c r="I227" s="77"/>
    </row>
    <row r="228" spans="1:9" ht="20.149999999999999" customHeight="1" x14ac:dyDescent="0.35">
      <c r="A228" s="79" t="str">
        <f>"HOSPITAL NAME: "&amp;data!C84</f>
        <v>HOSPITAL NAME: EvergreenHealth Kirkland / King Country Public Hos #2</v>
      </c>
      <c r="B228" s="77"/>
      <c r="C228" s="77"/>
      <c r="D228" s="77"/>
      <c r="E228" s="77"/>
      <c r="F228" s="77"/>
      <c r="G228" s="80"/>
      <c r="H228" s="79" t="str">
        <f>"FYE: "&amp;data!C82</f>
        <v>FYE: 12/31/2021</v>
      </c>
    </row>
    <row r="229" spans="1:9" ht="20.149999999999999" customHeight="1" x14ac:dyDescent="0.35">
      <c r="A229" s="23">
        <v>1</v>
      </c>
      <c r="B229" s="14" t="s">
        <v>209</v>
      </c>
      <c r="C229" s="15" t="s">
        <v>59</v>
      </c>
      <c r="D229" s="15" t="s">
        <v>60</v>
      </c>
      <c r="E229" s="15" t="s">
        <v>61</v>
      </c>
      <c r="F229" s="15" t="s">
        <v>62</v>
      </c>
      <c r="G229" s="15" t="s">
        <v>63</v>
      </c>
      <c r="H229" s="15" t="s">
        <v>64</v>
      </c>
      <c r="I229" s="15" t="s">
        <v>65</v>
      </c>
    </row>
    <row r="230" spans="1:9" ht="20.149999999999999" customHeight="1" x14ac:dyDescent="0.35">
      <c r="A230" s="81">
        <v>2</v>
      </c>
      <c r="B230" s="17" t="s">
        <v>1175</v>
      </c>
      <c r="C230" s="25"/>
      <c r="D230" s="18" t="s">
        <v>137</v>
      </c>
      <c r="E230" s="18" t="s">
        <v>138</v>
      </c>
      <c r="F230" s="18" t="s">
        <v>108</v>
      </c>
      <c r="G230" s="25"/>
      <c r="H230" s="25"/>
      <c r="I230" s="25"/>
    </row>
    <row r="231" spans="1:9" ht="20.149999999999999" customHeight="1" x14ac:dyDescent="0.35">
      <c r="A231" s="82"/>
      <c r="B231" s="83"/>
      <c r="C231" s="18" t="s">
        <v>136</v>
      </c>
      <c r="D231" s="18" t="s">
        <v>189</v>
      </c>
      <c r="E231" s="18" t="s">
        <v>1215</v>
      </c>
      <c r="F231" s="18" t="s">
        <v>1216</v>
      </c>
      <c r="G231" s="18" t="s">
        <v>139</v>
      </c>
      <c r="H231" s="18" t="s">
        <v>140</v>
      </c>
      <c r="I231" s="18" t="s">
        <v>141</v>
      </c>
    </row>
    <row r="232" spans="1:9" ht="20.149999999999999" customHeight="1" x14ac:dyDescent="0.35">
      <c r="A232" s="23">
        <v>3</v>
      </c>
      <c r="B232" s="14" t="s">
        <v>1179</v>
      </c>
      <c r="C232" s="15" t="s">
        <v>1217</v>
      </c>
      <c r="D232" s="15" t="s">
        <v>1218</v>
      </c>
      <c r="E232" s="212"/>
      <c r="F232" s="212"/>
      <c r="G232" s="212"/>
      <c r="H232" s="15" t="s">
        <v>232</v>
      </c>
      <c r="I232" s="212"/>
    </row>
    <row r="233" spans="1:9" ht="20.149999999999999" customHeight="1" x14ac:dyDescent="0.35">
      <c r="A233" s="23">
        <v>4</v>
      </c>
      <c r="B233" s="14" t="s">
        <v>233</v>
      </c>
      <c r="C233" s="14">
        <f>data!AZ59</f>
        <v>707764.02</v>
      </c>
      <c r="D233" s="14">
        <f>data!BA59</f>
        <v>0</v>
      </c>
      <c r="E233" s="212"/>
      <c r="F233" s="212"/>
      <c r="G233" s="212"/>
      <c r="H233" s="14">
        <f>data!BE59</f>
        <v>679195</v>
      </c>
      <c r="I233" s="212"/>
    </row>
    <row r="234" spans="1:9" ht="20.149999999999999" customHeight="1" x14ac:dyDescent="0.35">
      <c r="A234" s="23">
        <v>5</v>
      </c>
      <c r="B234" s="14" t="s">
        <v>234</v>
      </c>
      <c r="C234" s="26">
        <f>data!AZ60</f>
        <v>56.438894230769229</v>
      </c>
      <c r="D234" s="26">
        <f>data!BA60</f>
        <v>5.5083990384615378</v>
      </c>
      <c r="E234" s="26">
        <f>data!BB60</f>
        <v>0.10122115384615384</v>
      </c>
      <c r="F234" s="26">
        <f>data!BC60</f>
        <v>7.1135384615384609</v>
      </c>
      <c r="G234" s="26">
        <f>data!BD60</f>
        <v>34.859500000000004</v>
      </c>
      <c r="H234" s="26">
        <f>data!BE60</f>
        <v>51.061663461538451</v>
      </c>
      <c r="I234" s="26">
        <f>data!BF60</f>
        <v>98.279062499999995</v>
      </c>
    </row>
    <row r="235" spans="1:9" ht="20.149999999999999" customHeight="1" x14ac:dyDescent="0.35">
      <c r="A235" s="23">
        <v>6</v>
      </c>
      <c r="B235" s="14" t="s">
        <v>235</v>
      </c>
      <c r="C235" s="14">
        <f>data!AZ61</f>
        <v>2788991.2199999997</v>
      </c>
      <c r="D235" s="14">
        <f>data!BA61</f>
        <v>273322.33</v>
      </c>
      <c r="E235" s="14">
        <f>data!BB61</f>
        <v>12261.220000000001</v>
      </c>
      <c r="F235" s="14">
        <f>data!BC61</f>
        <v>341743.33</v>
      </c>
      <c r="G235" s="14">
        <f>data!BD61</f>
        <v>2259222.5699999998</v>
      </c>
      <c r="H235" s="14">
        <f>data!BE61</f>
        <v>3652522.63</v>
      </c>
      <c r="I235" s="14">
        <f>data!BF61</f>
        <v>4799762.6899999995</v>
      </c>
    </row>
    <row r="236" spans="1:9" ht="20.149999999999999" customHeight="1" x14ac:dyDescent="0.35">
      <c r="A236" s="23">
        <v>7</v>
      </c>
      <c r="B236" s="14" t="s">
        <v>3</v>
      </c>
      <c r="C236" s="14">
        <f>data!AZ62</f>
        <v>0</v>
      </c>
      <c r="D236" s="14">
        <f>data!BA62</f>
        <v>946130</v>
      </c>
      <c r="E236" s="14">
        <f>data!BB62</f>
        <v>106661</v>
      </c>
      <c r="F236" s="14">
        <f>data!BC62</f>
        <v>76723</v>
      </c>
      <c r="G236" s="14">
        <f>data!BD62</f>
        <v>685705</v>
      </c>
      <c r="H236" s="14">
        <f>data!BE62</f>
        <v>1032324</v>
      </c>
      <c r="I236" s="14">
        <f>data!BF62</f>
        <v>1659715</v>
      </c>
    </row>
    <row r="237" spans="1:9" ht="20.149999999999999" customHeight="1" x14ac:dyDescent="0.35">
      <c r="A237" s="23">
        <v>8</v>
      </c>
      <c r="B237" s="14" t="s">
        <v>236</v>
      </c>
      <c r="C237" s="14">
        <f>data!AZ63</f>
        <v>0</v>
      </c>
      <c r="D237" s="14">
        <f>data!BA63</f>
        <v>0</v>
      </c>
      <c r="E237" s="14">
        <f>data!BB63</f>
        <v>0</v>
      </c>
      <c r="F237" s="14">
        <f>data!BC63</f>
        <v>0</v>
      </c>
      <c r="G237" s="14">
        <f>data!BD63</f>
        <v>0</v>
      </c>
      <c r="H237" s="14">
        <f>data!BE63</f>
        <v>0</v>
      </c>
      <c r="I237" s="14">
        <f>data!BF63</f>
        <v>0</v>
      </c>
    </row>
    <row r="238" spans="1:9" ht="20.149999999999999" customHeight="1" x14ac:dyDescent="0.35">
      <c r="A238" s="23">
        <v>9</v>
      </c>
      <c r="B238" s="14" t="s">
        <v>237</v>
      </c>
      <c r="C238" s="14">
        <f>data!AZ64</f>
        <v>1818940.5299999996</v>
      </c>
      <c r="D238" s="14">
        <f>data!BA64</f>
        <v>15909.02</v>
      </c>
      <c r="E238" s="14">
        <f>data!BB64</f>
        <v>0</v>
      </c>
      <c r="F238" s="14">
        <f>data!BC64</f>
        <v>2324.5100000000002</v>
      </c>
      <c r="G238" s="14">
        <f>data!BD64</f>
        <v>45717.869999999995</v>
      </c>
      <c r="H238" s="14">
        <f>data!BE64</f>
        <v>552214.86</v>
      </c>
      <c r="I238" s="14">
        <f>data!BF64</f>
        <v>366961.32999999996</v>
      </c>
    </row>
    <row r="239" spans="1:9" ht="20.149999999999999" customHeight="1" x14ac:dyDescent="0.35">
      <c r="A239" s="23">
        <v>10</v>
      </c>
      <c r="B239" s="14" t="s">
        <v>444</v>
      </c>
      <c r="C239" s="14">
        <f>data!AZ65</f>
        <v>0</v>
      </c>
      <c r="D239" s="14">
        <f>data!BA65</f>
        <v>0</v>
      </c>
      <c r="E239" s="14">
        <f>data!BB65</f>
        <v>0</v>
      </c>
      <c r="F239" s="14">
        <f>data!BC65</f>
        <v>0</v>
      </c>
      <c r="G239" s="14">
        <f>data!BD65</f>
        <v>315.16000000000003</v>
      </c>
      <c r="H239" s="14">
        <f>data!BE65</f>
        <v>4356712.59</v>
      </c>
      <c r="I239" s="14">
        <f>data!BF65</f>
        <v>501154.56</v>
      </c>
    </row>
    <row r="240" spans="1:9" ht="20.149999999999999" customHeight="1" x14ac:dyDescent="0.35">
      <c r="A240" s="23">
        <v>11</v>
      </c>
      <c r="B240" s="14" t="s">
        <v>445</v>
      </c>
      <c r="C240" s="14">
        <f>data!AZ66</f>
        <v>345790.20999999996</v>
      </c>
      <c r="D240" s="14">
        <f>data!BA66</f>
        <v>0</v>
      </c>
      <c r="E240" s="14">
        <f>data!BB66</f>
        <v>240000</v>
      </c>
      <c r="F240" s="14">
        <f>data!BC66</f>
        <v>0</v>
      </c>
      <c r="G240" s="14">
        <f>data!BD66</f>
        <v>18749.329999999998</v>
      </c>
      <c r="H240" s="14">
        <f>data!BE66</f>
        <v>2821913.05</v>
      </c>
      <c r="I240" s="14">
        <f>data!BF66</f>
        <v>-988694.98</v>
      </c>
    </row>
    <row r="241" spans="1:9" ht="20.149999999999999" customHeight="1" x14ac:dyDescent="0.35">
      <c r="A241" s="23">
        <v>12</v>
      </c>
      <c r="B241" s="14" t="s">
        <v>6</v>
      </c>
      <c r="C241" s="14">
        <f>data!AZ67</f>
        <v>765007</v>
      </c>
      <c r="D241" s="14">
        <f>data!BA67</f>
        <v>6319</v>
      </c>
      <c r="E241" s="14">
        <f>data!BB67</f>
        <v>17585</v>
      </c>
      <c r="F241" s="14">
        <f>data!BC67</f>
        <v>70165</v>
      </c>
      <c r="G241" s="14">
        <f>data!BD67</f>
        <v>6212410</v>
      </c>
      <c r="H241" s="14">
        <f>data!BE67</f>
        <v>235820</v>
      </c>
      <c r="I241" s="14">
        <f>data!BF67</f>
        <v>42419</v>
      </c>
    </row>
    <row r="242" spans="1:9" ht="20.149999999999999" customHeight="1" x14ac:dyDescent="0.35">
      <c r="A242" s="23">
        <v>13</v>
      </c>
      <c r="B242" s="14" t="s">
        <v>474</v>
      </c>
      <c r="C242" s="14">
        <f>data!AZ68</f>
        <v>14074.69</v>
      </c>
      <c r="D242" s="14">
        <f>data!BA68</f>
        <v>0</v>
      </c>
      <c r="E242" s="14">
        <f>data!BB68</f>
        <v>0</v>
      </c>
      <c r="F242" s="14">
        <f>data!BC68</f>
        <v>0</v>
      </c>
      <c r="G242" s="14">
        <f>data!BD68</f>
        <v>0</v>
      </c>
      <c r="H242" s="14">
        <f>data!BE68</f>
        <v>3840990.79</v>
      </c>
      <c r="I242" s="14">
        <f>data!BF68</f>
        <v>0</v>
      </c>
    </row>
    <row r="243" spans="1:9" ht="20.149999999999999" customHeight="1" x14ac:dyDescent="0.35">
      <c r="A243" s="23">
        <v>14</v>
      </c>
      <c r="B243" s="14" t="s">
        <v>241</v>
      </c>
      <c r="C243" s="14">
        <f>data!AZ69</f>
        <v>19.75</v>
      </c>
      <c r="D243" s="14">
        <f>data!BA69</f>
        <v>0</v>
      </c>
      <c r="E243" s="14">
        <f>data!BB69</f>
        <v>0</v>
      </c>
      <c r="F243" s="14">
        <f>data!BC69</f>
        <v>0</v>
      </c>
      <c r="G243" s="14">
        <f>data!BD69</f>
        <v>258870.65000000002</v>
      </c>
      <c r="H243" s="14">
        <f>data!BE69</f>
        <v>193488.41</v>
      </c>
      <c r="I243" s="14">
        <f>data!BF69</f>
        <v>1646.76</v>
      </c>
    </row>
    <row r="244" spans="1:9" ht="20.149999999999999" customHeight="1" x14ac:dyDescent="0.35">
      <c r="A244" s="23">
        <v>15</v>
      </c>
      <c r="B244" s="14" t="s">
        <v>242</v>
      </c>
      <c r="C244" s="14">
        <f>-data!AZ70</f>
        <v>-1607808.92</v>
      </c>
      <c r="D244" s="14">
        <f>-data!BA70</f>
        <v>0</v>
      </c>
      <c r="E244" s="14">
        <f>-data!BB70</f>
        <v>0</v>
      </c>
      <c r="F244" s="14">
        <f>-data!BC70</f>
        <v>0</v>
      </c>
      <c r="G244" s="14">
        <f>-data!BD70</f>
        <v>0</v>
      </c>
      <c r="H244" s="14">
        <f>-data!BE70</f>
        <v>-6955847.5599999996</v>
      </c>
      <c r="I244" s="14">
        <f>-data!BF70</f>
        <v>-7052.28</v>
      </c>
    </row>
    <row r="245" spans="1:9" ht="20.149999999999999" customHeight="1" x14ac:dyDescent="0.35">
      <c r="A245" s="23">
        <v>16</v>
      </c>
      <c r="B245" s="48" t="s">
        <v>1180</v>
      </c>
      <c r="C245" s="14">
        <f>data!AZ71</f>
        <v>4125014.4799999995</v>
      </c>
      <c r="D245" s="14">
        <f>data!BA71</f>
        <v>1241680.3500000001</v>
      </c>
      <c r="E245" s="14">
        <f>data!BB71</f>
        <v>376507.22</v>
      </c>
      <c r="F245" s="14">
        <f>data!BC71</f>
        <v>490955.84</v>
      </c>
      <c r="G245" s="14">
        <f>data!BD71</f>
        <v>9480990.5800000001</v>
      </c>
      <c r="H245" s="14">
        <f>data!BE71</f>
        <v>9730138.7699999996</v>
      </c>
      <c r="I245" s="14">
        <f>data!BF71</f>
        <v>6375912.0799999991</v>
      </c>
    </row>
    <row r="246" spans="1:9" ht="20.149999999999999" customHeight="1" x14ac:dyDescent="0.35">
      <c r="A246" s="23">
        <v>17</v>
      </c>
      <c r="B246" s="14" t="s">
        <v>244</v>
      </c>
      <c r="C246" s="211"/>
      <c r="D246" s="211"/>
      <c r="E246" s="211"/>
      <c r="F246" s="211"/>
      <c r="G246" s="211"/>
      <c r="H246" s="211"/>
      <c r="I246" s="211"/>
    </row>
    <row r="247" spans="1:9" ht="20.149999999999999" customHeight="1" x14ac:dyDescent="0.35">
      <c r="A247" s="23">
        <v>18</v>
      </c>
      <c r="B247" s="14" t="s">
        <v>1181</v>
      </c>
      <c r="C247" s="14"/>
      <c r="D247" s="14"/>
      <c r="E247" s="14"/>
      <c r="F247" s="14"/>
      <c r="G247" s="14"/>
      <c r="H247" s="14"/>
      <c r="I247" s="14"/>
    </row>
    <row r="248" spans="1:9" ht="20.149999999999999" customHeight="1" x14ac:dyDescent="0.35">
      <c r="A248" s="23">
        <v>19</v>
      </c>
      <c r="B248" s="48" t="s">
        <v>1182</v>
      </c>
      <c r="C248" s="213" t="str">
        <f>IF(data!AZ73&gt;0,data!AZ73,"")</f>
        <v>x</v>
      </c>
      <c r="D248" s="213" t="str">
        <f>IF(data!BA73&gt;0,data!BA73,"")</f>
        <v>x</v>
      </c>
      <c r="E248" s="213" t="str">
        <f>IF(data!BB73&gt;0,data!BB73,"")</f>
        <v>x</v>
      </c>
      <c r="F248" s="213" t="str">
        <f>IF(data!BC73&gt;0,data!BC73,"")</f>
        <v>x</v>
      </c>
      <c r="G248" s="213" t="str">
        <f>IF(data!BD73&gt;0,data!BD73,"")</f>
        <v>x</v>
      </c>
      <c r="H248" s="213" t="str">
        <f>IF(data!BE73&gt;0,data!BE73,"")</f>
        <v>x</v>
      </c>
      <c r="I248" s="213" t="str">
        <f>IF(data!BF73&gt;0,data!BF73,"")</f>
        <v>x</v>
      </c>
    </row>
    <row r="249" spans="1:9" ht="20.149999999999999" customHeight="1" x14ac:dyDescent="0.35">
      <c r="A249" s="23">
        <v>20</v>
      </c>
      <c r="B249" s="48" t="s">
        <v>1183</v>
      </c>
      <c r="C249" s="213" t="str">
        <f>IF(data!AZ74&gt;0,data!AZ74,"")</f>
        <v>x</v>
      </c>
      <c r="D249" s="213" t="str">
        <f>IF(data!BA74&gt;0,data!BA74,"")</f>
        <v>x</v>
      </c>
      <c r="E249" s="213" t="str">
        <f>IF(data!BB74&gt;0,data!BB74,"")</f>
        <v>x</v>
      </c>
      <c r="F249" s="213" t="str">
        <f>IF(data!BC74&gt;0,data!BC74,"")</f>
        <v>x</v>
      </c>
      <c r="G249" s="213" t="str">
        <f>IF(data!BD74&gt;0,data!BD74,"")</f>
        <v>x</v>
      </c>
      <c r="H249" s="213" t="str">
        <f>IF(data!BE74&gt;0,data!BE74,"")</f>
        <v>x</v>
      </c>
      <c r="I249" s="213" t="str">
        <f>IF(data!BF74&gt;0,data!BF74,"")</f>
        <v>x</v>
      </c>
    </row>
    <row r="250" spans="1:9" ht="20.149999999999999" customHeight="1" x14ac:dyDescent="0.35">
      <c r="A250" s="23">
        <v>21</v>
      </c>
      <c r="B250" s="48" t="s">
        <v>1184</v>
      </c>
      <c r="C250" s="213" t="str">
        <f>IF(data!AZ75&gt;0,data!AZ75,"")</f>
        <v>x</v>
      </c>
      <c r="D250" s="213" t="str">
        <f>IF(data!BA75&gt;0,data!BA75,"")</f>
        <v>x</v>
      </c>
      <c r="E250" s="213" t="str">
        <f>IF(data!BB75&gt;0,data!BB75,"")</f>
        <v>x</v>
      </c>
      <c r="F250" s="213" t="str">
        <f>IF(data!BC75&gt;0,data!BC75,"")</f>
        <v>x</v>
      </c>
      <c r="G250" s="213" t="str">
        <f>IF(data!BD75&gt;0,data!BD75,"")</f>
        <v>x</v>
      </c>
      <c r="H250" s="213" t="str">
        <f>IF(data!BE75&gt;0,data!BE75,"")</f>
        <v>x</v>
      </c>
      <c r="I250" s="213" t="str">
        <f>IF(data!BF75&gt;0,data!BF75,"")</f>
        <v>x</v>
      </c>
    </row>
    <row r="251" spans="1:9" ht="20.149999999999999" customHeight="1" x14ac:dyDescent="0.35">
      <c r="A251" s="23" t="s">
        <v>1185</v>
      </c>
      <c r="B251" s="60"/>
      <c r="C251" s="211"/>
      <c r="D251" s="211"/>
      <c r="E251" s="211"/>
      <c r="F251" s="211"/>
      <c r="G251" s="211"/>
      <c r="H251" s="211"/>
      <c r="I251" s="211"/>
    </row>
    <row r="252" spans="1:9" ht="20.149999999999999" customHeight="1" x14ac:dyDescent="0.35">
      <c r="A252" s="23">
        <v>22</v>
      </c>
      <c r="B252" s="14" t="s">
        <v>1186</v>
      </c>
      <c r="C252" s="85">
        <f>data!AZ76</f>
        <v>23579</v>
      </c>
      <c r="D252" s="85">
        <f>data!BA76</f>
        <v>3589</v>
      </c>
      <c r="E252" s="85">
        <f>data!BB76</f>
        <v>0</v>
      </c>
      <c r="F252" s="85">
        <f>data!BC76</f>
        <v>0</v>
      </c>
      <c r="G252" s="85">
        <f>data!BD76</f>
        <v>9077</v>
      </c>
      <c r="H252" s="85">
        <f>data!BE76</f>
        <v>679195</v>
      </c>
      <c r="I252" s="85">
        <f>data!BF76</f>
        <v>9629</v>
      </c>
    </row>
    <row r="253" spans="1:9" ht="20.149999999999999" customHeight="1" x14ac:dyDescent="0.35">
      <c r="A253" s="23">
        <v>23</v>
      </c>
      <c r="B253" s="14" t="s">
        <v>1187</v>
      </c>
      <c r="C253" s="85">
        <f>data!AZ77</f>
        <v>0</v>
      </c>
      <c r="D253" s="85">
        <f>data!BA77</f>
        <v>0</v>
      </c>
      <c r="E253" s="85">
        <f>data!BB77</f>
        <v>0</v>
      </c>
      <c r="F253" s="85">
        <f>data!BC77</f>
        <v>0</v>
      </c>
      <c r="G253" s="213" t="str">
        <f>IF(data!BD77&gt;0,data!BD77,"")</f>
        <v>x</v>
      </c>
      <c r="H253" s="213" t="str">
        <f>IF(data!BE77&gt;0,data!BE77,"")</f>
        <v>x</v>
      </c>
      <c r="I253" s="85">
        <f>data!BF77</f>
        <v>0</v>
      </c>
    </row>
    <row r="254" spans="1:9" ht="20.149999999999999" customHeight="1" x14ac:dyDescent="0.35">
      <c r="A254" s="23">
        <v>24</v>
      </c>
      <c r="B254" s="14" t="s">
        <v>1188</v>
      </c>
      <c r="C254" s="213" t="str">
        <f>IF(data!AZ78&gt;0,data!AZ78,"")</f>
        <v>x</v>
      </c>
      <c r="D254" s="85">
        <f>data!BA78</f>
        <v>457</v>
      </c>
      <c r="E254" s="85">
        <f>data!BB78</f>
        <v>0</v>
      </c>
      <c r="F254" s="85">
        <f>data!BC78</f>
        <v>0</v>
      </c>
      <c r="G254" s="213" t="str">
        <f>IF(data!BD78&gt;0,data!BD78,"")</f>
        <v>x</v>
      </c>
      <c r="H254" s="213" t="str">
        <f>IF(data!BE78&gt;0,data!BE78,"")</f>
        <v>x</v>
      </c>
      <c r="I254" s="213" t="str">
        <f>IF(data!BF78&gt;0,data!BF78,"")</f>
        <v>x</v>
      </c>
    </row>
    <row r="255" spans="1:9" ht="20.149999999999999" customHeight="1" x14ac:dyDescent="0.35">
      <c r="A255" s="23">
        <v>25</v>
      </c>
      <c r="B255" s="14" t="s">
        <v>1189</v>
      </c>
      <c r="C255" s="213" t="str">
        <f>IF(data!AZ79&gt;0,data!AZ79,"")</f>
        <v>x</v>
      </c>
      <c r="D255" s="213" t="str">
        <f>IF(data!BA79&gt;0,data!BA79,"")</f>
        <v>x</v>
      </c>
      <c r="E255" s="85">
        <f>data!BB79</f>
        <v>0</v>
      </c>
      <c r="F255" s="85">
        <f>data!BC79</f>
        <v>0</v>
      </c>
      <c r="G255" s="213" t="str">
        <f>IF(data!BD79&gt;0,data!BD79,"")</f>
        <v>x</v>
      </c>
      <c r="H255" s="213" t="str">
        <f>IF(data!BE79&gt;0,data!BE79,"")</f>
        <v>x</v>
      </c>
      <c r="I255" s="213" t="str">
        <f>IF(data!BF79&gt;0,data!BF79,"")</f>
        <v>x</v>
      </c>
    </row>
    <row r="256" spans="1:9" ht="20.149999999999999" customHeight="1" x14ac:dyDescent="0.35">
      <c r="A256" s="23">
        <v>26</v>
      </c>
      <c r="B256" s="14" t="s">
        <v>252</v>
      </c>
      <c r="C256" s="213" t="str">
        <f>IF(data!AZ80&gt;0,data!AZ80,"")</f>
        <v>x</v>
      </c>
      <c r="D256" s="213" t="str">
        <f>IF(data!BA80&gt;0,data!BA80,"")</f>
        <v>x</v>
      </c>
      <c r="E256" s="213" t="str">
        <f>IF(data!BB80&gt;0,data!BB80,"")</f>
        <v>x</v>
      </c>
      <c r="F256" s="213" t="str">
        <f>IF(data!BC80&gt;0,data!BC80,"")</f>
        <v>x</v>
      </c>
      <c r="G256" s="213" t="str">
        <f>IF(data!BD80&gt;0,data!BD80,"")</f>
        <v>x</v>
      </c>
      <c r="H256" s="213" t="str">
        <f>IF(data!BE80&gt;0,data!BE80,"")</f>
        <v>x</v>
      </c>
      <c r="I256" s="213" t="str">
        <f>IF(data!BF80&gt;0,data!BF80,"")</f>
        <v>x</v>
      </c>
    </row>
    <row r="257" spans="1:9" ht="20.149999999999999" customHeight="1" x14ac:dyDescent="0.35">
      <c r="A257" s="4" t="s">
        <v>1173</v>
      </c>
      <c r="B257" s="5"/>
      <c r="C257" s="5"/>
      <c r="D257" s="6"/>
      <c r="E257" s="5"/>
      <c r="F257" s="5"/>
      <c r="G257" s="5"/>
      <c r="H257" s="5"/>
      <c r="I257" s="4"/>
    </row>
    <row r="258" spans="1:9" ht="20.149999999999999" customHeight="1" x14ac:dyDescent="0.35">
      <c r="A258" s="77"/>
      <c r="C258" s="77"/>
      <c r="D258" s="45"/>
      <c r="E258" s="77"/>
      <c r="F258" s="77"/>
      <c r="G258" s="77"/>
      <c r="H258" s="77"/>
      <c r="I258" s="168" t="s">
        <v>1219</v>
      </c>
    </row>
    <row r="259" spans="1:9" ht="20.149999999999999" customHeight="1" x14ac:dyDescent="0.35">
      <c r="A259" s="45"/>
      <c r="B259" s="77"/>
      <c r="C259" s="77"/>
      <c r="D259" s="77"/>
      <c r="E259" s="77"/>
      <c r="F259" s="77"/>
      <c r="G259" s="77"/>
      <c r="H259" s="77"/>
      <c r="I259" s="77"/>
    </row>
    <row r="260" spans="1:9" ht="20.149999999999999" customHeight="1" x14ac:dyDescent="0.35">
      <c r="A260" s="79" t="str">
        <f>"HOSPITAL NAME: "&amp;data!C84</f>
        <v>HOSPITAL NAME: EvergreenHealth Kirkland / King Country Public Hos #2</v>
      </c>
      <c r="B260" s="77"/>
      <c r="C260" s="77"/>
      <c r="D260" s="77"/>
      <c r="E260" s="77"/>
      <c r="F260" s="77"/>
      <c r="G260" s="80"/>
      <c r="H260" s="79" t="str">
        <f>"FYE: "&amp;data!C82</f>
        <v>FYE: 12/31/2021</v>
      </c>
    </row>
    <row r="261" spans="1:9" ht="20.149999999999999" customHeight="1" x14ac:dyDescent="0.35">
      <c r="A261" s="23">
        <v>1</v>
      </c>
      <c r="B261" s="14" t="s">
        <v>209</v>
      </c>
      <c r="C261" s="15" t="s">
        <v>66</v>
      </c>
      <c r="D261" s="15" t="s">
        <v>67</v>
      </c>
      <c r="E261" s="15" t="s">
        <v>68</v>
      </c>
      <c r="F261" s="15" t="s">
        <v>69</v>
      </c>
      <c r="G261" s="15" t="s">
        <v>70</v>
      </c>
      <c r="H261" s="15" t="s">
        <v>71</v>
      </c>
      <c r="I261" s="15" t="s">
        <v>72</v>
      </c>
    </row>
    <row r="262" spans="1:9" ht="20.149999999999999" customHeight="1" x14ac:dyDescent="0.35">
      <c r="A262" s="81">
        <v>2</v>
      </c>
      <c r="B262" s="17" t="s">
        <v>1175</v>
      </c>
      <c r="C262" s="18" t="s">
        <v>1220</v>
      </c>
      <c r="D262" s="18" t="s">
        <v>143</v>
      </c>
      <c r="E262" s="18" t="s">
        <v>144</v>
      </c>
      <c r="F262" s="25"/>
      <c r="G262" s="18" t="s">
        <v>146</v>
      </c>
      <c r="H262" s="25"/>
      <c r="I262" s="18" t="s">
        <v>132</v>
      </c>
    </row>
    <row r="263" spans="1:9" ht="20.149999999999999" customHeight="1" x14ac:dyDescent="0.35">
      <c r="A263" s="82"/>
      <c r="B263" s="83"/>
      <c r="C263" s="18" t="s">
        <v>1221</v>
      </c>
      <c r="D263" s="18" t="s">
        <v>190</v>
      </c>
      <c r="E263" s="18" t="s">
        <v>169</v>
      </c>
      <c r="F263" s="18" t="s">
        <v>145</v>
      </c>
      <c r="G263" s="18" t="s">
        <v>191</v>
      </c>
      <c r="H263" s="18" t="s">
        <v>147</v>
      </c>
      <c r="I263" s="18" t="s">
        <v>1222</v>
      </c>
    </row>
    <row r="264" spans="1:9" ht="20.149999999999999" customHeight="1" x14ac:dyDescent="0.35">
      <c r="A264" s="23">
        <v>3</v>
      </c>
      <c r="B264" s="14" t="s">
        <v>1179</v>
      </c>
      <c r="C264" s="212"/>
      <c r="D264" s="212"/>
      <c r="E264" s="212"/>
      <c r="F264" s="212"/>
      <c r="G264" s="212"/>
      <c r="H264" s="212"/>
      <c r="I264" s="212"/>
    </row>
    <row r="265" spans="1:9" ht="20.149999999999999" customHeight="1" x14ac:dyDescent="0.35">
      <c r="A265" s="23">
        <v>4</v>
      </c>
      <c r="B265" s="14" t="s">
        <v>233</v>
      </c>
      <c r="C265" s="212"/>
      <c r="D265" s="212"/>
      <c r="E265" s="212"/>
      <c r="F265" s="212"/>
      <c r="G265" s="212"/>
      <c r="H265" s="212"/>
      <c r="I265" s="212"/>
    </row>
    <row r="266" spans="1:9" ht="20.149999999999999" customHeight="1" x14ac:dyDescent="0.35">
      <c r="A266" s="23">
        <v>5</v>
      </c>
      <c r="B266" s="14" t="s">
        <v>234</v>
      </c>
      <c r="C266" s="26">
        <f>data!BG60</f>
        <v>16.723533653846157</v>
      </c>
      <c r="D266" s="26">
        <f>data!BH60</f>
        <v>127.90365384615383</v>
      </c>
      <c r="E266" s="26">
        <f>data!BI60</f>
        <v>69.6574375</v>
      </c>
      <c r="F266" s="26">
        <f>data!BJ60</f>
        <v>18.586802884615384</v>
      </c>
      <c r="G266" s="26">
        <f>data!BK60</f>
        <v>89.747956730769246</v>
      </c>
      <c r="H266" s="26">
        <f>data!BL60</f>
        <v>79.46995673076924</v>
      </c>
      <c r="I266" s="26">
        <f>data!BM60</f>
        <v>43.784673076923085</v>
      </c>
    </row>
    <row r="267" spans="1:9" ht="20.149999999999999" customHeight="1" x14ac:dyDescent="0.35">
      <c r="A267" s="23">
        <v>6</v>
      </c>
      <c r="B267" s="14" t="s">
        <v>235</v>
      </c>
      <c r="C267" s="14">
        <f>data!BG61</f>
        <v>1138215.5900000001</v>
      </c>
      <c r="D267" s="14">
        <f>data!BH61</f>
        <v>14678572.199999999</v>
      </c>
      <c r="E267" s="14">
        <f>data!BI61</f>
        <v>5979338.2000000002</v>
      </c>
      <c r="F267" s="14">
        <f>data!BJ61</f>
        <v>1701640.6400000001</v>
      </c>
      <c r="G267" s="14">
        <f>data!BK61</f>
        <v>5422716.96</v>
      </c>
      <c r="H267" s="14">
        <f>data!BL61</f>
        <v>4456023.25</v>
      </c>
      <c r="I267" s="14">
        <f>data!BM61</f>
        <v>3725959.21</v>
      </c>
    </row>
    <row r="268" spans="1:9" ht="20.149999999999999" customHeight="1" x14ac:dyDescent="0.35">
      <c r="A268" s="23">
        <v>7</v>
      </c>
      <c r="B268" s="14" t="s">
        <v>3</v>
      </c>
      <c r="C268" s="14">
        <f>data!BG62</f>
        <v>265747</v>
      </c>
      <c r="D268" s="14">
        <f>data!BH62</f>
        <v>3145415</v>
      </c>
      <c r="E268" s="14">
        <f>data!BI62</f>
        <v>502295</v>
      </c>
      <c r="F268" s="14">
        <f>data!BJ62</f>
        <v>405245</v>
      </c>
      <c r="G268" s="14">
        <f>data!BK62</f>
        <v>1581471</v>
      </c>
      <c r="H268" s="14">
        <f>data!BL62</f>
        <v>1338986</v>
      </c>
      <c r="I268" s="14">
        <f>data!BM62</f>
        <v>958868</v>
      </c>
    </row>
    <row r="269" spans="1:9" ht="20.149999999999999" customHeight="1" x14ac:dyDescent="0.35">
      <c r="A269" s="23">
        <v>8</v>
      </c>
      <c r="B269" s="14" t="s">
        <v>236</v>
      </c>
      <c r="C269" s="14">
        <f>data!BG63</f>
        <v>0</v>
      </c>
      <c r="D269" s="14">
        <f>data!BH63</f>
        <v>-5000</v>
      </c>
      <c r="E269" s="14">
        <f>data!BI63</f>
        <v>760826.63</v>
      </c>
      <c r="F269" s="14">
        <f>data!BJ63</f>
        <v>302071.56000000006</v>
      </c>
      <c r="G269" s="14">
        <f>data!BK63</f>
        <v>234692.83000000002</v>
      </c>
      <c r="H269" s="14">
        <f>data!BL63</f>
        <v>0</v>
      </c>
      <c r="I269" s="14">
        <f>data!BM63</f>
        <v>41780</v>
      </c>
    </row>
    <row r="270" spans="1:9" ht="20.149999999999999" customHeight="1" x14ac:dyDescent="0.35">
      <c r="A270" s="23">
        <v>9</v>
      </c>
      <c r="B270" s="14" t="s">
        <v>237</v>
      </c>
      <c r="C270" s="14">
        <f>data!BG64</f>
        <v>87011.829999999987</v>
      </c>
      <c r="D270" s="14">
        <f>data!BH64</f>
        <v>1100197.5299999998</v>
      </c>
      <c r="E270" s="14">
        <f>data!BI64</f>
        <v>617463.45000000019</v>
      </c>
      <c r="F270" s="14">
        <f>data!BJ64</f>
        <v>21456.950000000004</v>
      </c>
      <c r="G270" s="14">
        <f>data!BK64</f>
        <v>52961.51</v>
      </c>
      <c r="H270" s="14">
        <f>data!BL64</f>
        <v>59066.040000000008</v>
      </c>
      <c r="I270" s="14">
        <f>data!BM64</f>
        <v>9895.23</v>
      </c>
    </row>
    <row r="271" spans="1:9" ht="20.149999999999999" customHeight="1" x14ac:dyDescent="0.35">
      <c r="A271" s="23">
        <v>10</v>
      </c>
      <c r="B271" s="14" t="s">
        <v>444</v>
      </c>
      <c r="C271" s="14">
        <f>data!BG65</f>
        <v>1208073.1200000001</v>
      </c>
      <c r="D271" s="14">
        <f>data!BH65</f>
        <v>6322.93</v>
      </c>
      <c r="E271" s="14">
        <f>data!BI65</f>
        <v>11925.74</v>
      </c>
      <c r="F271" s="14">
        <f>data!BJ65</f>
        <v>0</v>
      </c>
      <c r="G271" s="14">
        <f>data!BK65</f>
        <v>0</v>
      </c>
      <c r="H271" s="14">
        <f>data!BL65</f>
        <v>695.52</v>
      </c>
      <c r="I271" s="14">
        <f>data!BM65</f>
        <v>0</v>
      </c>
    </row>
    <row r="272" spans="1:9" ht="20.149999999999999" customHeight="1" x14ac:dyDescent="0.35">
      <c r="A272" s="23">
        <v>11</v>
      </c>
      <c r="B272" s="14" t="s">
        <v>445</v>
      </c>
      <c r="C272" s="14">
        <f>data!BG66</f>
        <v>247412</v>
      </c>
      <c r="D272" s="14">
        <f>data!BH66</f>
        <v>14913579.439999999</v>
      </c>
      <c r="E272" s="14">
        <f>data!BI66</f>
        <v>1372302.2599999995</v>
      </c>
      <c r="F272" s="14">
        <f>data!BJ66</f>
        <v>40894.9</v>
      </c>
      <c r="G272" s="14">
        <f>data!BK66</f>
        <v>2983317.5000000005</v>
      </c>
      <c r="H272" s="14">
        <f>data!BL66</f>
        <v>543860.59</v>
      </c>
      <c r="I272" s="14">
        <f>data!BM66</f>
        <v>558434.53</v>
      </c>
    </row>
    <row r="273" spans="1:9" ht="20.149999999999999" customHeight="1" x14ac:dyDescent="0.35">
      <c r="A273" s="23">
        <v>12</v>
      </c>
      <c r="B273" s="14" t="s">
        <v>6</v>
      </c>
      <c r="C273" s="14">
        <f>data!BG67</f>
        <v>0</v>
      </c>
      <c r="D273" s="14">
        <f>data!BH67</f>
        <v>6079695</v>
      </c>
      <c r="E273" s="14">
        <f>data!BI67</f>
        <v>210321</v>
      </c>
      <c r="F273" s="14">
        <f>data!BJ67</f>
        <v>29692</v>
      </c>
      <c r="G273" s="14">
        <f>data!BK67</f>
        <v>47755</v>
      </c>
      <c r="H273" s="14">
        <f>data!BL67</f>
        <v>28504</v>
      </c>
      <c r="I273" s="14">
        <f>data!BM67</f>
        <v>15340</v>
      </c>
    </row>
    <row r="274" spans="1:9" ht="20.149999999999999" customHeight="1" x14ac:dyDescent="0.35">
      <c r="A274" s="23">
        <v>13</v>
      </c>
      <c r="B274" s="14" t="s">
        <v>474</v>
      </c>
      <c r="C274" s="14">
        <f>data!BG68</f>
        <v>6732.91</v>
      </c>
      <c r="D274" s="14">
        <f>data!BH68</f>
        <v>0</v>
      </c>
      <c r="E274" s="14">
        <f>data!BI68</f>
        <v>1212765.31</v>
      </c>
      <c r="F274" s="14">
        <f>data!BJ68</f>
        <v>0</v>
      </c>
      <c r="G274" s="14">
        <f>data!BK68</f>
        <v>836.96</v>
      </c>
      <c r="H274" s="14">
        <f>data!BL68</f>
        <v>0</v>
      </c>
      <c r="I274" s="14">
        <f>data!BM68</f>
        <v>0</v>
      </c>
    </row>
    <row r="275" spans="1:9" ht="20.149999999999999" customHeight="1" x14ac:dyDescent="0.35">
      <c r="A275" s="23">
        <v>14</v>
      </c>
      <c r="B275" s="14" t="s">
        <v>241</v>
      </c>
      <c r="C275" s="14">
        <f>data!BG69</f>
        <v>0</v>
      </c>
      <c r="D275" s="14">
        <f>data!BH69</f>
        <v>35976.549999999996</v>
      </c>
      <c r="E275" s="14">
        <f>data!BI69</f>
        <v>26537.799999999996</v>
      </c>
      <c r="F275" s="14">
        <f>data!BJ69</f>
        <v>1265</v>
      </c>
      <c r="G275" s="14">
        <f>data!BK69</f>
        <v>1343.7</v>
      </c>
      <c r="H275" s="14">
        <f>data!BL69</f>
        <v>918.99</v>
      </c>
      <c r="I275" s="14">
        <f>data!BM69</f>
        <v>35474.550000000003</v>
      </c>
    </row>
    <row r="276" spans="1:9" ht="20.149999999999999" customHeight="1" x14ac:dyDescent="0.35">
      <c r="A276" s="23">
        <v>15</v>
      </c>
      <c r="B276" s="14" t="s">
        <v>242</v>
      </c>
      <c r="C276" s="14">
        <f>-data!BG70</f>
        <v>-256298.79</v>
      </c>
      <c r="D276" s="14">
        <f>-data!BH70</f>
        <v>-63819.4</v>
      </c>
      <c r="E276" s="14">
        <f>-data!BI70</f>
        <v>-4088789.61</v>
      </c>
      <c r="F276" s="14">
        <f>-data!BJ70</f>
        <v>-146174.70000000001</v>
      </c>
      <c r="G276" s="14">
        <f>-data!BK70</f>
        <v>-20020</v>
      </c>
      <c r="H276" s="14">
        <f>-data!BL70</f>
        <v>-502767.01</v>
      </c>
      <c r="I276" s="14">
        <f>-data!BM70</f>
        <v>0</v>
      </c>
    </row>
    <row r="277" spans="1:9" ht="20.149999999999999" customHeight="1" x14ac:dyDescent="0.35">
      <c r="A277" s="23">
        <v>16</v>
      </c>
      <c r="B277" s="48" t="s">
        <v>1180</v>
      </c>
      <c r="C277" s="14">
        <f>data!BG71</f>
        <v>2696893.66</v>
      </c>
      <c r="D277" s="14">
        <f>data!BH71</f>
        <v>39890939.25</v>
      </c>
      <c r="E277" s="14">
        <f>data!BI71</f>
        <v>6604985.7800000012</v>
      </c>
      <c r="F277" s="14">
        <f>data!BJ71</f>
        <v>2356091.35</v>
      </c>
      <c r="G277" s="14">
        <f>data!BK71</f>
        <v>10305075.460000001</v>
      </c>
      <c r="H277" s="14">
        <f>data!BL71</f>
        <v>5925287.3799999999</v>
      </c>
      <c r="I277" s="14">
        <f>data!BM71</f>
        <v>5345751.5200000005</v>
      </c>
    </row>
    <row r="278" spans="1:9" ht="20.149999999999999" customHeight="1" x14ac:dyDescent="0.35">
      <c r="A278" s="23">
        <v>17</v>
      </c>
      <c r="B278" s="14" t="s">
        <v>244</v>
      </c>
      <c r="C278" s="211"/>
      <c r="D278" s="211"/>
      <c r="E278" s="211"/>
      <c r="F278" s="211"/>
      <c r="G278" s="211"/>
      <c r="H278" s="211"/>
      <c r="I278" s="211"/>
    </row>
    <row r="279" spans="1:9" ht="20.149999999999999" customHeight="1" x14ac:dyDescent="0.35">
      <c r="A279" s="23">
        <v>18</v>
      </c>
      <c r="B279" s="14" t="s">
        <v>1181</v>
      </c>
      <c r="C279" s="14"/>
      <c r="D279" s="14"/>
      <c r="E279" s="14"/>
      <c r="F279" s="14"/>
      <c r="G279" s="14"/>
      <c r="H279" s="14"/>
      <c r="I279" s="14"/>
    </row>
    <row r="280" spans="1:9" ht="20.149999999999999" customHeight="1" x14ac:dyDescent="0.35">
      <c r="A280" s="23">
        <v>19</v>
      </c>
      <c r="B280" s="48" t="s">
        <v>1182</v>
      </c>
      <c r="C280" s="213" t="str">
        <f>IF(data!BG73&gt;0,data!BG73,"")</f>
        <v>x</v>
      </c>
      <c r="D280" s="213" t="str">
        <f>IF(data!BH73&gt;0,data!BH73,"")</f>
        <v>x</v>
      </c>
      <c r="E280" s="213" t="str">
        <f>IF(data!BI73&gt;0,data!BI73,"")</f>
        <v>x</v>
      </c>
      <c r="F280" s="213" t="str">
        <f>IF(data!BJ73&gt;0,data!BJ73,"")</f>
        <v>x</v>
      </c>
      <c r="G280" s="213" t="str">
        <f>IF(data!BK73&gt;0,data!BK73,"")</f>
        <v>x</v>
      </c>
      <c r="H280" s="213" t="str">
        <f>IF(data!BL73&gt;0,data!BL73,"")</f>
        <v>x</v>
      </c>
      <c r="I280" s="213" t="str">
        <f>IF(data!BM73&gt;0,data!BM73,"")</f>
        <v>x</v>
      </c>
    </row>
    <row r="281" spans="1:9" ht="20.149999999999999" customHeight="1" x14ac:dyDescent="0.35">
      <c r="A281" s="23">
        <v>20</v>
      </c>
      <c r="B281" s="48" t="s">
        <v>1183</v>
      </c>
      <c r="C281" s="213" t="str">
        <f>IF(data!BG74&gt;0,data!BG74,"")</f>
        <v>x</v>
      </c>
      <c r="D281" s="213" t="str">
        <f>IF(data!BH74&gt;0,data!BH74,"")</f>
        <v>x</v>
      </c>
      <c r="E281" s="213" t="str">
        <f>IF(data!BI74&gt;0,data!BI74,"")</f>
        <v>x</v>
      </c>
      <c r="F281" s="213" t="str">
        <f>IF(data!BJ74&gt;0,data!BJ74,"")</f>
        <v>x</v>
      </c>
      <c r="G281" s="213" t="str">
        <f>IF(data!BK74&gt;0,data!BK74,"")</f>
        <v>x</v>
      </c>
      <c r="H281" s="213" t="str">
        <f>IF(data!BL74&gt;0,data!BL74,"")</f>
        <v>x</v>
      </c>
      <c r="I281" s="213" t="str">
        <f>IF(data!BM74&gt;0,data!BM74,"")</f>
        <v>x</v>
      </c>
    </row>
    <row r="282" spans="1:9" ht="20.149999999999999" customHeight="1" x14ac:dyDescent="0.35">
      <c r="A282" s="23">
        <v>21</v>
      </c>
      <c r="B282" s="48" t="s">
        <v>1184</v>
      </c>
      <c r="C282" s="213" t="str">
        <f>IF(data!BG75&gt;0,data!BG75,"")</f>
        <v>x</v>
      </c>
      <c r="D282" s="213" t="str">
        <f>IF(data!BH75&gt;0,data!BH75,"")</f>
        <v>x</v>
      </c>
      <c r="E282" s="213" t="str">
        <f>IF(data!BI75&gt;0,data!BI75,"")</f>
        <v>x</v>
      </c>
      <c r="F282" s="213" t="str">
        <f>IF(data!BJ75&gt;0,data!BJ75,"")</f>
        <v>x</v>
      </c>
      <c r="G282" s="213" t="str">
        <f>IF(data!BK75&gt;0,data!BK75,"")</f>
        <v>x</v>
      </c>
      <c r="H282" s="213" t="str">
        <f>IF(data!BL75&gt;0,data!BL75,"")</f>
        <v>x</v>
      </c>
      <c r="I282" s="213" t="str">
        <f>IF(data!BM75&gt;0,data!BM75,"")</f>
        <v>x</v>
      </c>
    </row>
    <row r="283" spans="1:9" ht="20.149999999999999" customHeight="1" x14ac:dyDescent="0.35">
      <c r="A283" s="23" t="s">
        <v>1185</v>
      </c>
      <c r="B283" s="60"/>
      <c r="C283" s="215"/>
      <c r="D283" s="215"/>
      <c r="E283" s="215"/>
      <c r="F283" s="215"/>
      <c r="G283" s="215"/>
      <c r="H283" s="215"/>
      <c r="I283" s="215"/>
    </row>
    <row r="284" spans="1:9" ht="20.149999999999999" customHeight="1" x14ac:dyDescent="0.35">
      <c r="A284" s="23">
        <v>22</v>
      </c>
      <c r="B284" s="14" t="s">
        <v>1186</v>
      </c>
      <c r="C284" s="85">
        <f>data!BG76</f>
        <v>5077</v>
      </c>
      <c r="D284" s="85">
        <f>data!BH76</f>
        <v>24834</v>
      </c>
      <c r="E284" s="85">
        <f>data!BI76</f>
        <v>26210</v>
      </c>
      <c r="F284" s="85">
        <f>data!BJ76</f>
        <v>4555</v>
      </c>
      <c r="G284" s="85">
        <f>data!BK76</f>
        <v>11014</v>
      </c>
      <c r="H284" s="85">
        <f>data!BL76</f>
        <v>5010</v>
      </c>
      <c r="I284" s="85">
        <f>data!BM76</f>
        <v>4678</v>
      </c>
    </row>
    <row r="285" spans="1:9" ht="20.149999999999999" customHeight="1" x14ac:dyDescent="0.35">
      <c r="A285" s="23">
        <v>23</v>
      </c>
      <c r="B285" s="14" t="s">
        <v>1187</v>
      </c>
      <c r="C285" s="213" t="str">
        <f>IF(data!BG77&gt;0,data!BG77,"")</f>
        <v>x</v>
      </c>
      <c r="D285" s="85">
        <f>data!BH77</f>
        <v>0</v>
      </c>
      <c r="E285" s="85">
        <f>data!BI77</f>
        <v>0</v>
      </c>
      <c r="F285" s="213" t="str">
        <f>IF(data!BJ77&gt;0,data!BJ77,"")</f>
        <v>x</v>
      </c>
      <c r="G285" s="85">
        <f>data!BK77</f>
        <v>0</v>
      </c>
      <c r="H285" s="85">
        <f>data!BL77</f>
        <v>0</v>
      </c>
      <c r="I285" s="85">
        <f>data!BM77</f>
        <v>0</v>
      </c>
    </row>
    <row r="286" spans="1:9" ht="20.149999999999999" customHeight="1" x14ac:dyDescent="0.35">
      <c r="A286" s="23">
        <v>24</v>
      </c>
      <c r="B286" s="14" t="s">
        <v>1188</v>
      </c>
      <c r="C286" s="213" t="str">
        <f>IF(data!BG78&gt;0,data!BG78,"")</f>
        <v>x</v>
      </c>
      <c r="D286" s="85">
        <f>data!BH78</f>
        <v>3162</v>
      </c>
      <c r="E286" s="85">
        <f>data!BI78</f>
        <v>3338</v>
      </c>
      <c r="F286" s="213" t="str">
        <f>IF(data!BJ78&gt;0,data!BJ78,"")</f>
        <v>x</v>
      </c>
      <c r="G286" s="85">
        <f>data!BK78</f>
        <v>1402</v>
      </c>
      <c r="H286" s="85">
        <f>data!BL78</f>
        <v>638</v>
      </c>
      <c r="I286" s="85">
        <f>data!BM78</f>
        <v>596</v>
      </c>
    </row>
    <row r="287" spans="1:9" ht="20.149999999999999" customHeight="1" x14ac:dyDescent="0.35">
      <c r="A287" s="23">
        <v>25</v>
      </c>
      <c r="B287" s="14" t="s">
        <v>1189</v>
      </c>
      <c r="C287" s="213" t="str">
        <f>IF(data!BG79&gt;0,data!BG79,"")</f>
        <v>x</v>
      </c>
      <c r="D287" s="85">
        <f>data!BH79</f>
        <v>0</v>
      </c>
      <c r="E287" s="85">
        <f>data!BI79</f>
        <v>49423</v>
      </c>
      <c r="F287" s="213" t="str">
        <f>IF(data!BJ79&gt;0,data!BJ79,"")</f>
        <v>x</v>
      </c>
      <c r="G287" s="85">
        <f>data!BK79</f>
        <v>0</v>
      </c>
      <c r="H287" s="85">
        <f>data!BL79</f>
        <v>0</v>
      </c>
      <c r="I287" s="85">
        <f>data!BM79</f>
        <v>0</v>
      </c>
    </row>
    <row r="288" spans="1:9" ht="20.149999999999999" customHeight="1" x14ac:dyDescent="0.35">
      <c r="A288" s="23">
        <v>26</v>
      </c>
      <c r="B288" s="14" t="s">
        <v>252</v>
      </c>
      <c r="C288" s="213" t="str">
        <f>IF(data!BG80&gt;0,data!BG80,"")</f>
        <v>x</v>
      </c>
      <c r="D288" s="213" t="str">
        <f>IF(data!BH80&gt;0,data!BH80,"")</f>
        <v>x</v>
      </c>
      <c r="E288" s="213" t="str">
        <f>IF(data!BI80&gt;0,data!BI80,"")</f>
        <v>x</v>
      </c>
      <c r="F288" s="213" t="str">
        <f>IF(data!BJ80&gt;0,data!BJ80,"")</f>
        <v>x</v>
      </c>
      <c r="G288" s="213" t="str">
        <f>IF(data!BK80&gt;0,data!BK80,"")</f>
        <v>x</v>
      </c>
      <c r="H288" s="213" t="str">
        <f>IF(data!BL80&gt;0,data!BL80,"")</f>
        <v>x</v>
      </c>
      <c r="I288" s="213" t="str">
        <f>IF(data!BM80&gt;0,data!BM80,"")</f>
        <v>x</v>
      </c>
    </row>
    <row r="289" spans="1:9" ht="20.149999999999999" customHeight="1" x14ac:dyDescent="0.35">
      <c r="A289" s="4" t="s">
        <v>1173</v>
      </c>
      <c r="B289" s="5"/>
      <c r="C289" s="5"/>
      <c r="D289" s="6"/>
      <c r="E289" s="5"/>
      <c r="F289" s="5"/>
      <c r="G289" s="5"/>
      <c r="H289" s="5"/>
      <c r="I289" s="4"/>
    </row>
    <row r="290" spans="1:9" ht="20.149999999999999" customHeight="1" x14ac:dyDescent="0.35">
      <c r="A290" s="77"/>
      <c r="B290" s="77"/>
      <c r="C290" s="77"/>
      <c r="D290" s="45"/>
      <c r="E290" s="77"/>
      <c r="F290" s="77"/>
      <c r="G290" s="77"/>
      <c r="H290" s="77"/>
      <c r="I290" s="168" t="s">
        <v>1223</v>
      </c>
    </row>
    <row r="291" spans="1:9" ht="20.149999999999999" customHeight="1" x14ac:dyDescent="0.35">
      <c r="A291" s="45"/>
      <c r="B291" s="77"/>
      <c r="C291" s="77"/>
      <c r="D291" s="77"/>
      <c r="E291" s="77"/>
      <c r="F291" s="77"/>
      <c r="G291" s="77"/>
      <c r="H291" s="77"/>
      <c r="I291" s="77"/>
    </row>
    <row r="292" spans="1:9" ht="20.149999999999999" customHeight="1" x14ac:dyDescent="0.35">
      <c r="A292" s="79" t="str">
        <f>"HOSPITAL NAME: "&amp;data!C84</f>
        <v>HOSPITAL NAME: EvergreenHealth Kirkland / King Country Public Hos #2</v>
      </c>
      <c r="B292" s="77"/>
      <c r="C292" s="77"/>
      <c r="D292" s="77"/>
      <c r="E292" s="77"/>
      <c r="F292" s="77"/>
      <c r="G292" s="80"/>
      <c r="H292" s="79" t="str">
        <f>"FYE: "&amp;data!C82</f>
        <v>FYE: 12/31/2021</v>
      </c>
    </row>
    <row r="293" spans="1:9" ht="20.149999999999999" customHeight="1" x14ac:dyDescent="0.35">
      <c r="A293" s="23">
        <v>1</v>
      </c>
      <c r="B293" s="14" t="s">
        <v>209</v>
      </c>
      <c r="C293" s="15" t="s">
        <v>73</v>
      </c>
      <c r="D293" s="15" t="s">
        <v>74</v>
      </c>
      <c r="E293" s="15" t="s">
        <v>75</v>
      </c>
      <c r="F293" s="15" t="s">
        <v>76</v>
      </c>
      <c r="G293" s="15" t="s">
        <v>77</v>
      </c>
      <c r="H293" s="15" t="s">
        <v>78</v>
      </c>
      <c r="I293" s="15" t="s">
        <v>79</v>
      </c>
    </row>
    <row r="294" spans="1:9" ht="20.149999999999999" customHeight="1" x14ac:dyDescent="0.35">
      <c r="A294" s="81">
        <v>2</v>
      </c>
      <c r="B294" s="17" t="s">
        <v>1175</v>
      </c>
      <c r="C294" s="18" t="s">
        <v>148</v>
      </c>
      <c r="D294" s="18" t="s">
        <v>149</v>
      </c>
      <c r="E294" s="18" t="s">
        <v>150</v>
      </c>
      <c r="F294" s="18" t="s">
        <v>151</v>
      </c>
      <c r="G294" s="25"/>
      <c r="H294" s="18" t="s">
        <v>153</v>
      </c>
      <c r="I294" s="18" t="s">
        <v>154</v>
      </c>
    </row>
    <row r="295" spans="1:9" ht="20.149999999999999" customHeight="1" x14ac:dyDescent="0.35">
      <c r="A295" s="82"/>
      <c r="B295" s="83"/>
      <c r="C295" s="18" t="s">
        <v>1224</v>
      </c>
      <c r="D295" s="18" t="s">
        <v>194</v>
      </c>
      <c r="E295" s="18" t="s">
        <v>195</v>
      </c>
      <c r="F295" s="18" t="s">
        <v>196</v>
      </c>
      <c r="G295" s="18" t="s">
        <v>152</v>
      </c>
      <c r="H295" s="18" t="s">
        <v>197</v>
      </c>
      <c r="I295" s="18" t="s">
        <v>169</v>
      </c>
    </row>
    <row r="296" spans="1:9" ht="20.149999999999999" customHeight="1" x14ac:dyDescent="0.35">
      <c r="A296" s="23">
        <v>3</v>
      </c>
      <c r="B296" s="14" t="s">
        <v>1179</v>
      </c>
      <c r="C296" s="212"/>
      <c r="D296" s="212"/>
      <c r="E296" s="212"/>
      <c r="F296" s="212"/>
      <c r="G296" s="212"/>
      <c r="H296" s="212"/>
      <c r="I296" s="212"/>
    </row>
    <row r="297" spans="1:9" ht="20.149999999999999" customHeight="1" x14ac:dyDescent="0.35">
      <c r="A297" s="23">
        <v>4</v>
      </c>
      <c r="B297" s="14" t="s">
        <v>233</v>
      </c>
      <c r="C297" s="212"/>
      <c r="D297" s="212"/>
      <c r="E297" s="212"/>
      <c r="F297" s="212"/>
      <c r="G297" s="212"/>
      <c r="H297" s="212"/>
      <c r="I297" s="212"/>
    </row>
    <row r="298" spans="1:9" ht="20.149999999999999" customHeight="1" x14ac:dyDescent="0.35">
      <c r="A298" s="23">
        <v>5</v>
      </c>
      <c r="B298" s="14" t="s">
        <v>234</v>
      </c>
      <c r="C298" s="26">
        <f>data!BN60</f>
        <v>25.18464423076923</v>
      </c>
      <c r="D298" s="26">
        <f>data!BO60</f>
        <v>8.9922259615384608</v>
      </c>
      <c r="E298" s="26">
        <f>data!BP60</f>
        <v>8.5500240384615385</v>
      </c>
      <c r="F298" s="26">
        <f>data!BQ60</f>
        <v>4.4114999999999993</v>
      </c>
      <c r="G298" s="26">
        <f>data!BR60</f>
        <v>32.49051923076923</v>
      </c>
      <c r="H298" s="26">
        <f>data!BS60</f>
        <v>3.9366875000000001</v>
      </c>
      <c r="I298" s="26">
        <f>data!BT60</f>
        <v>1.585908653846154</v>
      </c>
    </row>
    <row r="299" spans="1:9" ht="20.149999999999999" customHeight="1" x14ac:dyDescent="0.35">
      <c r="A299" s="23">
        <v>6</v>
      </c>
      <c r="B299" s="14" t="s">
        <v>235</v>
      </c>
      <c r="C299" s="14">
        <f>data!BN61</f>
        <v>6692764.3700000001</v>
      </c>
      <c r="D299" s="14">
        <f>data!BO61</f>
        <v>1100318.25</v>
      </c>
      <c r="E299" s="14">
        <f>data!BP61</f>
        <v>979633.55</v>
      </c>
      <c r="F299" s="14">
        <f>data!BQ61</f>
        <v>545707.59</v>
      </c>
      <c r="G299" s="14">
        <f>data!BR61</f>
        <v>2439004.4499999997</v>
      </c>
      <c r="H299" s="14">
        <f>data!BS61</f>
        <v>253109.26</v>
      </c>
      <c r="I299" s="14">
        <f>data!BT61</f>
        <v>117834.66000000002</v>
      </c>
    </row>
    <row r="300" spans="1:9" ht="20.149999999999999" customHeight="1" x14ac:dyDescent="0.35">
      <c r="A300" s="23">
        <v>7</v>
      </c>
      <c r="B300" s="14" t="s">
        <v>3</v>
      </c>
      <c r="C300" s="14">
        <f>data!BN62</f>
        <v>1334645</v>
      </c>
      <c r="D300" s="14">
        <f>data!BO62</f>
        <v>224641</v>
      </c>
      <c r="E300" s="14">
        <f>data!BP62</f>
        <v>264144</v>
      </c>
      <c r="F300" s="14">
        <f>data!BQ62</f>
        <v>126636</v>
      </c>
      <c r="G300" s="14">
        <f>data!BR62</f>
        <v>7497196</v>
      </c>
      <c r="H300" s="14">
        <f>data!BS62</f>
        <v>82167</v>
      </c>
      <c r="I300" s="14">
        <f>data!BT62</f>
        <v>52807</v>
      </c>
    </row>
    <row r="301" spans="1:9" ht="20.149999999999999" customHeight="1" x14ac:dyDescent="0.35">
      <c r="A301" s="23">
        <v>8</v>
      </c>
      <c r="B301" s="14" t="s">
        <v>236</v>
      </c>
      <c r="C301" s="14">
        <f>data!BN63</f>
        <v>3281097.92</v>
      </c>
      <c r="D301" s="14">
        <f>data!BO63</f>
        <v>390</v>
      </c>
      <c r="E301" s="14">
        <f>data!BP63</f>
        <v>-25060.39</v>
      </c>
      <c r="F301" s="14">
        <f>data!BQ63</f>
        <v>0</v>
      </c>
      <c r="G301" s="14">
        <f>data!BR63</f>
        <v>1702945.81</v>
      </c>
      <c r="H301" s="14">
        <f>data!BS63</f>
        <v>318</v>
      </c>
      <c r="I301" s="14">
        <f>data!BT63</f>
        <v>0</v>
      </c>
    </row>
    <row r="302" spans="1:9" ht="20.149999999999999" customHeight="1" x14ac:dyDescent="0.35">
      <c r="A302" s="23">
        <v>9</v>
      </c>
      <c r="B302" s="14" t="s">
        <v>237</v>
      </c>
      <c r="C302" s="14">
        <f>data!BN64</f>
        <v>18773.87</v>
      </c>
      <c r="D302" s="14">
        <f>data!BO64</f>
        <v>144752.88</v>
      </c>
      <c r="E302" s="14">
        <f>data!BP64</f>
        <v>64178.290000000008</v>
      </c>
      <c r="F302" s="14">
        <f>data!BQ64</f>
        <v>1559.1200000000001</v>
      </c>
      <c r="G302" s="14">
        <f>data!BR64</f>
        <v>54234.74</v>
      </c>
      <c r="H302" s="14">
        <f>data!BS64</f>
        <v>257119.17</v>
      </c>
      <c r="I302" s="14">
        <f>data!BT64</f>
        <v>636.5</v>
      </c>
    </row>
    <row r="303" spans="1:9" ht="20.149999999999999" customHeight="1" x14ac:dyDescent="0.35">
      <c r="A303" s="23">
        <v>10</v>
      </c>
      <c r="B303" s="14" t="s">
        <v>444</v>
      </c>
      <c r="C303" s="14">
        <f>data!BN65</f>
        <v>0</v>
      </c>
      <c r="D303" s="14">
        <f>data!BO65</f>
        <v>0</v>
      </c>
      <c r="E303" s="14">
        <f>data!BP65</f>
        <v>1200.6199999999999</v>
      </c>
      <c r="F303" s="14">
        <f>data!BQ65</f>
        <v>0</v>
      </c>
      <c r="G303" s="14">
        <f>data!BR65</f>
        <v>0</v>
      </c>
      <c r="H303" s="14">
        <f>data!BS65</f>
        <v>1089.1400000000001</v>
      </c>
      <c r="I303" s="14">
        <f>data!BT65</f>
        <v>3178.7</v>
      </c>
    </row>
    <row r="304" spans="1:9" ht="20.149999999999999" customHeight="1" x14ac:dyDescent="0.35">
      <c r="A304" s="23">
        <v>11</v>
      </c>
      <c r="B304" s="14" t="s">
        <v>445</v>
      </c>
      <c r="C304" s="14">
        <f>data!BN66</f>
        <v>588645.21000000008</v>
      </c>
      <c r="D304" s="14">
        <f>data!BO66</f>
        <v>56475.12</v>
      </c>
      <c r="E304" s="14">
        <f>data!BP66</f>
        <v>5797251.1299999999</v>
      </c>
      <c r="F304" s="14">
        <f>data!BQ66</f>
        <v>1448.5</v>
      </c>
      <c r="G304" s="14">
        <f>data!BR66</f>
        <v>917917.21</v>
      </c>
      <c r="H304" s="14">
        <f>data!BS66</f>
        <v>9081.6999999999989</v>
      </c>
      <c r="I304" s="14">
        <f>data!BT66</f>
        <v>232.12</v>
      </c>
    </row>
    <row r="305" spans="1:9" ht="20.149999999999999" customHeight="1" x14ac:dyDescent="0.35">
      <c r="A305" s="23">
        <v>12</v>
      </c>
      <c r="B305" s="14" t="s">
        <v>6</v>
      </c>
      <c r="C305" s="14">
        <f>data!BN67</f>
        <v>231489</v>
      </c>
      <c r="D305" s="14">
        <f>data!BO67</f>
        <v>52088</v>
      </c>
      <c r="E305" s="14">
        <f>data!BP67</f>
        <v>75126</v>
      </c>
      <c r="F305" s="14">
        <f>data!BQ67</f>
        <v>3222</v>
      </c>
      <c r="G305" s="14">
        <f>data!BR67</f>
        <v>6971</v>
      </c>
      <c r="H305" s="14">
        <f>data!BS67</f>
        <v>19557</v>
      </c>
      <c r="I305" s="14">
        <f>data!BT67</f>
        <v>20704</v>
      </c>
    </row>
    <row r="306" spans="1:9" ht="20.149999999999999" customHeight="1" x14ac:dyDescent="0.35">
      <c r="A306" s="23">
        <v>13</v>
      </c>
      <c r="B306" s="14" t="s">
        <v>474</v>
      </c>
      <c r="C306" s="14">
        <f>data!BN68</f>
        <v>0</v>
      </c>
      <c r="D306" s="14">
        <f>data!BO68</f>
        <v>0</v>
      </c>
      <c r="E306" s="14">
        <f>data!BP68</f>
        <v>0</v>
      </c>
      <c r="F306" s="14">
        <f>data!BQ68</f>
        <v>0</v>
      </c>
      <c r="G306" s="14">
        <f>data!BR68</f>
        <v>300</v>
      </c>
      <c r="H306" s="14">
        <f>data!BS68</f>
        <v>0</v>
      </c>
      <c r="I306" s="14">
        <f>data!BT68</f>
        <v>0</v>
      </c>
    </row>
    <row r="307" spans="1:9" ht="20.149999999999999" customHeight="1" x14ac:dyDescent="0.35">
      <c r="A307" s="23">
        <v>14</v>
      </c>
      <c r="B307" s="14" t="s">
        <v>241</v>
      </c>
      <c r="C307" s="14">
        <f>data!BN69</f>
        <v>807447.07</v>
      </c>
      <c r="D307" s="14">
        <f>data!BO69</f>
        <v>1136.01</v>
      </c>
      <c r="E307" s="14">
        <f>data!BP69</f>
        <v>4672.58</v>
      </c>
      <c r="F307" s="14">
        <f>data!BQ69</f>
        <v>0</v>
      </c>
      <c r="G307" s="14">
        <f>data!BR69</f>
        <v>8411.8799999999992</v>
      </c>
      <c r="H307" s="14">
        <f>data!BS69</f>
        <v>3406.19</v>
      </c>
      <c r="I307" s="14">
        <f>data!BT69</f>
        <v>0</v>
      </c>
    </row>
    <row r="308" spans="1:9" ht="20.149999999999999" customHeight="1" x14ac:dyDescent="0.35">
      <c r="A308" s="23">
        <v>15</v>
      </c>
      <c r="B308" s="14" t="s">
        <v>242</v>
      </c>
      <c r="C308" s="14">
        <f>-data!BN70</f>
        <v>0</v>
      </c>
      <c r="D308" s="14">
        <f>-data!BO70</f>
        <v>-20</v>
      </c>
      <c r="E308" s="14">
        <f>-data!BP70</f>
        <v>0</v>
      </c>
      <c r="F308" s="14">
        <f>-data!BQ70</f>
        <v>0</v>
      </c>
      <c r="G308" s="14">
        <f>-data!BR70</f>
        <v>-94.21</v>
      </c>
      <c r="H308" s="14">
        <f>-data!BS70</f>
        <v>-423081.63</v>
      </c>
      <c r="I308" s="14">
        <f>-data!BT70</f>
        <v>-49.87</v>
      </c>
    </row>
    <row r="309" spans="1:9" ht="20.149999999999999" customHeight="1" x14ac:dyDescent="0.35">
      <c r="A309" s="23">
        <v>16</v>
      </c>
      <c r="B309" s="48" t="s">
        <v>1180</v>
      </c>
      <c r="C309" s="14">
        <f>data!BN71</f>
        <v>12954862.439999999</v>
      </c>
      <c r="D309" s="14">
        <f>data!BO71</f>
        <v>1579781.26</v>
      </c>
      <c r="E309" s="14">
        <f>data!BP71</f>
        <v>7161145.7800000003</v>
      </c>
      <c r="F309" s="14">
        <f>data!BQ71</f>
        <v>678573.21</v>
      </c>
      <c r="G309" s="14">
        <f>data!BR71</f>
        <v>12626886.880000001</v>
      </c>
      <c r="H309" s="14">
        <f>data!BS71</f>
        <v>202765.82999999996</v>
      </c>
      <c r="I309" s="14">
        <f>data!BT71</f>
        <v>195343.11000000004</v>
      </c>
    </row>
    <row r="310" spans="1:9" ht="20.149999999999999" customHeight="1" x14ac:dyDescent="0.35">
      <c r="A310" s="23">
        <v>17</v>
      </c>
      <c r="B310" s="14" t="s">
        <v>244</v>
      </c>
      <c r="C310" s="211"/>
      <c r="D310" s="211"/>
      <c r="E310" s="211"/>
      <c r="F310" s="211"/>
      <c r="G310" s="211"/>
      <c r="H310" s="211"/>
      <c r="I310" s="211"/>
    </row>
    <row r="311" spans="1:9" ht="20.149999999999999" customHeight="1" x14ac:dyDescent="0.35">
      <c r="A311" s="23">
        <v>18</v>
      </c>
      <c r="B311" s="14" t="s">
        <v>1181</v>
      </c>
      <c r="C311" s="14"/>
      <c r="D311" s="14"/>
      <c r="E311" s="14"/>
      <c r="F311" s="14"/>
      <c r="G311" s="14"/>
      <c r="H311" s="14"/>
      <c r="I311" s="14"/>
    </row>
    <row r="312" spans="1:9" ht="20.149999999999999" customHeight="1" x14ac:dyDescent="0.35">
      <c r="A312" s="23">
        <v>19</v>
      </c>
      <c r="B312" s="48" t="s">
        <v>1182</v>
      </c>
      <c r="C312" s="213" t="str">
        <f>IF(data!BN73&gt;0,data!BN73,"")</f>
        <v>x</v>
      </c>
      <c r="D312" s="213" t="str">
        <f>IF(data!BO73&gt;0,data!BO73,"")</f>
        <v>x</v>
      </c>
      <c r="E312" s="213" t="str">
        <f>IF(data!BP73&gt;0,data!BP73,"")</f>
        <v>x</v>
      </c>
      <c r="F312" s="213" t="str">
        <f>IF(data!BQ73&gt;0,data!BQ73,"")</f>
        <v>x</v>
      </c>
      <c r="G312" s="213" t="str">
        <f>IF(data!BR73&gt;0,data!BR73,"")</f>
        <v>x</v>
      </c>
      <c r="H312" s="213" t="str">
        <f>IF(data!BS73&gt;0,data!BS73,"")</f>
        <v>x</v>
      </c>
      <c r="I312" s="213" t="str">
        <f>IF(data!BT73&gt;0,data!BT73,"")</f>
        <v>x</v>
      </c>
    </row>
    <row r="313" spans="1:9" ht="20.149999999999999" customHeight="1" x14ac:dyDescent="0.35">
      <c r="A313" s="23">
        <v>20</v>
      </c>
      <c r="B313" s="48" t="s">
        <v>1183</v>
      </c>
      <c r="C313" s="213" t="str">
        <f>IF(data!BN74&gt;0,data!BN74,"")</f>
        <v>x</v>
      </c>
      <c r="D313" s="213" t="str">
        <f>IF(data!BO74&gt;0,data!BO74,"")</f>
        <v>x</v>
      </c>
      <c r="E313" s="213" t="str">
        <f>IF(data!BP74&gt;0,data!BP74,"")</f>
        <v>x</v>
      </c>
      <c r="F313" s="213" t="str">
        <f>IF(data!BQ74&gt;0,data!BQ74,"")</f>
        <v>x</v>
      </c>
      <c r="G313" s="213" t="str">
        <f>IF(data!BR74&gt;0,data!BR74,"")</f>
        <v>x</v>
      </c>
      <c r="H313" s="213" t="str">
        <f>IF(data!BS74&gt;0,data!BS74,"")</f>
        <v>x</v>
      </c>
      <c r="I313" s="213" t="str">
        <f>IF(data!BT74&gt;0,data!BT74,"")</f>
        <v>x</v>
      </c>
    </row>
    <row r="314" spans="1:9" ht="20.149999999999999" customHeight="1" x14ac:dyDescent="0.35">
      <c r="A314" s="23">
        <v>21</v>
      </c>
      <c r="B314" s="48" t="s">
        <v>1184</v>
      </c>
      <c r="C314" s="213" t="str">
        <f>IF(data!BN75&gt;0,data!BN75,"")</f>
        <v>x</v>
      </c>
      <c r="D314" s="213" t="str">
        <f>IF(data!BO75&gt;0,data!BO75,"")</f>
        <v>x</v>
      </c>
      <c r="E314" s="213" t="str">
        <f>IF(data!BP75&gt;0,data!BP75,"")</f>
        <v>x</v>
      </c>
      <c r="F314" s="213" t="str">
        <f>IF(data!BQ75&gt;0,data!BQ75,"")</f>
        <v>x</v>
      </c>
      <c r="G314" s="213" t="str">
        <f>IF(data!BR75&gt;0,data!BR75,"")</f>
        <v>x</v>
      </c>
      <c r="H314" s="213" t="str">
        <f>IF(data!BS75&gt;0,data!BS75,"")</f>
        <v>x</v>
      </c>
      <c r="I314" s="213" t="str">
        <f>IF(data!BT75&gt;0,data!BT75,"")</f>
        <v>x</v>
      </c>
    </row>
    <row r="315" spans="1:9" ht="20.149999999999999" customHeight="1" x14ac:dyDescent="0.35">
      <c r="A315" s="23" t="s">
        <v>1185</v>
      </c>
      <c r="B315" s="60"/>
      <c r="C315" s="211"/>
      <c r="D315" s="211"/>
      <c r="E315" s="211"/>
      <c r="F315" s="211"/>
      <c r="G315" s="211"/>
      <c r="H315" s="211"/>
      <c r="I315" s="211"/>
    </row>
    <row r="316" spans="1:9" ht="20.149999999999999" customHeight="1" x14ac:dyDescent="0.35">
      <c r="A316" s="23">
        <v>22</v>
      </c>
      <c r="B316" s="14" t="s">
        <v>1186</v>
      </c>
      <c r="C316" s="85">
        <f>data!BN76</f>
        <v>14258</v>
      </c>
      <c r="D316" s="85">
        <f>data!BO76</f>
        <v>2082</v>
      </c>
      <c r="E316" s="85">
        <f>data!BP76</f>
        <v>1894</v>
      </c>
      <c r="F316" s="85">
        <f>data!BQ76</f>
        <v>1677</v>
      </c>
      <c r="G316" s="85">
        <f>data!BR76</f>
        <v>3400</v>
      </c>
      <c r="H316" s="85">
        <f>data!BS76</f>
        <v>5109</v>
      </c>
      <c r="I316" s="85">
        <f>data!BT76</f>
        <v>947</v>
      </c>
    </row>
    <row r="317" spans="1:9" ht="20.149999999999999" customHeight="1" x14ac:dyDescent="0.35">
      <c r="A317" s="23">
        <v>23</v>
      </c>
      <c r="B317" s="14" t="s">
        <v>1187</v>
      </c>
      <c r="C317" s="213" t="str">
        <f>IF(data!BN77&gt;0,data!BN77,"")</f>
        <v>x</v>
      </c>
      <c r="D317" s="213" t="str">
        <f>IF(data!BO77&gt;0,data!BO77,"")</f>
        <v>x</v>
      </c>
      <c r="E317" s="213" t="str">
        <f>IF(data!BP77&gt;0,data!BP77,"")</f>
        <v>x</v>
      </c>
      <c r="F317" s="213" t="str">
        <f>IF(data!BQ77&gt;0,data!BQ77,"")</f>
        <v>x</v>
      </c>
      <c r="G317" s="85">
        <f>data!BR77</f>
        <v>0</v>
      </c>
      <c r="H317" s="85">
        <f>data!BS77</f>
        <v>0</v>
      </c>
      <c r="I317" s="85">
        <f>data!BT77</f>
        <v>0</v>
      </c>
    </row>
    <row r="318" spans="1:9" ht="20.149999999999999" customHeight="1" x14ac:dyDescent="0.35">
      <c r="A318" s="23">
        <v>24</v>
      </c>
      <c r="B318" s="14" t="s">
        <v>1188</v>
      </c>
      <c r="C318" s="213" t="str">
        <f>IF(data!BN78&gt;0,data!BN78,"")</f>
        <v>x</v>
      </c>
      <c r="D318" s="213" t="str">
        <f>IF(data!BO78&gt;0,data!BO78,"")</f>
        <v>x</v>
      </c>
      <c r="E318" s="213" t="str">
        <f>IF(data!BP78&gt;0,data!BP78,"")</f>
        <v>x</v>
      </c>
      <c r="F318" s="213" t="str">
        <f>IF(data!BQ78&gt;0,data!BQ78,"")</f>
        <v>x</v>
      </c>
      <c r="G318" s="213" t="str">
        <f>IF(data!BR78&gt;0,data!BR78,"")</f>
        <v>x</v>
      </c>
      <c r="H318" s="85">
        <f>data!BS78</f>
        <v>651</v>
      </c>
      <c r="I318" s="85">
        <f>data!BT78</f>
        <v>121</v>
      </c>
    </row>
    <row r="319" spans="1:9" ht="20.149999999999999" customHeight="1" x14ac:dyDescent="0.35">
      <c r="A319" s="23">
        <v>25</v>
      </c>
      <c r="B319" s="14" t="s">
        <v>1189</v>
      </c>
      <c r="C319" s="213" t="str">
        <f>IF(data!BN79&gt;0,data!BN79,"")</f>
        <v>x</v>
      </c>
      <c r="D319" s="213" t="str">
        <f>IF(data!BO79&gt;0,data!BO79,"")</f>
        <v>x</v>
      </c>
      <c r="E319" s="213" t="str">
        <f>IF(data!BP79&gt;0,data!BP79,"")</f>
        <v>x</v>
      </c>
      <c r="F319" s="213" t="str">
        <f>IF(data!BQ79&gt;0,data!BQ79,"")</f>
        <v>x</v>
      </c>
      <c r="G319" s="213" t="str">
        <f>IF(data!BR79&gt;0,data!BR79,"")</f>
        <v>x</v>
      </c>
      <c r="H319" s="85">
        <f>data!BS79</f>
        <v>0</v>
      </c>
      <c r="I319" s="85">
        <f>data!BT79</f>
        <v>0</v>
      </c>
    </row>
    <row r="320" spans="1:9" ht="20.149999999999999" customHeight="1" x14ac:dyDescent="0.35">
      <c r="A320" s="23">
        <v>26</v>
      </c>
      <c r="B320" s="14" t="s">
        <v>252</v>
      </c>
      <c r="C320" s="216" t="str">
        <f>IF(data!BN80&gt;0,data!BN80,"")</f>
        <v>x</v>
      </c>
      <c r="D320" s="216" t="str">
        <f>IF(data!BO80&gt;0,data!BO80,"")</f>
        <v>x</v>
      </c>
      <c r="E320" s="216" t="str">
        <f>IF(data!BP80&gt;0,data!BP80,"")</f>
        <v>x</v>
      </c>
      <c r="F320" s="216" t="str">
        <f>IF(data!BQ80&gt;0,data!BQ80,"")</f>
        <v>x</v>
      </c>
      <c r="G320" s="216" t="str">
        <f>IF(data!BR80&gt;0,data!BR80,"")</f>
        <v>x</v>
      </c>
      <c r="H320" s="216" t="str">
        <f>IF(data!BS80&gt;0,data!BS80,"")</f>
        <v>x</v>
      </c>
      <c r="I320" s="216" t="str">
        <f>IF(data!BT80&gt;0,data!BT80,"")</f>
        <v>x</v>
      </c>
    </row>
    <row r="321" spans="1:9" ht="20.149999999999999" customHeight="1" x14ac:dyDescent="0.35">
      <c r="A321" s="4" t="s">
        <v>1173</v>
      </c>
      <c r="B321" s="5"/>
      <c r="C321" s="5"/>
      <c r="D321" s="6"/>
      <c r="E321" s="5"/>
      <c r="F321" s="5"/>
      <c r="G321" s="5"/>
      <c r="H321" s="5"/>
      <c r="I321" s="4"/>
    </row>
    <row r="322" spans="1:9" ht="20.149999999999999" customHeight="1" x14ac:dyDescent="0.35">
      <c r="A322" s="77"/>
      <c r="B322" s="77"/>
      <c r="C322" s="77"/>
      <c r="D322" s="45"/>
      <c r="E322" s="77"/>
      <c r="F322" s="77"/>
      <c r="G322" s="77"/>
      <c r="H322" s="77"/>
      <c r="I322" s="168" t="s">
        <v>1225</v>
      </c>
    </row>
    <row r="323" spans="1:9" ht="20.149999999999999" customHeight="1" x14ac:dyDescent="0.35">
      <c r="A323" s="45"/>
      <c r="B323" s="77"/>
      <c r="C323" s="77"/>
      <c r="D323" s="77"/>
      <c r="E323" s="77"/>
      <c r="F323" s="77"/>
      <c r="G323" s="77"/>
      <c r="H323" s="77"/>
      <c r="I323" s="77"/>
    </row>
    <row r="324" spans="1:9" ht="20.149999999999999" customHeight="1" x14ac:dyDescent="0.35">
      <c r="A324" s="79" t="str">
        <f>"HOSPITAL NAME: "&amp;data!C84</f>
        <v>HOSPITAL NAME: EvergreenHealth Kirkland / King Country Public Hos #2</v>
      </c>
      <c r="B324" s="77"/>
      <c r="C324" s="77"/>
      <c r="D324" s="77"/>
      <c r="E324" s="77"/>
      <c r="F324" s="77"/>
      <c r="G324" s="80"/>
      <c r="H324" s="79" t="str">
        <f>"FYE: "&amp;data!C82</f>
        <v>FYE: 12/31/2021</v>
      </c>
    </row>
    <row r="325" spans="1:9" ht="20.149999999999999" customHeight="1" x14ac:dyDescent="0.35">
      <c r="A325" s="23">
        <v>1</v>
      </c>
      <c r="B325" s="14" t="s">
        <v>209</v>
      </c>
      <c r="C325" s="15" t="s">
        <v>80</v>
      </c>
      <c r="D325" s="15" t="s">
        <v>81</v>
      </c>
      <c r="E325" s="15" t="s">
        <v>82</v>
      </c>
      <c r="F325" s="15" t="s">
        <v>83</v>
      </c>
      <c r="G325" s="15" t="s">
        <v>84</v>
      </c>
      <c r="H325" s="15" t="s">
        <v>85</v>
      </c>
      <c r="I325" s="15" t="s">
        <v>86</v>
      </c>
    </row>
    <row r="326" spans="1:9" ht="20.149999999999999" customHeight="1" x14ac:dyDescent="0.35">
      <c r="A326" s="81">
        <v>2</v>
      </c>
      <c r="B326" s="17" t="s">
        <v>1175</v>
      </c>
      <c r="C326" s="18" t="s">
        <v>155</v>
      </c>
      <c r="D326" s="18" t="s">
        <v>155</v>
      </c>
      <c r="E326" s="18" t="s">
        <v>155</v>
      </c>
      <c r="F326" s="18" t="s">
        <v>156</v>
      </c>
      <c r="G326" s="18" t="s">
        <v>157</v>
      </c>
      <c r="H326" s="18" t="s">
        <v>158</v>
      </c>
      <c r="I326" s="18" t="s">
        <v>159</v>
      </c>
    </row>
    <row r="327" spans="1:9" ht="20.149999999999999" customHeight="1" x14ac:dyDescent="0.35">
      <c r="A327" s="82"/>
      <c r="B327" s="83"/>
      <c r="C327" s="18" t="s">
        <v>198</v>
      </c>
      <c r="D327" s="18" t="s">
        <v>199</v>
      </c>
      <c r="E327" s="18" t="s">
        <v>200</v>
      </c>
      <c r="F327" s="18" t="s">
        <v>151</v>
      </c>
      <c r="G327" s="18" t="s">
        <v>1224</v>
      </c>
      <c r="H327" s="18" t="s">
        <v>152</v>
      </c>
      <c r="I327" s="18" t="s">
        <v>201</v>
      </c>
    </row>
    <row r="328" spans="1:9" ht="20.149999999999999" customHeight="1" x14ac:dyDescent="0.35">
      <c r="A328" s="23">
        <v>3</v>
      </c>
      <c r="B328" s="14" t="s">
        <v>1179</v>
      </c>
      <c r="C328" s="212"/>
      <c r="D328" s="212"/>
      <c r="E328" s="212"/>
      <c r="F328" s="212"/>
      <c r="G328" s="212"/>
      <c r="H328" s="212"/>
      <c r="I328" s="212"/>
    </row>
    <row r="329" spans="1:9" ht="20.149999999999999" customHeight="1" x14ac:dyDescent="0.35">
      <c r="A329" s="23">
        <v>4</v>
      </c>
      <c r="B329" s="14" t="s">
        <v>233</v>
      </c>
      <c r="C329" s="212"/>
      <c r="D329" s="212"/>
      <c r="E329" s="212"/>
      <c r="F329" s="212"/>
      <c r="G329" s="212"/>
      <c r="H329" s="212"/>
      <c r="I329" s="212"/>
    </row>
    <row r="330" spans="1:9" ht="20.149999999999999" customHeight="1" x14ac:dyDescent="0.35">
      <c r="A330" s="23">
        <v>5</v>
      </c>
      <c r="B330" s="14" t="s">
        <v>234</v>
      </c>
      <c r="C330" s="26">
        <f>data!BU60</f>
        <v>0</v>
      </c>
      <c r="D330" s="26">
        <f>data!BV60</f>
        <v>53.411990384615386</v>
      </c>
      <c r="E330" s="26">
        <f>data!BW60</f>
        <v>7.812903846153846</v>
      </c>
      <c r="F330" s="26">
        <f>data!BX60</f>
        <v>52.999995192307694</v>
      </c>
      <c r="G330" s="26">
        <f>data!BY60</f>
        <v>12.741812499999998</v>
      </c>
      <c r="H330" s="26">
        <f>data!BZ60</f>
        <v>44.586586538461539</v>
      </c>
      <c r="I330" s="26">
        <f>data!CA60</f>
        <v>15.334663461538463</v>
      </c>
    </row>
    <row r="331" spans="1:9" ht="20.149999999999999" customHeight="1" x14ac:dyDescent="0.35">
      <c r="A331" s="23">
        <v>6</v>
      </c>
      <c r="B331" s="14" t="s">
        <v>235</v>
      </c>
      <c r="C331" s="86">
        <f>data!BU61</f>
        <v>0</v>
      </c>
      <c r="D331" s="86">
        <f>data!BV61</f>
        <v>3616523.76</v>
      </c>
      <c r="E331" s="86">
        <f>data!BW61</f>
        <v>1576253.8299999998</v>
      </c>
      <c r="F331" s="86">
        <f>data!BX61</f>
        <v>6108592.1900000004</v>
      </c>
      <c r="G331" s="86">
        <f>data!BY61</f>
        <v>1477629.32</v>
      </c>
      <c r="H331" s="86">
        <f>data!BZ61</f>
        <v>3777894.25</v>
      </c>
      <c r="I331" s="86">
        <f>data!CA61</f>
        <v>1664041.4999999998</v>
      </c>
    </row>
    <row r="332" spans="1:9" ht="20.149999999999999" customHeight="1" x14ac:dyDescent="0.35">
      <c r="A332" s="23">
        <v>7</v>
      </c>
      <c r="B332" s="14" t="s">
        <v>3</v>
      </c>
      <c r="C332" s="86">
        <f>data!BU62</f>
        <v>0</v>
      </c>
      <c r="D332" s="86">
        <f>data!BV62</f>
        <v>1112558</v>
      </c>
      <c r="E332" s="86">
        <f>data!BW62</f>
        <v>171927</v>
      </c>
      <c r="F332" s="86">
        <f>data!BX62</f>
        <v>1327961</v>
      </c>
      <c r="G332" s="86">
        <f>data!BY62</f>
        <v>327799</v>
      </c>
      <c r="H332" s="86">
        <f>data!BZ62</f>
        <v>1176965</v>
      </c>
      <c r="I332" s="86">
        <f>data!CA62</f>
        <v>384857</v>
      </c>
    </row>
    <row r="333" spans="1:9" ht="20.149999999999999" customHeight="1" x14ac:dyDescent="0.35">
      <c r="A333" s="23">
        <v>8</v>
      </c>
      <c r="B333" s="14" t="s">
        <v>236</v>
      </c>
      <c r="C333" s="86">
        <f>data!BU63</f>
        <v>0</v>
      </c>
      <c r="D333" s="86">
        <f>data!BV63</f>
        <v>0</v>
      </c>
      <c r="E333" s="86">
        <f>data!BW63</f>
        <v>1822689.77</v>
      </c>
      <c r="F333" s="86">
        <f>data!BX63</f>
        <v>116419.73</v>
      </c>
      <c r="G333" s="86">
        <f>data!BY63</f>
        <v>0</v>
      </c>
      <c r="H333" s="86">
        <f>data!BZ63</f>
        <v>0</v>
      </c>
      <c r="I333" s="86">
        <f>data!CA63</f>
        <v>3781.25</v>
      </c>
    </row>
    <row r="334" spans="1:9" ht="20.149999999999999" customHeight="1" x14ac:dyDescent="0.35">
      <c r="A334" s="23">
        <v>9</v>
      </c>
      <c r="B334" s="14" t="s">
        <v>237</v>
      </c>
      <c r="C334" s="86">
        <f>data!BU64</f>
        <v>0</v>
      </c>
      <c r="D334" s="86">
        <f>data!BV64</f>
        <v>19387.239999999998</v>
      </c>
      <c r="E334" s="86">
        <f>data!BW64</f>
        <v>5053.4399999999996</v>
      </c>
      <c r="F334" s="86">
        <f>data!BX64</f>
        <v>32729.48</v>
      </c>
      <c r="G334" s="86">
        <f>data!BY64</f>
        <v>4419.01</v>
      </c>
      <c r="H334" s="86">
        <f>data!BZ64</f>
        <v>1712.0800000000002</v>
      </c>
      <c r="I334" s="86">
        <f>data!CA64</f>
        <v>266292.32</v>
      </c>
    </row>
    <row r="335" spans="1:9" ht="20.149999999999999" customHeight="1" x14ac:dyDescent="0.35">
      <c r="A335" s="23">
        <v>10</v>
      </c>
      <c r="B335" s="14" t="s">
        <v>444</v>
      </c>
      <c r="C335" s="86">
        <f>data!BU65</f>
        <v>0</v>
      </c>
      <c r="D335" s="86">
        <f>data!BV65</f>
        <v>0</v>
      </c>
      <c r="E335" s="86">
        <f>data!BW65</f>
        <v>0</v>
      </c>
      <c r="F335" s="86">
        <f>data!BX65</f>
        <v>5391.28</v>
      </c>
      <c r="G335" s="86">
        <f>data!BY65</f>
        <v>1805.45</v>
      </c>
      <c r="H335" s="86">
        <f>data!BZ65</f>
        <v>0</v>
      </c>
      <c r="I335" s="86">
        <f>data!CA65</f>
        <v>0</v>
      </c>
    </row>
    <row r="336" spans="1:9" ht="20.149999999999999" customHeight="1" x14ac:dyDescent="0.35">
      <c r="A336" s="23">
        <v>11</v>
      </c>
      <c r="B336" s="14" t="s">
        <v>445</v>
      </c>
      <c r="C336" s="86">
        <f>data!BU66</f>
        <v>0</v>
      </c>
      <c r="D336" s="86">
        <f>data!BV66</f>
        <v>1602568.3499999999</v>
      </c>
      <c r="E336" s="86">
        <f>data!BW66</f>
        <v>167369.92000000001</v>
      </c>
      <c r="F336" s="86">
        <f>data!BX66</f>
        <v>802901.41</v>
      </c>
      <c r="G336" s="86">
        <f>data!BY66</f>
        <v>12673.619999999999</v>
      </c>
      <c r="H336" s="86">
        <f>data!BZ66</f>
        <v>378.88</v>
      </c>
      <c r="I336" s="86">
        <f>data!CA66</f>
        <v>235873.89</v>
      </c>
    </row>
    <row r="337" spans="1:9" ht="20.149999999999999" customHeight="1" x14ac:dyDescent="0.35">
      <c r="A337" s="23">
        <v>12</v>
      </c>
      <c r="B337" s="14" t="s">
        <v>6</v>
      </c>
      <c r="C337" s="86">
        <f>data!BU67</f>
        <v>0</v>
      </c>
      <c r="D337" s="86">
        <f>data!BV67</f>
        <v>61475</v>
      </c>
      <c r="E337" s="86">
        <f>data!BW67</f>
        <v>24100</v>
      </c>
      <c r="F337" s="86">
        <f>data!BX67</f>
        <v>41263</v>
      </c>
      <c r="G337" s="86">
        <f>data!BY67</f>
        <v>225720</v>
      </c>
      <c r="H337" s="86">
        <f>data!BZ67</f>
        <v>6140</v>
      </c>
      <c r="I337" s="86">
        <f>data!CA67</f>
        <v>9539</v>
      </c>
    </row>
    <row r="338" spans="1:9" ht="20.149999999999999" customHeight="1" x14ac:dyDescent="0.35">
      <c r="A338" s="23">
        <v>13</v>
      </c>
      <c r="B338" s="14" t="s">
        <v>474</v>
      </c>
      <c r="C338" s="86">
        <f>data!BU68</f>
        <v>0</v>
      </c>
      <c r="D338" s="86">
        <f>data!BV68</f>
        <v>88417.99</v>
      </c>
      <c r="E338" s="86">
        <f>data!BW68</f>
        <v>0</v>
      </c>
      <c r="F338" s="86">
        <f>data!BX68</f>
        <v>0</v>
      </c>
      <c r="G338" s="86">
        <f>data!BY68</f>
        <v>0</v>
      </c>
      <c r="H338" s="86">
        <f>data!BZ68</f>
        <v>0</v>
      </c>
      <c r="I338" s="86">
        <f>data!CA68</f>
        <v>0</v>
      </c>
    </row>
    <row r="339" spans="1:9" ht="20.149999999999999" customHeight="1" x14ac:dyDescent="0.35">
      <c r="A339" s="23">
        <v>14</v>
      </c>
      <c r="B339" s="14" t="s">
        <v>241</v>
      </c>
      <c r="C339" s="86">
        <f>data!BU69</f>
        <v>246032.7</v>
      </c>
      <c r="D339" s="86">
        <f>data!BV69</f>
        <v>3927.77</v>
      </c>
      <c r="E339" s="86">
        <f>data!BW69</f>
        <v>6945</v>
      </c>
      <c r="F339" s="86">
        <f>data!BX69</f>
        <v>18579.599999999999</v>
      </c>
      <c r="G339" s="86">
        <f>data!BY69</f>
        <v>21557</v>
      </c>
      <c r="H339" s="86">
        <f>data!BZ69</f>
        <v>515</v>
      </c>
      <c r="I339" s="86">
        <f>data!CA69</f>
        <v>350816.1</v>
      </c>
    </row>
    <row r="340" spans="1:9" ht="20.149999999999999" customHeight="1" x14ac:dyDescent="0.35">
      <c r="A340" s="23">
        <v>15</v>
      </c>
      <c r="B340" s="14" t="s">
        <v>242</v>
      </c>
      <c r="C340" s="14">
        <f>-data!BU70</f>
        <v>-15000</v>
      </c>
      <c r="D340" s="14">
        <f>-data!BV70</f>
        <v>-2752.79</v>
      </c>
      <c r="E340" s="14">
        <f>-data!BW70</f>
        <v>-111799.36</v>
      </c>
      <c r="F340" s="14">
        <f>-data!BX70</f>
        <v>-1081441.53</v>
      </c>
      <c r="G340" s="14">
        <f>-data!BY70</f>
        <v>-657.5</v>
      </c>
      <c r="H340" s="14">
        <f>-data!BZ70</f>
        <v>0</v>
      </c>
      <c r="I340" s="14">
        <f>-data!CA70</f>
        <v>0</v>
      </c>
    </row>
    <row r="341" spans="1:9" ht="20.149999999999999" customHeight="1" x14ac:dyDescent="0.35">
      <c r="A341" s="23">
        <v>16</v>
      </c>
      <c r="B341" s="48" t="s">
        <v>1180</v>
      </c>
      <c r="C341" s="14">
        <f>data!BU71</f>
        <v>231032.7</v>
      </c>
      <c r="D341" s="14">
        <f>data!BV71</f>
        <v>6502105.3199999994</v>
      </c>
      <c r="E341" s="14">
        <f>data!BW71</f>
        <v>3662539.5999999996</v>
      </c>
      <c r="F341" s="14">
        <f>data!BX71</f>
        <v>7372396.1600000011</v>
      </c>
      <c r="G341" s="14">
        <f>data!BY71</f>
        <v>2070945.9000000001</v>
      </c>
      <c r="H341" s="14">
        <f>data!BZ71</f>
        <v>4963605.21</v>
      </c>
      <c r="I341" s="14">
        <f>data!CA71</f>
        <v>2915201.06</v>
      </c>
    </row>
    <row r="342" spans="1:9" ht="20.149999999999999" customHeight="1" x14ac:dyDescent="0.35">
      <c r="A342" s="23">
        <v>17</v>
      </c>
      <c r="B342" s="14" t="s">
        <v>244</v>
      </c>
      <c r="C342" s="211"/>
      <c r="D342" s="211"/>
      <c r="E342" s="211"/>
      <c r="F342" s="211"/>
      <c r="G342" s="211"/>
      <c r="H342" s="211"/>
      <c r="I342" s="211"/>
    </row>
    <row r="343" spans="1:9" ht="20.149999999999999" customHeight="1" x14ac:dyDescent="0.35">
      <c r="A343" s="23">
        <v>18</v>
      </c>
      <c r="B343" s="14" t="s">
        <v>1181</v>
      </c>
      <c r="C343" s="14"/>
      <c r="D343" s="14"/>
      <c r="E343" s="14"/>
      <c r="F343" s="14"/>
      <c r="G343" s="14"/>
      <c r="H343" s="14"/>
      <c r="I343" s="14"/>
    </row>
    <row r="344" spans="1:9" ht="20.149999999999999" customHeight="1" x14ac:dyDescent="0.35">
      <c r="A344" s="23">
        <v>19</v>
      </c>
      <c r="B344" s="48" t="s">
        <v>1182</v>
      </c>
      <c r="C344" s="213" t="str">
        <f>IF(data!BU73&gt;0,data!BU73,"")</f>
        <v>x</v>
      </c>
      <c r="D344" s="213" t="str">
        <f>IF(data!BV73&gt;0,data!BV73,"")</f>
        <v>x</v>
      </c>
      <c r="E344" s="213" t="str">
        <f>IF(data!BW73&gt;0,data!BW73,"")</f>
        <v>x</v>
      </c>
      <c r="F344" s="213" t="str">
        <f>IF(data!BX73&gt;0,data!BX73,"")</f>
        <v>x</v>
      </c>
      <c r="G344" s="213" t="str">
        <f>IF(data!BY73&gt;0,data!BY73,"")</f>
        <v>x</v>
      </c>
      <c r="H344" s="213" t="str">
        <f>IF(data!BZ73&gt;0,data!BZ73,"")</f>
        <v>x</v>
      </c>
      <c r="I344" s="213" t="str">
        <f>IF(data!CA73&gt;0,data!CA73,"")</f>
        <v>x</v>
      </c>
    </row>
    <row r="345" spans="1:9" ht="20.149999999999999" customHeight="1" x14ac:dyDescent="0.35">
      <c r="A345" s="23">
        <v>20</v>
      </c>
      <c r="B345" s="48" t="s">
        <v>1183</v>
      </c>
      <c r="C345" s="213" t="str">
        <f>IF(data!BU74&gt;0,data!BU74,"")</f>
        <v>x</v>
      </c>
      <c r="D345" s="213" t="str">
        <f>IF(data!BV74&gt;0,data!BV74,"")</f>
        <v>x</v>
      </c>
      <c r="E345" s="213" t="str">
        <f>IF(data!BW74&gt;0,data!BW74,"")</f>
        <v>x</v>
      </c>
      <c r="F345" s="213" t="str">
        <f>IF(data!BX74&gt;0,data!BX74,"")</f>
        <v>x</v>
      </c>
      <c r="G345" s="213" t="str">
        <f>IF(data!BY74&gt;0,data!BY74,"")</f>
        <v>x</v>
      </c>
      <c r="H345" s="213" t="str">
        <f>IF(data!BZ74&gt;0,data!BZ74,"")</f>
        <v>x</v>
      </c>
      <c r="I345" s="213" t="str">
        <f>IF(data!CA74&gt;0,data!CA74,"")</f>
        <v>x</v>
      </c>
    </row>
    <row r="346" spans="1:9" ht="20.149999999999999" customHeight="1" x14ac:dyDescent="0.35">
      <c r="A346" s="23">
        <v>21</v>
      </c>
      <c r="B346" s="48" t="s">
        <v>1184</v>
      </c>
      <c r="C346" s="213" t="str">
        <f>IF(data!BU75&gt;0,data!BU75,"")</f>
        <v>x</v>
      </c>
      <c r="D346" s="213" t="str">
        <f>IF(data!BV75&gt;0,data!BV75,"")</f>
        <v>x</v>
      </c>
      <c r="E346" s="213" t="str">
        <f>IF(data!BW75&gt;0,data!BW75,"")</f>
        <v>x</v>
      </c>
      <c r="F346" s="213" t="str">
        <f>IF(data!BX75&gt;0,data!BX75,"")</f>
        <v>x</v>
      </c>
      <c r="G346" s="213" t="str">
        <f>IF(data!BY75&gt;0,data!BY75,"")</f>
        <v>x</v>
      </c>
      <c r="H346" s="213" t="str">
        <f>IF(data!BZ75&gt;0,data!BZ75,"")</f>
        <v>x</v>
      </c>
      <c r="I346" s="213" t="str">
        <f>IF(data!CA75&gt;0,data!CA75,"")</f>
        <v>x</v>
      </c>
    </row>
    <row r="347" spans="1:9" ht="20.149999999999999" customHeight="1" x14ac:dyDescent="0.35">
      <c r="A347" s="23" t="s">
        <v>1185</v>
      </c>
      <c r="B347" s="60"/>
      <c r="C347" s="211"/>
      <c r="D347" s="211"/>
      <c r="E347" s="211"/>
      <c r="F347" s="211"/>
      <c r="G347" s="211"/>
      <c r="H347" s="211"/>
      <c r="I347" s="211"/>
    </row>
    <row r="348" spans="1:9" ht="20.149999999999999" customHeight="1" x14ac:dyDescent="0.35">
      <c r="A348" s="23">
        <v>22</v>
      </c>
      <c r="B348" s="14" t="s">
        <v>1186</v>
      </c>
      <c r="C348" s="85">
        <f>data!BU76</f>
        <v>0</v>
      </c>
      <c r="D348" s="85">
        <f>data!BV76</f>
        <v>17194</v>
      </c>
      <c r="E348" s="85">
        <f>data!BW76</f>
        <v>3446</v>
      </c>
      <c r="F348" s="85">
        <f>data!BX76</f>
        <v>3549</v>
      </c>
      <c r="G348" s="85">
        <f>data!BY76</f>
        <v>1319</v>
      </c>
      <c r="H348" s="85">
        <f>data!BZ76</f>
        <v>0</v>
      </c>
      <c r="I348" s="85">
        <f>data!CA76</f>
        <v>5571</v>
      </c>
    </row>
    <row r="349" spans="1:9" ht="20.149999999999999" customHeight="1" x14ac:dyDescent="0.35">
      <c r="A349" s="23">
        <v>23</v>
      </c>
      <c r="B349" s="14" t="s">
        <v>1187</v>
      </c>
      <c r="C349" s="85">
        <f>data!BU77</f>
        <v>0</v>
      </c>
      <c r="D349" s="85">
        <f>data!BV77</f>
        <v>0</v>
      </c>
      <c r="E349" s="85">
        <f>data!BW77</f>
        <v>0</v>
      </c>
      <c r="F349" s="85">
        <f>data!BX77</f>
        <v>0</v>
      </c>
      <c r="G349" s="85">
        <f>data!BY77</f>
        <v>0</v>
      </c>
      <c r="H349" s="85">
        <f>data!BZ77</f>
        <v>0</v>
      </c>
      <c r="I349" s="85">
        <f>data!CA77</f>
        <v>0</v>
      </c>
    </row>
    <row r="350" spans="1:9" ht="20.149999999999999" customHeight="1" x14ac:dyDescent="0.35">
      <c r="A350" s="23">
        <v>24</v>
      </c>
      <c r="B350" s="14" t="s">
        <v>1188</v>
      </c>
      <c r="C350" s="85">
        <f>data!BU78</f>
        <v>0</v>
      </c>
      <c r="D350" s="85">
        <f>data!BV78</f>
        <v>2190</v>
      </c>
      <c r="E350" s="85">
        <f>data!BW78</f>
        <v>439</v>
      </c>
      <c r="F350" s="85">
        <f>data!BX78</f>
        <v>452</v>
      </c>
      <c r="G350" s="85">
        <f>data!BY78</f>
        <v>168</v>
      </c>
      <c r="H350" s="85">
        <f>data!BZ78</f>
        <v>0</v>
      </c>
      <c r="I350" s="85">
        <f>data!CA78</f>
        <v>709</v>
      </c>
    </row>
    <row r="351" spans="1:9" ht="20.149999999999999" customHeight="1" x14ac:dyDescent="0.35">
      <c r="A351" s="23">
        <v>25</v>
      </c>
      <c r="B351" s="14" t="s">
        <v>1189</v>
      </c>
      <c r="C351" s="85">
        <f>data!BU79</f>
        <v>0</v>
      </c>
      <c r="D351" s="85">
        <f>data!BV79</f>
        <v>0</v>
      </c>
      <c r="E351" s="85">
        <f>data!BW79</f>
        <v>0</v>
      </c>
      <c r="F351" s="85">
        <f>data!BX79</f>
        <v>0</v>
      </c>
      <c r="G351" s="85">
        <f>data!BY79</f>
        <v>0</v>
      </c>
      <c r="H351" s="85">
        <f>data!BZ79</f>
        <v>0</v>
      </c>
      <c r="I351" s="85">
        <f>data!CA79</f>
        <v>0</v>
      </c>
    </row>
    <row r="352" spans="1:9" ht="20.149999999999999" customHeight="1" x14ac:dyDescent="0.35">
      <c r="A352" s="23">
        <v>26</v>
      </c>
      <c r="B352" s="14" t="s">
        <v>252</v>
      </c>
      <c r="C352" s="216" t="str">
        <f>IF(data!BU80&gt;0,data!BU80,"")</f>
        <v/>
      </c>
      <c r="D352" s="216" t="str">
        <f>IF(data!BV80&gt;0,data!BV80,"")</f>
        <v/>
      </c>
      <c r="E352" s="216" t="str">
        <f>IF(data!BW80&gt;0,data!BW80,"")</f>
        <v/>
      </c>
      <c r="F352" s="216" t="str">
        <f>IF(data!BX80&gt;0,data!BX80,"")</f>
        <v/>
      </c>
      <c r="G352" s="216" t="str">
        <f>IF(data!BY80&gt;0,data!BY80,"")</f>
        <v/>
      </c>
      <c r="H352" s="216" t="str">
        <f>IF(data!BZ80&gt;0,data!BZ80,"")</f>
        <v/>
      </c>
      <c r="I352" s="216" t="str">
        <f>IF(data!CA80&gt;0,data!CA80,"")</f>
        <v/>
      </c>
    </row>
    <row r="353" spans="1:9" ht="20.149999999999999" customHeight="1" x14ac:dyDescent="0.35">
      <c r="A353" s="4" t="s">
        <v>1173</v>
      </c>
      <c r="B353" s="5"/>
      <c r="C353" s="5"/>
      <c r="D353" s="6"/>
      <c r="E353" s="5"/>
      <c r="F353" s="5"/>
      <c r="G353" s="5"/>
      <c r="H353" s="5"/>
      <c r="I353" s="4"/>
    </row>
    <row r="354" spans="1:9" ht="20.149999999999999" customHeight="1" x14ac:dyDescent="0.35">
      <c r="A354" s="77"/>
      <c r="B354" s="77"/>
      <c r="C354" s="77"/>
      <c r="D354" s="45"/>
      <c r="E354" s="77"/>
      <c r="F354" s="77"/>
      <c r="G354" s="77"/>
      <c r="H354" s="77"/>
      <c r="I354" s="168" t="s">
        <v>1226</v>
      </c>
    </row>
    <row r="355" spans="1:9" ht="20.149999999999999" customHeight="1" x14ac:dyDescent="0.35">
      <c r="A355" s="45"/>
      <c r="B355" s="77"/>
      <c r="C355" s="77"/>
      <c r="D355" s="77"/>
      <c r="E355" s="77"/>
      <c r="F355" s="77"/>
      <c r="G355" s="77"/>
      <c r="H355" s="77"/>
      <c r="I355" s="77"/>
    </row>
    <row r="356" spans="1:9" ht="20.149999999999999" customHeight="1" x14ac:dyDescent="0.35">
      <c r="A356" s="79" t="str">
        <f>"HOSPITAL NAME: "&amp;data!C84</f>
        <v>HOSPITAL NAME: EvergreenHealth Kirkland / King Country Public Hos #2</v>
      </c>
      <c r="B356" s="77"/>
      <c r="C356" s="77"/>
      <c r="D356" s="77"/>
      <c r="E356" s="77"/>
      <c r="F356" s="77"/>
      <c r="G356" s="80"/>
      <c r="H356" s="79" t="str">
        <f>"FYE: "&amp;data!C82</f>
        <v>FYE: 12/31/2021</v>
      </c>
    </row>
    <row r="357" spans="1:9" ht="20.149999999999999" customHeight="1" x14ac:dyDescent="0.35">
      <c r="A357" s="23">
        <v>1</v>
      </c>
      <c r="B357" s="14" t="s">
        <v>209</v>
      </c>
      <c r="C357" s="15" t="s">
        <v>87</v>
      </c>
      <c r="D357" s="15" t="s">
        <v>88</v>
      </c>
      <c r="E357" s="15" t="s">
        <v>89</v>
      </c>
      <c r="F357" s="90"/>
      <c r="G357" s="90"/>
      <c r="H357" s="90"/>
      <c r="I357" s="15"/>
    </row>
    <row r="358" spans="1:9" ht="20.149999999999999" customHeight="1" x14ac:dyDescent="0.35">
      <c r="A358" s="81">
        <v>2</v>
      </c>
      <c r="B358" s="17" t="s">
        <v>1175</v>
      </c>
      <c r="C358" s="18" t="s">
        <v>160</v>
      </c>
      <c r="D358" s="18" t="s">
        <v>132</v>
      </c>
      <c r="E358" s="18" t="s">
        <v>211</v>
      </c>
      <c r="F358" s="91"/>
      <c r="G358" s="91"/>
      <c r="H358" s="91"/>
      <c r="I358" s="18" t="s">
        <v>161</v>
      </c>
    </row>
    <row r="359" spans="1:9" ht="20.149999999999999" customHeight="1" x14ac:dyDescent="0.35">
      <c r="A359" s="82"/>
      <c r="B359" s="83"/>
      <c r="C359" s="18" t="s">
        <v>201</v>
      </c>
      <c r="D359" s="18" t="s">
        <v>1227</v>
      </c>
      <c r="E359" s="18" t="s">
        <v>213</v>
      </c>
      <c r="F359" s="91"/>
      <c r="G359" s="91"/>
      <c r="H359" s="91"/>
      <c r="I359" s="18" t="s">
        <v>203</v>
      </c>
    </row>
    <row r="360" spans="1:9" ht="20.149999999999999" customHeight="1" x14ac:dyDescent="0.35">
      <c r="A360" s="23">
        <v>3</v>
      </c>
      <c r="B360" s="14" t="s">
        <v>1179</v>
      </c>
      <c r="C360" s="212"/>
      <c r="D360" s="212"/>
      <c r="E360" s="212"/>
      <c r="F360" s="212"/>
      <c r="G360" s="212"/>
      <c r="H360" s="212"/>
      <c r="I360" s="212"/>
    </row>
    <row r="361" spans="1:9" ht="20.149999999999999" customHeight="1" x14ac:dyDescent="0.35">
      <c r="A361" s="23">
        <v>4</v>
      </c>
      <c r="B361" s="14" t="s">
        <v>233</v>
      </c>
      <c r="C361" s="212"/>
      <c r="D361" s="212"/>
      <c r="E361" s="212"/>
      <c r="F361" s="212"/>
      <c r="G361" s="212"/>
      <c r="H361" s="212"/>
      <c r="I361" s="212"/>
    </row>
    <row r="362" spans="1:9" ht="20.149999999999999" customHeight="1" x14ac:dyDescent="0.35">
      <c r="A362" s="23">
        <v>5</v>
      </c>
      <c r="B362" s="14" t="s">
        <v>234</v>
      </c>
      <c r="C362" s="26">
        <f>data!CB60</f>
        <v>74.992658653846163</v>
      </c>
      <c r="D362" s="26">
        <f>data!CC60</f>
        <v>47.771096153846159</v>
      </c>
      <c r="E362" s="217"/>
      <c r="F362" s="211"/>
      <c r="G362" s="211"/>
      <c r="H362" s="211"/>
      <c r="I362" s="87">
        <f>data!CE60</f>
        <v>3994.1727548076929</v>
      </c>
    </row>
    <row r="363" spans="1:9" ht="20.149999999999999" customHeight="1" x14ac:dyDescent="0.35">
      <c r="A363" s="23">
        <v>6</v>
      </c>
      <c r="B363" s="14" t="s">
        <v>235</v>
      </c>
      <c r="C363" s="86">
        <f>data!CB61</f>
        <v>5962214.1499999994</v>
      </c>
      <c r="D363" s="86">
        <f>data!CC61</f>
        <v>10734326.060000001</v>
      </c>
      <c r="E363" s="218"/>
      <c r="F363" s="219"/>
      <c r="G363" s="219"/>
      <c r="H363" s="219"/>
      <c r="I363" s="86">
        <f>data!CE61</f>
        <v>454782940.53999984</v>
      </c>
    </row>
    <row r="364" spans="1:9" ht="20.149999999999999" customHeight="1" x14ac:dyDescent="0.35">
      <c r="A364" s="23">
        <v>7</v>
      </c>
      <c r="B364" s="14" t="s">
        <v>3</v>
      </c>
      <c r="C364" s="86">
        <f>data!CB62</f>
        <v>1516188</v>
      </c>
      <c r="D364" s="86">
        <f>data!CC62</f>
        <v>1269309</v>
      </c>
      <c r="E364" s="218"/>
      <c r="F364" s="219"/>
      <c r="G364" s="219"/>
      <c r="H364" s="219"/>
      <c r="I364" s="86">
        <f>data!CE62</f>
        <v>102427736</v>
      </c>
    </row>
    <row r="365" spans="1:9" ht="20.149999999999999" customHeight="1" x14ac:dyDescent="0.35">
      <c r="A365" s="23">
        <v>8</v>
      </c>
      <c r="B365" s="14" t="s">
        <v>236</v>
      </c>
      <c r="C365" s="86">
        <f>data!CB63</f>
        <v>668</v>
      </c>
      <c r="D365" s="86">
        <f>data!CC63</f>
        <v>313987.55</v>
      </c>
      <c r="E365" s="218"/>
      <c r="F365" s="219"/>
      <c r="G365" s="219"/>
      <c r="H365" s="219"/>
      <c r="I365" s="86">
        <f>data!CE63</f>
        <v>19523451.43</v>
      </c>
    </row>
    <row r="366" spans="1:9" ht="20.149999999999999" customHeight="1" x14ac:dyDescent="0.35">
      <c r="A366" s="23">
        <v>9</v>
      </c>
      <c r="B366" s="14" t="s">
        <v>237</v>
      </c>
      <c r="C366" s="86">
        <f>data!CB64</f>
        <v>32687.87</v>
      </c>
      <c r="D366" s="86">
        <f>data!CC64</f>
        <v>-1314223.3800000001</v>
      </c>
      <c r="E366" s="218"/>
      <c r="F366" s="219"/>
      <c r="G366" s="219"/>
      <c r="H366" s="219"/>
      <c r="I366" s="86">
        <f>data!CE64</f>
        <v>109418061.00000006</v>
      </c>
    </row>
    <row r="367" spans="1:9" ht="20.149999999999999" customHeight="1" x14ac:dyDescent="0.35">
      <c r="A367" s="23">
        <v>10</v>
      </c>
      <c r="B367" s="14" t="s">
        <v>444</v>
      </c>
      <c r="C367" s="86">
        <f>data!CB65</f>
        <v>8187.83</v>
      </c>
      <c r="D367" s="86">
        <f>data!CC65</f>
        <v>46884.789999999994</v>
      </c>
      <c r="E367" s="218"/>
      <c r="F367" s="219"/>
      <c r="G367" s="219"/>
      <c r="H367" s="219"/>
      <c r="I367" s="86">
        <f>data!CE65</f>
        <v>6832969.1799999997</v>
      </c>
    </row>
    <row r="368" spans="1:9" ht="20.149999999999999" customHeight="1" x14ac:dyDescent="0.35">
      <c r="A368" s="23">
        <v>11</v>
      </c>
      <c r="B368" s="14" t="s">
        <v>445</v>
      </c>
      <c r="C368" s="86">
        <f>data!CB66</f>
        <v>87453.58</v>
      </c>
      <c r="D368" s="86">
        <f>data!CC66</f>
        <v>4337916.3</v>
      </c>
      <c r="E368" s="218"/>
      <c r="F368" s="219"/>
      <c r="G368" s="219"/>
      <c r="H368" s="219"/>
      <c r="I368" s="86">
        <f>data!CE66</f>
        <v>64778714.180000007</v>
      </c>
    </row>
    <row r="369" spans="1:9" ht="20.149999999999999" customHeight="1" x14ac:dyDescent="0.35">
      <c r="A369" s="23">
        <v>12</v>
      </c>
      <c r="B369" s="14" t="s">
        <v>6</v>
      </c>
      <c r="C369" s="86">
        <f>data!CB67</f>
        <v>33687</v>
      </c>
      <c r="D369" s="86">
        <f>data!CC67</f>
        <v>68281</v>
      </c>
      <c r="E369" s="218"/>
      <c r="F369" s="219"/>
      <c r="G369" s="219"/>
      <c r="H369" s="219"/>
      <c r="I369" s="86">
        <f>data!CE67</f>
        <v>37830757</v>
      </c>
    </row>
    <row r="370" spans="1:9" ht="20.149999999999999" customHeight="1" x14ac:dyDescent="0.35">
      <c r="A370" s="23">
        <v>13</v>
      </c>
      <c r="B370" s="14" t="s">
        <v>474</v>
      </c>
      <c r="C370" s="86">
        <f>data!CB68</f>
        <v>219070.3</v>
      </c>
      <c r="D370" s="86">
        <f>data!CC68</f>
        <v>4145.18</v>
      </c>
      <c r="E370" s="218"/>
      <c r="F370" s="219"/>
      <c r="G370" s="219"/>
      <c r="H370" s="219"/>
      <c r="I370" s="86">
        <f>data!CE68</f>
        <v>16779791.100000001</v>
      </c>
    </row>
    <row r="371" spans="1:9" ht="20.149999999999999" customHeight="1" x14ac:dyDescent="0.35">
      <c r="A371" s="23">
        <v>14</v>
      </c>
      <c r="B371" s="14" t="s">
        <v>241</v>
      </c>
      <c r="C371" s="86">
        <f>data!CB69</f>
        <v>1902.7</v>
      </c>
      <c r="D371" s="86">
        <f>data!CC69</f>
        <v>5560239.8600000003</v>
      </c>
      <c r="E371" s="86">
        <f>data!CD69</f>
        <v>9869834.3200000003</v>
      </c>
      <c r="F371" s="219"/>
      <c r="G371" s="219"/>
      <c r="H371" s="219"/>
      <c r="I371" s="86">
        <f>data!CE69</f>
        <v>21701066.390000001</v>
      </c>
    </row>
    <row r="372" spans="1:9" ht="20.149999999999999" customHeight="1" x14ac:dyDescent="0.35">
      <c r="A372" s="23">
        <v>15</v>
      </c>
      <c r="B372" s="14" t="s">
        <v>242</v>
      </c>
      <c r="C372" s="14">
        <f>-data!CB70</f>
        <v>-1302787.25</v>
      </c>
      <c r="D372" s="14">
        <f>-data!CC70</f>
        <v>-14736507.529999999</v>
      </c>
      <c r="E372" s="228">
        <f>data!CD70</f>
        <v>731326.19</v>
      </c>
      <c r="F372" s="220"/>
      <c r="G372" s="220"/>
      <c r="H372" s="220"/>
      <c r="I372" s="14">
        <f>-data!CE70</f>
        <v>-52999500.090000004</v>
      </c>
    </row>
    <row r="373" spans="1:9" ht="20.149999999999999" customHeight="1" x14ac:dyDescent="0.35">
      <c r="A373" s="23">
        <v>16</v>
      </c>
      <c r="B373" s="48" t="s">
        <v>1180</v>
      </c>
      <c r="C373" s="86">
        <f>data!CB71</f>
        <v>6559272.1799999997</v>
      </c>
      <c r="D373" s="86">
        <f>data!CC71</f>
        <v>6284358.8300000001</v>
      </c>
      <c r="E373" s="86">
        <f>data!CD71</f>
        <v>9138508.1300000008</v>
      </c>
      <c r="F373" s="219"/>
      <c r="G373" s="219"/>
      <c r="H373" s="219"/>
      <c r="I373" s="14">
        <f>data!CE71</f>
        <v>781075986.72999966</v>
      </c>
    </row>
    <row r="374" spans="1:9" ht="20.149999999999999" customHeight="1" x14ac:dyDescent="0.35">
      <c r="A374" s="23">
        <v>17</v>
      </c>
      <c r="B374" s="14" t="s">
        <v>244</v>
      </c>
      <c r="C374" s="219"/>
      <c r="D374" s="219"/>
      <c r="E374" s="219"/>
      <c r="F374" s="219"/>
      <c r="G374" s="219"/>
      <c r="H374" s="219"/>
      <c r="I374" s="14">
        <f>-data!CE72</f>
        <v>0</v>
      </c>
    </row>
    <row r="375" spans="1:9" ht="20.149999999999999" customHeight="1" x14ac:dyDescent="0.35">
      <c r="A375" s="23">
        <v>18</v>
      </c>
      <c r="B375" s="14" t="s">
        <v>1181</v>
      </c>
      <c r="C375" s="14"/>
      <c r="D375" s="14"/>
      <c r="E375" s="14"/>
      <c r="F375" s="14"/>
      <c r="G375" s="14"/>
      <c r="H375" s="14"/>
      <c r="I375" s="14"/>
    </row>
    <row r="376" spans="1:9" ht="20.149999999999999" customHeight="1" x14ac:dyDescent="0.35">
      <c r="A376" s="23">
        <v>19</v>
      </c>
      <c r="B376" s="48" t="s">
        <v>1182</v>
      </c>
      <c r="C376" s="213" t="str">
        <f>IF(data!CB73&gt;0,data!CB73,"")</f>
        <v>x</v>
      </c>
      <c r="D376" s="213" t="str">
        <f>IF(data!CC73&gt;0,data!CC73,"")</f>
        <v>x</v>
      </c>
      <c r="E376" s="214"/>
      <c r="F376" s="211"/>
      <c r="G376" s="211"/>
      <c r="H376" s="211"/>
      <c r="I376" s="85">
        <f>data!CE73</f>
        <v>847495316.96999991</v>
      </c>
    </row>
    <row r="377" spans="1:9" ht="20.149999999999999" customHeight="1" x14ac:dyDescent="0.35">
      <c r="A377" s="23">
        <v>20</v>
      </c>
      <c r="B377" s="48" t="s">
        <v>1183</v>
      </c>
      <c r="C377" s="213" t="str">
        <f>IF(data!CB74&gt;0,data!CB74,"")</f>
        <v>x</v>
      </c>
      <c r="D377" s="213" t="str">
        <f>IF(data!CC74&gt;0,data!CC74,"")</f>
        <v>x</v>
      </c>
      <c r="E377" s="214"/>
      <c r="F377" s="211"/>
      <c r="G377" s="211"/>
      <c r="H377" s="211"/>
      <c r="I377" s="85">
        <f>data!CE74</f>
        <v>1253514559.6099999</v>
      </c>
    </row>
    <row r="378" spans="1:9" ht="20.149999999999999" customHeight="1" x14ac:dyDescent="0.35">
      <c r="A378" s="23">
        <v>21</v>
      </c>
      <c r="B378" s="48" t="s">
        <v>1184</v>
      </c>
      <c r="C378" s="213" t="str">
        <f>IF(data!CB75&gt;0,data!CB75,"")</f>
        <v>x</v>
      </c>
      <c r="D378" s="213" t="str">
        <f>IF(data!CC75&gt;0,data!CC75,"")</f>
        <v>x</v>
      </c>
      <c r="E378" s="214"/>
      <c r="F378" s="211"/>
      <c r="G378" s="211"/>
      <c r="H378" s="211"/>
      <c r="I378" s="85">
        <f>data!CE75</f>
        <v>2101009876.5799999</v>
      </c>
    </row>
    <row r="379" spans="1:9" ht="20.149999999999999" customHeight="1" x14ac:dyDescent="0.35">
      <c r="A379" s="23" t="s">
        <v>1185</v>
      </c>
      <c r="B379" s="60"/>
      <c r="C379" s="211"/>
      <c r="D379" s="211"/>
      <c r="E379" s="211"/>
      <c r="F379" s="211"/>
      <c r="G379" s="211"/>
      <c r="H379" s="211"/>
      <c r="I379" s="211"/>
    </row>
    <row r="380" spans="1:9" ht="20.149999999999999" customHeight="1" x14ac:dyDescent="0.35">
      <c r="A380" s="23">
        <v>22</v>
      </c>
      <c r="B380" s="14" t="s">
        <v>1186</v>
      </c>
      <c r="C380" s="85">
        <f>data!CB76</f>
        <v>4031</v>
      </c>
      <c r="D380" s="85">
        <f>data!CC76</f>
        <v>7876</v>
      </c>
      <c r="E380" s="214"/>
      <c r="F380" s="211"/>
      <c r="G380" s="211"/>
      <c r="H380" s="211"/>
      <c r="I380" s="14">
        <f>data!CE76</f>
        <v>1605304</v>
      </c>
    </row>
    <row r="381" spans="1:9" ht="20.149999999999999" customHeight="1" x14ac:dyDescent="0.35">
      <c r="A381" s="23">
        <v>23</v>
      </c>
      <c r="B381" s="14" t="s">
        <v>1187</v>
      </c>
      <c r="C381" s="14" t="str">
        <f>IF(data!CB77&gt;0,data!CB77,"")</f>
        <v/>
      </c>
      <c r="D381" s="213" t="str">
        <f>IF(data!CC77&gt;0,data!CC77,"")</f>
        <v>x</v>
      </c>
      <c r="E381" s="214"/>
      <c r="F381" s="211"/>
      <c r="G381" s="211"/>
      <c r="H381" s="211"/>
      <c r="I381" s="14">
        <f>data!CE77</f>
        <v>213376</v>
      </c>
    </row>
    <row r="382" spans="1:9" ht="20.149999999999999" customHeight="1" x14ac:dyDescent="0.35">
      <c r="A382" s="23">
        <v>24</v>
      </c>
      <c r="B382" s="14" t="s">
        <v>1188</v>
      </c>
      <c r="C382" s="14">
        <f>IF(data!CB78&gt;0,data!CB78,"")</f>
        <v>513</v>
      </c>
      <c r="D382" s="213" t="str">
        <f>IF(data!CC78&gt;0,data!CC78,"")</f>
        <v>x</v>
      </c>
      <c r="E382" s="214"/>
      <c r="F382" s="211"/>
      <c r="G382" s="211"/>
      <c r="H382" s="211"/>
      <c r="I382" s="14">
        <f>data!CE78</f>
        <v>107387</v>
      </c>
    </row>
    <row r="383" spans="1:9" ht="20.149999999999999" customHeight="1" x14ac:dyDescent="0.35">
      <c r="A383" s="23">
        <v>25</v>
      </c>
      <c r="B383" s="14" t="s">
        <v>1189</v>
      </c>
      <c r="C383" s="14" t="str">
        <f>IF(data!CB79&gt;0,data!CB79,"")</f>
        <v/>
      </c>
      <c r="D383" s="213" t="str">
        <f>IF(data!CC79&gt;0,data!CC79,"")</f>
        <v>x</v>
      </c>
      <c r="E383" s="214"/>
      <c r="F383" s="211"/>
      <c r="G383" s="211"/>
      <c r="H383" s="211"/>
      <c r="I383" s="14">
        <f>data!CE79</f>
        <v>2452817.1000000006</v>
      </c>
    </row>
    <row r="384" spans="1:9" ht="20.149999999999999" customHeight="1" x14ac:dyDescent="0.35">
      <c r="A384" s="23">
        <v>26</v>
      </c>
      <c r="B384" s="14" t="s">
        <v>252</v>
      </c>
      <c r="C384" s="213" t="str">
        <f>IF(data!CB80&gt;0,data!CB80,"")</f>
        <v/>
      </c>
      <c r="D384" s="213" t="str">
        <f>IF(data!CC80&gt;0,data!CC80,"")</f>
        <v>x</v>
      </c>
      <c r="E384" s="217"/>
      <c r="F384" s="211"/>
      <c r="G384" s="211"/>
      <c r="H384" s="211"/>
      <c r="I384" s="84">
        <f>data!CE80</f>
        <v>991.11932211538465</v>
      </c>
    </row>
  </sheetData>
  <phoneticPr fontId="0" type="noConversion"/>
  <printOptions horizontalCentered="1" verticalCentered="1"/>
  <pageMargins left="0" right="0" top="0" bottom="0" header="0" footer="0"/>
  <pageSetup scale="83" fitToHeight="12" orientation="landscape" r:id="rId1"/>
  <headerFooter alignWithMargins="0"/>
  <rowBreaks count="12" manualBreakCount="12">
    <brk id="32" max="65535" man="1"/>
    <brk id="64" max="65535" man="1"/>
    <brk id="96" max="65535" man="1"/>
    <brk id="128" max="65535" man="1"/>
    <brk id="160" max="65535" man="1"/>
    <brk id="192" max="65535" man="1"/>
    <brk id="224" max="65535" man="1"/>
    <brk id="256" max="65535" man="1"/>
    <brk id="288" max="65535" man="1"/>
    <brk id="320" max="65535" man="1"/>
    <brk id="352" max="65535" man="1"/>
    <brk id="410" max="6553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A1:M153"/>
  <sheetViews>
    <sheetView showGridLines="0" zoomScale="75" workbookViewId="0">
      <selection activeCell="E116" sqref="E116"/>
    </sheetView>
  </sheetViews>
  <sheetFormatPr defaultColWidth="57.4375" defaultRowHeight="15" x14ac:dyDescent="0.35"/>
  <cols>
    <col min="1" max="1" width="5.75" style="7" customWidth="1"/>
    <col min="2" max="2" width="55.75" style="7" customWidth="1"/>
    <col min="3" max="3" width="22" style="7" customWidth="1"/>
    <col min="4" max="4" width="5.6875" style="7" customWidth="1"/>
    <col min="5" max="16384" width="57.4375" style="7"/>
  </cols>
  <sheetData>
    <row r="1" spans="1:13" ht="20.149999999999999" customHeight="1" x14ac:dyDescent="0.35">
      <c r="A1" s="4" t="s">
        <v>1101</v>
      </c>
      <c r="B1" s="5"/>
      <c r="C1" s="6"/>
    </row>
    <row r="2" spans="1:13" ht="20.149999999999999" customHeight="1" x14ac:dyDescent="0.35">
      <c r="A2" s="4"/>
      <c r="B2" s="5"/>
      <c r="C2" s="167" t="s">
        <v>1102</v>
      </c>
    </row>
    <row r="3" spans="1:13" ht="20.149999999999999" customHeight="1" x14ac:dyDescent="0.35">
      <c r="A3" s="29" t="str">
        <f>"HOSPITAL: "&amp;data!C84</f>
        <v>HOSPITAL: EvergreenHealth Kirkland / King Country Public Hos #2</v>
      </c>
      <c r="B3" s="30"/>
      <c r="C3" s="31" t="str">
        <f>" FYE: "&amp;data!C82</f>
        <v xml:space="preserve"> FYE: 12/31/2021</v>
      </c>
    </row>
    <row r="4" spans="1:13" ht="20.149999999999999" customHeight="1" x14ac:dyDescent="0.35">
      <c r="A4" s="32"/>
      <c r="B4" s="33" t="s">
        <v>1103</v>
      </c>
      <c r="C4" s="34"/>
    </row>
    <row r="5" spans="1:13" ht="20.149999999999999" customHeight="1" x14ac:dyDescent="0.35">
      <c r="A5" s="23">
        <v>1</v>
      </c>
      <c r="B5" s="35" t="s">
        <v>361</v>
      </c>
      <c r="C5" s="36"/>
    </row>
    <row r="6" spans="1:13" ht="20.149999999999999" customHeight="1" x14ac:dyDescent="0.35">
      <c r="A6" s="13">
        <v>2</v>
      </c>
      <c r="B6" s="14" t="s">
        <v>362</v>
      </c>
      <c r="C6" s="21">
        <f>data!C250</f>
        <v>121853533</v>
      </c>
    </row>
    <row r="7" spans="1:13" ht="20.149999999999999" customHeight="1" x14ac:dyDescent="0.35">
      <c r="A7" s="13">
        <v>3</v>
      </c>
      <c r="B7" s="14" t="s">
        <v>363</v>
      </c>
      <c r="C7" s="21">
        <f>data!C251</f>
        <v>0</v>
      </c>
    </row>
    <row r="8" spans="1:13" ht="20.149999999999999" customHeight="1" x14ac:dyDescent="0.35">
      <c r="A8" s="13">
        <v>4</v>
      </c>
      <c r="B8" s="14" t="s">
        <v>364</v>
      </c>
      <c r="C8" s="21">
        <f>data!C252</f>
        <v>344927595</v>
      </c>
    </row>
    <row r="9" spans="1:13" ht="20.149999999999999" customHeight="1" x14ac:dyDescent="0.35">
      <c r="A9" s="13">
        <v>5</v>
      </c>
      <c r="B9" s="14" t="s">
        <v>1104</v>
      </c>
      <c r="C9" s="21">
        <f>data!C253</f>
        <v>230910979</v>
      </c>
    </row>
    <row r="10" spans="1:13" ht="20.149999999999999" customHeight="1" x14ac:dyDescent="0.35">
      <c r="A10" s="13">
        <v>6</v>
      </c>
      <c r="B10" s="14" t="s">
        <v>1105</v>
      </c>
      <c r="C10" s="21">
        <f>data!C254</f>
        <v>4893510</v>
      </c>
    </row>
    <row r="11" spans="1:13" ht="20.149999999999999" customHeight="1" x14ac:dyDescent="0.35">
      <c r="A11" s="13">
        <v>7</v>
      </c>
      <c r="B11" s="14" t="s">
        <v>1106</v>
      </c>
      <c r="C11" s="21">
        <f>data!C255</f>
        <v>15858030</v>
      </c>
    </row>
    <row r="12" spans="1:13" ht="20.149999999999999" customHeight="1" x14ac:dyDescent="0.35">
      <c r="A12" s="13">
        <v>8</v>
      </c>
      <c r="B12" s="14" t="s">
        <v>367</v>
      </c>
      <c r="C12" s="21">
        <f>data!C256</f>
        <v>3797293</v>
      </c>
    </row>
    <row r="13" spans="1:13" ht="20.149999999999999" customHeight="1" x14ac:dyDescent="0.35">
      <c r="A13" s="13">
        <v>9</v>
      </c>
      <c r="B13" s="14" t="s">
        <v>368</v>
      </c>
      <c r="C13" s="21">
        <f>data!C257</f>
        <v>8096346</v>
      </c>
    </row>
    <row r="14" spans="1:13" ht="20.149999999999999" customHeight="1" x14ac:dyDescent="0.35">
      <c r="A14" s="13">
        <v>10</v>
      </c>
      <c r="B14" s="14" t="s">
        <v>369</v>
      </c>
      <c r="C14" s="21">
        <f>data!C258</f>
        <v>8710734</v>
      </c>
    </row>
    <row r="15" spans="1:13" ht="20.149999999999999" customHeight="1" x14ac:dyDescent="0.35">
      <c r="A15" s="13">
        <v>11</v>
      </c>
      <c r="B15" s="14" t="s">
        <v>1107</v>
      </c>
      <c r="C15" s="21">
        <f>data!C259</f>
        <v>0</v>
      </c>
      <c r="M15" s="269"/>
    </row>
    <row r="16" spans="1:13" ht="20.149999999999999" customHeight="1" x14ac:dyDescent="0.35">
      <c r="A16" s="13">
        <v>12</v>
      </c>
      <c r="B16" s="14" t="s">
        <v>1108</v>
      </c>
      <c r="C16" s="21">
        <f>data!D260</f>
        <v>277226062</v>
      </c>
    </row>
    <row r="17" spans="1:3" ht="20.149999999999999" customHeight="1" x14ac:dyDescent="0.35">
      <c r="A17" s="13">
        <v>13</v>
      </c>
      <c r="B17" s="24"/>
      <c r="C17" s="24"/>
    </row>
    <row r="18" spans="1:3" ht="20.149999999999999" customHeight="1" x14ac:dyDescent="0.35">
      <c r="A18" s="13">
        <v>14</v>
      </c>
      <c r="B18" s="37" t="s">
        <v>1109</v>
      </c>
      <c r="C18" s="36"/>
    </row>
    <row r="19" spans="1:3" ht="20.149999999999999" customHeight="1" x14ac:dyDescent="0.35">
      <c r="A19" s="13">
        <v>15</v>
      </c>
      <c r="B19" s="14" t="s">
        <v>362</v>
      </c>
      <c r="C19" s="21">
        <f>data!C262</f>
        <v>249874806</v>
      </c>
    </row>
    <row r="20" spans="1:3" ht="20.149999999999999" customHeight="1" x14ac:dyDescent="0.35">
      <c r="A20" s="13">
        <v>16</v>
      </c>
      <c r="B20" s="14" t="s">
        <v>363</v>
      </c>
      <c r="C20" s="21">
        <f>data!C263</f>
        <v>0</v>
      </c>
    </row>
    <row r="21" spans="1:3" ht="20.149999999999999" customHeight="1" x14ac:dyDescent="0.35">
      <c r="A21" s="13">
        <v>17</v>
      </c>
      <c r="B21" s="14" t="s">
        <v>373</v>
      </c>
      <c r="C21" s="21">
        <f>data!C264</f>
        <v>0</v>
      </c>
    </row>
    <row r="22" spans="1:3" ht="20.149999999999999" customHeight="1" x14ac:dyDescent="0.35">
      <c r="A22" s="13">
        <v>18</v>
      </c>
      <c r="B22" s="14" t="s">
        <v>1110</v>
      </c>
      <c r="C22" s="21">
        <f>data!D265</f>
        <v>249874806</v>
      </c>
    </row>
    <row r="23" spans="1:3" ht="20.149999999999999" customHeight="1" x14ac:dyDescent="0.35">
      <c r="A23" s="13">
        <v>19</v>
      </c>
      <c r="B23" s="38"/>
      <c r="C23" s="24"/>
    </row>
    <row r="24" spans="1:3" ht="20.149999999999999" customHeight="1" x14ac:dyDescent="0.35">
      <c r="A24" s="13">
        <v>20</v>
      </c>
      <c r="B24" s="37" t="s">
        <v>1111</v>
      </c>
      <c r="C24" s="36"/>
    </row>
    <row r="25" spans="1:3" ht="20.149999999999999" customHeight="1" x14ac:dyDescent="0.35">
      <c r="A25" s="13">
        <v>21</v>
      </c>
      <c r="B25" s="14" t="s">
        <v>332</v>
      </c>
      <c r="C25" s="21">
        <f>data!C267</f>
        <v>4913660</v>
      </c>
    </row>
    <row r="26" spans="1:3" ht="20.149999999999999" customHeight="1" x14ac:dyDescent="0.35">
      <c r="A26" s="13">
        <v>22</v>
      </c>
      <c r="B26" s="14" t="s">
        <v>333</v>
      </c>
      <c r="C26" s="21">
        <f>data!C268</f>
        <v>13121106</v>
      </c>
    </row>
    <row r="27" spans="1:3" ht="20.149999999999999" customHeight="1" x14ac:dyDescent="0.35">
      <c r="A27" s="13">
        <v>23</v>
      </c>
      <c r="B27" s="14" t="s">
        <v>334</v>
      </c>
      <c r="C27" s="21">
        <f>data!C269</f>
        <v>358326296</v>
      </c>
    </row>
    <row r="28" spans="1:3" ht="20.149999999999999" customHeight="1" x14ac:dyDescent="0.35">
      <c r="A28" s="13">
        <v>24</v>
      </c>
      <c r="B28" s="14" t="s">
        <v>1112</v>
      </c>
      <c r="C28" s="21">
        <f>data!C270</f>
        <v>133768500</v>
      </c>
    </row>
    <row r="29" spans="1:3" ht="20.149999999999999" customHeight="1" x14ac:dyDescent="0.35">
      <c r="A29" s="13">
        <v>25</v>
      </c>
      <c r="B29" s="14" t="s">
        <v>336</v>
      </c>
      <c r="C29" s="21">
        <f>data!C271</f>
        <v>10601</v>
      </c>
    </row>
    <row r="30" spans="1:3" ht="20.149999999999999" customHeight="1" x14ac:dyDescent="0.35">
      <c r="A30" s="13">
        <v>26</v>
      </c>
      <c r="B30" s="14" t="s">
        <v>378</v>
      </c>
      <c r="C30" s="21">
        <f>data!C272</f>
        <v>293035773</v>
      </c>
    </row>
    <row r="31" spans="1:3" ht="20.149999999999999" customHeight="1" x14ac:dyDescent="0.35">
      <c r="A31" s="13">
        <v>27</v>
      </c>
      <c r="B31" s="14" t="s">
        <v>339</v>
      </c>
      <c r="C31" s="21">
        <f>data!C273</f>
        <v>39855644</v>
      </c>
    </row>
    <row r="32" spans="1:3" ht="20.149999999999999" customHeight="1" x14ac:dyDescent="0.35">
      <c r="A32" s="13">
        <v>28</v>
      </c>
      <c r="B32" s="14" t="s">
        <v>340</v>
      </c>
      <c r="C32" s="21">
        <f>data!C274</f>
        <v>33286255</v>
      </c>
    </row>
    <row r="33" spans="1:3" ht="20.149999999999999" customHeight="1" x14ac:dyDescent="0.35">
      <c r="A33" s="13">
        <v>29</v>
      </c>
      <c r="B33" s="14" t="s">
        <v>661</v>
      </c>
      <c r="C33" s="21">
        <f>data!D275</f>
        <v>876317835</v>
      </c>
    </row>
    <row r="34" spans="1:3" ht="20.149999999999999" customHeight="1" x14ac:dyDescent="0.35">
      <c r="A34" s="13">
        <v>30</v>
      </c>
      <c r="B34" s="14" t="s">
        <v>1113</v>
      </c>
      <c r="C34" s="21">
        <f>data!C276</f>
        <v>549998043</v>
      </c>
    </row>
    <row r="35" spans="1:3" ht="20.149999999999999" customHeight="1" x14ac:dyDescent="0.35">
      <c r="A35" s="13">
        <v>31</v>
      </c>
      <c r="B35" s="14" t="s">
        <v>1114</v>
      </c>
      <c r="C35" s="21">
        <f>data!D277</f>
        <v>326319792</v>
      </c>
    </row>
    <row r="36" spans="1:3" ht="20.149999999999999" customHeight="1" x14ac:dyDescent="0.35">
      <c r="A36" s="13">
        <v>32</v>
      </c>
      <c r="B36" s="38"/>
      <c r="C36" s="24"/>
    </row>
    <row r="37" spans="1:3" ht="20.149999999999999" customHeight="1" x14ac:dyDescent="0.35">
      <c r="A37" s="23">
        <v>33</v>
      </c>
      <c r="B37" s="37" t="s">
        <v>1115</v>
      </c>
      <c r="C37" s="36"/>
    </row>
    <row r="38" spans="1:3" ht="20.149999999999999" customHeight="1" x14ac:dyDescent="0.35">
      <c r="A38" s="13">
        <v>34</v>
      </c>
      <c r="B38" s="14" t="s">
        <v>1116</v>
      </c>
      <c r="C38" s="21">
        <f>data!C279</f>
        <v>0</v>
      </c>
    </row>
    <row r="39" spans="1:3" ht="20.149999999999999" customHeight="1" x14ac:dyDescent="0.35">
      <c r="A39" s="13">
        <v>35</v>
      </c>
      <c r="B39" s="14" t="s">
        <v>1117</v>
      </c>
      <c r="C39" s="21">
        <f>data!C280</f>
        <v>0</v>
      </c>
    </row>
    <row r="40" spans="1:3" ht="20.149999999999999" customHeight="1" x14ac:dyDescent="0.35">
      <c r="A40" s="13">
        <v>36</v>
      </c>
      <c r="B40" s="14" t="s">
        <v>385</v>
      </c>
      <c r="C40" s="21">
        <f>data!C281</f>
        <v>7885852</v>
      </c>
    </row>
    <row r="41" spans="1:3" ht="20.149999999999999" customHeight="1" x14ac:dyDescent="0.35">
      <c r="A41" s="13">
        <v>37</v>
      </c>
      <c r="B41" s="14" t="s">
        <v>373</v>
      </c>
      <c r="C41" s="21">
        <f>data!C282</f>
        <v>3417138</v>
      </c>
    </row>
    <row r="42" spans="1:3" ht="20.149999999999999" customHeight="1" x14ac:dyDescent="0.35">
      <c r="A42" s="13">
        <v>38</v>
      </c>
      <c r="B42" s="14" t="s">
        <v>1118</v>
      </c>
      <c r="C42" s="21">
        <f>data!D283</f>
        <v>11302990</v>
      </c>
    </row>
    <row r="43" spans="1:3" ht="20.149999999999999" customHeight="1" x14ac:dyDescent="0.35">
      <c r="A43" s="13">
        <v>39</v>
      </c>
      <c r="B43" s="38"/>
      <c r="C43" s="24"/>
    </row>
    <row r="44" spans="1:3" ht="20.149999999999999" customHeight="1" x14ac:dyDescent="0.35">
      <c r="A44" s="23">
        <v>40</v>
      </c>
      <c r="B44" s="37" t="s">
        <v>1119</v>
      </c>
      <c r="C44" s="36"/>
    </row>
    <row r="45" spans="1:3" ht="20.149999999999999" customHeight="1" x14ac:dyDescent="0.35">
      <c r="A45" s="13">
        <v>41</v>
      </c>
      <c r="B45" s="14" t="s">
        <v>388</v>
      </c>
      <c r="C45" s="21">
        <f>data!C286</f>
        <v>24914365</v>
      </c>
    </row>
    <row r="46" spans="1:3" ht="20.149999999999999" customHeight="1" x14ac:dyDescent="0.35">
      <c r="A46" s="13">
        <v>42</v>
      </c>
      <c r="B46" s="14" t="s">
        <v>389</v>
      </c>
      <c r="C46" s="21">
        <f>data!C287</f>
        <v>0</v>
      </c>
    </row>
    <row r="47" spans="1:3" ht="20.149999999999999" customHeight="1" x14ac:dyDescent="0.35">
      <c r="A47" s="13">
        <v>43</v>
      </c>
      <c r="B47" s="14" t="s">
        <v>1120</v>
      </c>
      <c r="C47" s="21">
        <f>data!C288</f>
        <v>0</v>
      </c>
    </row>
    <row r="48" spans="1:3" ht="20.149999999999999" customHeight="1" x14ac:dyDescent="0.35">
      <c r="A48" s="13">
        <v>44</v>
      </c>
      <c r="B48" s="14" t="s">
        <v>391</v>
      </c>
      <c r="C48" s="21">
        <f>data!C289</f>
        <v>0</v>
      </c>
    </row>
    <row r="49" spans="1:3" ht="20.149999999999999" customHeight="1" x14ac:dyDescent="0.35">
      <c r="A49" s="13">
        <v>45</v>
      </c>
      <c r="B49" s="14" t="s">
        <v>1121</v>
      </c>
      <c r="C49" s="21">
        <f>data!D290</f>
        <v>24914365</v>
      </c>
    </row>
    <row r="50" spans="1:3" ht="20.149999999999999" customHeight="1" x14ac:dyDescent="0.35">
      <c r="A50" s="40">
        <v>46</v>
      </c>
      <c r="B50" s="41" t="s">
        <v>1122</v>
      </c>
      <c r="C50" s="21">
        <f>data!D292</f>
        <v>889638015</v>
      </c>
    </row>
    <row r="51" spans="1:3" ht="20.149999999999999" customHeight="1" x14ac:dyDescent="0.35"/>
    <row r="52" spans="1:3" ht="20.149999999999999" customHeight="1" x14ac:dyDescent="0.35"/>
    <row r="53" spans="1:3" ht="20.149999999999999" customHeight="1" x14ac:dyDescent="0.35">
      <c r="A53" s="4" t="s">
        <v>1123</v>
      </c>
      <c r="B53" s="5"/>
      <c r="C53" s="6"/>
    </row>
    <row r="54" spans="1:3" ht="20.149999999999999" customHeight="1" x14ac:dyDescent="0.35">
      <c r="A54" s="4"/>
      <c r="B54" s="5"/>
      <c r="C54" s="167" t="s">
        <v>1124</v>
      </c>
    </row>
    <row r="55" spans="1:3" ht="20.149999999999999" customHeight="1" x14ac:dyDescent="0.35">
      <c r="A55" s="29" t="str">
        <f>"HOSPITAL: "&amp;data!C84</f>
        <v>HOSPITAL: EvergreenHealth Kirkland / King Country Public Hos #2</v>
      </c>
      <c r="B55" s="30"/>
      <c r="C55" s="31" t="str">
        <f>"FYE: "&amp;data!C82</f>
        <v>FYE: 12/31/2021</v>
      </c>
    </row>
    <row r="56" spans="1:3" ht="20.149999999999999" customHeight="1" x14ac:dyDescent="0.35">
      <c r="A56" s="42"/>
      <c r="B56" s="43" t="s">
        <v>1125</v>
      </c>
      <c r="C56" s="34"/>
    </row>
    <row r="57" spans="1:3" ht="20.149999999999999" customHeight="1" x14ac:dyDescent="0.35">
      <c r="A57" s="16">
        <v>1</v>
      </c>
      <c r="B57" s="4" t="s">
        <v>395</v>
      </c>
      <c r="C57" s="44"/>
    </row>
    <row r="58" spans="1:3" ht="20.149999999999999" customHeight="1" x14ac:dyDescent="0.35">
      <c r="A58" s="13">
        <v>2</v>
      </c>
      <c r="B58" s="14" t="s">
        <v>396</v>
      </c>
      <c r="C58" s="21">
        <f>data!C304</f>
        <v>0</v>
      </c>
    </row>
    <row r="59" spans="1:3" ht="20.149999999999999" customHeight="1" x14ac:dyDescent="0.35">
      <c r="A59" s="13">
        <v>3</v>
      </c>
      <c r="B59" s="14" t="s">
        <v>1126</v>
      </c>
      <c r="C59" s="21">
        <f>data!C305</f>
        <v>34543779</v>
      </c>
    </row>
    <row r="60" spans="1:3" ht="20.149999999999999" customHeight="1" x14ac:dyDescent="0.35">
      <c r="A60" s="13">
        <v>4</v>
      </c>
      <c r="B60" s="14" t="s">
        <v>1127</v>
      </c>
      <c r="C60" s="21">
        <f>data!C306</f>
        <v>53469901</v>
      </c>
    </row>
    <row r="61" spans="1:3" ht="20.149999999999999" customHeight="1" x14ac:dyDescent="0.35">
      <c r="A61" s="13">
        <v>5</v>
      </c>
      <c r="B61" s="14" t="s">
        <v>399</v>
      </c>
      <c r="C61" s="21">
        <f>data!C307</f>
        <v>731431</v>
      </c>
    </row>
    <row r="62" spans="1:3" ht="20.149999999999999" customHeight="1" x14ac:dyDescent="0.35">
      <c r="A62" s="13">
        <v>6</v>
      </c>
      <c r="B62" s="14" t="s">
        <v>1128</v>
      </c>
      <c r="C62" s="21">
        <f>data!C308</f>
        <v>0</v>
      </c>
    </row>
    <row r="63" spans="1:3" ht="20.149999999999999" customHeight="1" x14ac:dyDescent="0.35">
      <c r="A63" s="13">
        <v>7</v>
      </c>
      <c r="B63" s="14" t="s">
        <v>1129</v>
      </c>
      <c r="C63" s="21">
        <f>data!C309</f>
        <v>7327761</v>
      </c>
    </row>
    <row r="64" spans="1:3" ht="20.149999999999999" customHeight="1" x14ac:dyDescent="0.35">
      <c r="A64" s="13">
        <v>8</v>
      </c>
      <c r="B64" s="14" t="s">
        <v>401</v>
      </c>
      <c r="C64" s="21">
        <f>data!C310</f>
        <v>0</v>
      </c>
    </row>
    <row r="65" spans="1:3" ht="20.149999999999999" customHeight="1" x14ac:dyDescent="0.35">
      <c r="A65" s="13">
        <v>9</v>
      </c>
      <c r="B65" s="14" t="s">
        <v>402</v>
      </c>
      <c r="C65" s="21">
        <f>data!C311</f>
        <v>0</v>
      </c>
    </row>
    <row r="66" spans="1:3" ht="20.149999999999999" customHeight="1" x14ac:dyDescent="0.35">
      <c r="A66" s="13">
        <v>10</v>
      </c>
      <c r="B66" s="14" t="s">
        <v>403</v>
      </c>
      <c r="C66" s="21">
        <f>data!C312</f>
        <v>1429161</v>
      </c>
    </row>
    <row r="67" spans="1:3" ht="20.149999999999999" customHeight="1" x14ac:dyDescent="0.35">
      <c r="A67" s="13">
        <v>11</v>
      </c>
      <c r="B67" s="14" t="s">
        <v>1130</v>
      </c>
      <c r="C67" s="21">
        <f>data!C313</f>
        <v>15389095</v>
      </c>
    </row>
    <row r="68" spans="1:3" ht="20.149999999999999" customHeight="1" x14ac:dyDescent="0.35">
      <c r="A68" s="13">
        <v>12</v>
      </c>
      <c r="B68" s="14" t="s">
        <v>1131</v>
      </c>
      <c r="C68" s="21">
        <f>data!D314</f>
        <v>112891128</v>
      </c>
    </row>
    <row r="69" spans="1:3" ht="20.149999999999999" customHeight="1" x14ac:dyDescent="0.35">
      <c r="A69" s="13">
        <v>13</v>
      </c>
      <c r="B69" s="38"/>
      <c r="C69" s="24"/>
    </row>
    <row r="70" spans="1:3" ht="20.149999999999999" customHeight="1" x14ac:dyDescent="0.35">
      <c r="A70" s="13">
        <v>14</v>
      </c>
      <c r="B70" s="37" t="s">
        <v>1132</v>
      </c>
      <c r="C70" s="36"/>
    </row>
    <row r="71" spans="1:3" ht="20.149999999999999" customHeight="1" x14ac:dyDescent="0.35">
      <c r="A71" s="13">
        <v>15</v>
      </c>
      <c r="B71" s="14" t="s">
        <v>407</v>
      </c>
      <c r="C71" s="21">
        <f>data!C316</f>
        <v>0</v>
      </c>
    </row>
    <row r="72" spans="1:3" ht="20.149999999999999" customHeight="1" x14ac:dyDescent="0.35">
      <c r="A72" s="13">
        <v>16</v>
      </c>
      <c r="B72" s="14" t="s">
        <v>1133</v>
      </c>
      <c r="C72" s="21">
        <f>data!C317</f>
        <v>31738822</v>
      </c>
    </row>
    <row r="73" spans="1:3" ht="20.149999999999999" customHeight="1" x14ac:dyDescent="0.35">
      <c r="A73" s="13">
        <v>17</v>
      </c>
      <c r="B73" s="14" t="s">
        <v>409</v>
      </c>
      <c r="C73" s="21">
        <f>data!C318</f>
        <v>1006585</v>
      </c>
    </row>
    <row r="74" spans="1:3" ht="20.149999999999999" customHeight="1" x14ac:dyDescent="0.35">
      <c r="A74" s="13">
        <v>18</v>
      </c>
      <c r="B74" s="14" t="s">
        <v>1134</v>
      </c>
      <c r="C74" s="21">
        <f>data!D319</f>
        <v>32745407</v>
      </c>
    </row>
    <row r="75" spans="1:3" ht="20.149999999999999" customHeight="1" x14ac:dyDescent="0.35">
      <c r="A75" s="13">
        <v>19</v>
      </c>
      <c r="B75" s="38"/>
      <c r="C75" s="24"/>
    </row>
    <row r="76" spans="1:3" ht="20.149999999999999" customHeight="1" x14ac:dyDescent="0.35">
      <c r="A76" s="23">
        <v>20</v>
      </c>
      <c r="B76" s="37" t="s">
        <v>411</v>
      </c>
      <c r="C76" s="36"/>
    </row>
    <row r="77" spans="1:3" ht="20.149999999999999" customHeight="1" x14ac:dyDescent="0.35">
      <c r="A77" s="13">
        <v>21</v>
      </c>
      <c r="B77" s="14" t="s">
        <v>412</v>
      </c>
      <c r="C77" s="21">
        <f>data!C321</f>
        <v>0</v>
      </c>
    </row>
    <row r="78" spans="1:3" ht="20.149999999999999" customHeight="1" x14ac:dyDescent="0.35">
      <c r="A78" s="13">
        <v>22</v>
      </c>
      <c r="B78" s="14" t="s">
        <v>1135</v>
      </c>
      <c r="C78" s="21">
        <f>data!C322</f>
        <v>0</v>
      </c>
    </row>
    <row r="79" spans="1:3" ht="20.149999999999999" customHeight="1" x14ac:dyDescent="0.35">
      <c r="A79" s="13">
        <v>23</v>
      </c>
      <c r="B79" s="14" t="s">
        <v>414</v>
      </c>
      <c r="C79" s="21">
        <f>data!C323</f>
        <v>0</v>
      </c>
    </row>
    <row r="80" spans="1:3" ht="20.149999999999999" customHeight="1" x14ac:dyDescent="0.35">
      <c r="A80" s="13">
        <v>24</v>
      </c>
      <c r="B80" s="14" t="s">
        <v>1136</v>
      </c>
      <c r="C80" s="21">
        <f>data!C324</f>
        <v>6048982</v>
      </c>
    </row>
    <row r="81" spans="1:3" ht="20.149999999999999" customHeight="1" x14ac:dyDescent="0.35">
      <c r="A81" s="13">
        <v>25</v>
      </c>
      <c r="B81" s="14" t="s">
        <v>416</v>
      </c>
      <c r="C81" s="21">
        <f>data!C325</f>
        <v>278870835</v>
      </c>
    </row>
    <row r="82" spans="1:3" ht="20.149999999999999" customHeight="1" x14ac:dyDescent="0.35">
      <c r="A82" s="13">
        <v>26</v>
      </c>
      <c r="B82" s="14" t="s">
        <v>1137</v>
      </c>
      <c r="C82" s="21">
        <f>data!C326</f>
        <v>0</v>
      </c>
    </row>
    <row r="83" spans="1:3" ht="20.149999999999999" customHeight="1" x14ac:dyDescent="0.35">
      <c r="A83" s="13">
        <v>27</v>
      </c>
      <c r="B83" s="14" t="s">
        <v>418</v>
      </c>
      <c r="C83" s="21">
        <f>data!C327</f>
        <v>18752134</v>
      </c>
    </row>
    <row r="84" spans="1:3" ht="20.149999999999999" customHeight="1" x14ac:dyDescent="0.35">
      <c r="A84" s="13">
        <v>28</v>
      </c>
      <c r="B84" s="14" t="s">
        <v>661</v>
      </c>
      <c r="C84" s="21">
        <f>data!D328</f>
        <v>303671951</v>
      </c>
    </row>
    <row r="85" spans="1:3" ht="20.149999999999999" customHeight="1" x14ac:dyDescent="0.35">
      <c r="A85" s="13">
        <v>29</v>
      </c>
      <c r="B85" s="14" t="s">
        <v>1138</v>
      </c>
      <c r="C85" s="21">
        <f>data!D329</f>
        <v>15389095</v>
      </c>
    </row>
    <row r="86" spans="1:3" ht="20.149999999999999" customHeight="1" x14ac:dyDescent="0.35">
      <c r="A86" s="13">
        <v>30</v>
      </c>
      <c r="B86" s="14" t="s">
        <v>1139</v>
      </c>
      <c r="C86" s="21">
        <f>data!D330</f>
        <v>288282856</v>
      </c>
    </row>
    <row r="87" spans="1:3" ht="20.149999999999999" customHeight="1" x14ac:dyDescent="0.35">
      <c r="A87" s="13">
        <v>31</v>
      </c>
      <c r="B87" s="38"/>
      <c r="C87" s="24"/>
    </row>
    <row r="88" spans="1:3" ht="20.149999999999999" customHeight="1" x14ac:dyDescent="0.35">
      <c r="A88" s="13">
        <v>32</v>
      </c>
      <c r="B88" s="89" t="s">
        <v>1140</v>
      </c>
      <c r="C88" s="21">
        <f>data!C332</f>
        <v>455718624</v>
      </c>
    </row>
    <row r="89" spans="1:3" ht="20.149999999999999" customHeight="1" x14ac:dyDescent="0.35">
      <c r="A89" s="13">
        <v>33</v>
      </c>
      <c r="B89" s="24"/>
      <c r="C89" s="24"/>
    </row>
    <row r="90" spans="1:3" ht="20.149999999999999" customHeight="1" x14ac:dyDescent="0.35">
      <c r="A90" s="13">
        <v>34</v>
      </c>
      <c r="B90" s="37" t="s">
        <v>1141</v>
      </c>
      <c r="C90" s="36"/>
    </row>
    <row r="91" spans="1:3" ht="20.149999999999999" customHeight="1" x14ac:dyDescent="0.35">
      <c r="A91" s="13">
        <v>35</v>
      </c>
      <c r="B91" s="14" t="s">
        <v>1142</v>
      </c>
      <c r="C91" s="21">
        <f>data!C334</f>
        <v>0</v>
      </c>
    </row>
    <row r="92" spans="1:3" ht="20.149999999999999" customHeight="1" x14ac:dyDescent="0.35">
      <c r="A92" s="13">
        <v>36</v>
      </c>
      <c r="B92" s="38"/>
      <c r="C92" s="24"/>
    </row>
    <row r="93" spans="1:3" ht="20.149999999999999" customHeight="1" x14ac:dyDescent="0.35">
      <c r="A93" s="13">
        <v>37</v>
      </c>
      <c r="B93" s="14" t="s">
        <v>1143</v>
      </c>
      <c r="C93" s="21">
        <f>data!C335</f>
        <v>0</v>
      </c>
    </row>
    <row r="94" spans="1:3" ht="20.149999999999999" customHeight="1" x14ac:dyDescent="0.35">
      <c r="A94" s="13">
        <v>38</v>
      </c>
      <c r="B94" s="38"/>
      <c r="C94" s="24"/>
    </row>
    <row r="95" spans="1:3" ht="20.149999999999999" customHeight="1" x14ac:dyDescent="0.35">
      <c r="A95" s="13">
        <v>39</v>
      </c>
      <c r="B95" s="14" t="s">
        <v>1144</v>
      </c>
      <c r="C95" s="21">
        <f>data!C336</f>
        <v>0</v>
      </c>
    </row>
    <row r="96" spans="1:3" ht="20.149999999999999" customHeight="1" x14ac:dyDescent="0.35">
      <c r="A96" s="13">
        <v>40</v>
      </c>
      <c r="B96" s="38"/>
      <c r="C96" s="24"/>
    </row>
    <row r="97" spans="1:3" ht="20.149999999999999" customHeight="1" x14ac:dyDescent="0.35">
      <c r="A97" s="13">
        <v>41</v>
      </c>
      <c r="B97" s="14" t="s">
        <v>1145</v>
      </c>
      <c r="C97" s="21">
        <f>data!C337</f>
        <v>0</v>
      </c>
    </row>
    <row r="98" spans="1:3" ht="20.149999999999999" customHeight="1" x14ac:dyDescent="0.35">
      <c r="A98" s="13">
        <v>42</v>
      </c>
      <c r="B98" s="14" t="s">
        <v>1146</v>
      </c>
      <c r="C98" s="24"/>
    </row>
    <row r="99" spans="1:3" ht="20.149999999999999" customHeight="1" x14ac:dyDescent="0.35">
      <c r="A99" s="13">
        <v>43</v>
      </c>
      <c r="B99" s="38"/>
      <c r="C99" s="24"/>
    </row>
    <row r="100" spans="1:3" ht="20.149999999999999" customHeight="1" x14ac:dyDescent="0.35">
      <c r="A100" s="13">
        <v>44</v>
      </c>
      <c r="B100" s="14" t="s">
        <v>1147</v>
      </c>
      <c r="C100" s="21">
        <f>data!C338</f>
        <v>0</v>
      </c>
    </row>
    <row r="101" spans="1:3" ht="20.149999999999999" customHeight="1" x14ac:dyDescent="0.35">
      <c r="A101" s="13">
        <v>45</v>
      </c>
      <c r="B101" s="14" t="s">
        <v>1148</v>
      </c>
      <c r="C101" s="21">
        <f>data!C332+data!C334+data!C335+data!C336+data!C337-data!C338</f>
        <v>455718624</v>
      </c>
    </row>
    <row r="102" spans="1:3" ht="20.149999999999999" customHeight="1" x14ac:dyDescent="0.35">
      <c r="A102" s="13">
        <v>46</v>
      </c>
      <c r="B102" s="14" t="s">
        <v>1149</v>
      </c>
      <c r="C102" s="21">
        <f>data!D339</f>
        <v>889638015</v>
      </c>
    </row>
    <row r="103" spans="1:3" ht="20.149999999999999" customHeight="1" x14ac:dyDescent="0.35"/>
    <row r="104" spans="1:3" ht="20.149999999999999" customHeight="1" x14ac:dyDescent="0.35"/>
    <row r="105" spans="1:3" ht="20.149999999999999" customHeight="1" x14ac:dyDescent="0.35">
      <c r="A105" s="4" t="s">
        <v>1150</v>
      </c>
      <c r="B105" s="5"/>
      <c r="C105" s="6"/>
    </row>
    <row r="106" spans="1:3" ht="20.149999999999999" customHeight="1" x14ac:dyDescent="0.35">
      <c r="A106" s="45"/>
      <c r="B106" s="8"/>
      <c r="C106" s="167" t="s">
        <v>1151</v>
      </c>
    </row>
    <row r="107" spans="1:3" ht="20.149999999999999" customHeight="1" x14ac:dyDescent="0.35">
      <c r="A107" s="29" t="str">
        <f>"HOSPITAL: "&amp;data!C84</f>
        <v>HOSPITAL: EvergreenHealth Kirkland / King Country Public Hos #2</v>
      </c>
      <c r="B107" s="30"/>
      <c r="C107" s="31" t="str">
        <f>" FYE: "&amp;data!C82</f>
        <v xml:space="preserve"> FYE: 12/31/2021</v>
      </c>
    </row>
    <row r="108" spans="1:3" ht="20.149999999999999" customHeight="1" x14ac:dyDescent="0.35">
      <c r="A108" s="32"/>
      <c r="B108" s="46"/>
      <c r="C108" s="47"/>
    </row>
    <row r="109" spans="1:3" ht="20.149999999999999" customHeight="1" x14ac:dyDescent="0.35">
      <c r="A109" s="13">
        <v>1</v>
      </c>
      <c r="B109" s="37" t="s">
        <v>1152</v>
      </c>
      <c r="C109" s="36"/>
    </row>
    <row r="110" spans="1:3" ht="20.149999999999999" customHeight="1" x14ac:dyDescent="0.35">
      <c r="A110" s="13">
        <v>2</v>
      </c>
      <c r="B110" s="14" t="s">
        <v>428</v>
      </c>
      <c r="C110" s="21">
        <f>data!C359</f>
        <v>847495317</v>
      </c>
    </row>
    <row r="111" spans="1:3" ht="20.149999999999999" customHeight="1" x14ac:dyDescent="0.35">
      <c r="A111" s="13">
        <v>3</v>
      </c>
      <c r="B111" s="14" t="s">
        <v>429</v>
      </c>
      <c r="C111" s="21">
        <f>data!C360</f>
        <v>1253514560</v>
      </c>
    </row>
    <row r="112" spans="1:3" ht="20.149999999999999" customHeight="1" x14ac:dyDescent="0.35">
      <c r="A112" s="13">
        <v>4</v>
      </c>
      <c r="B112" s="14" t="s">
        <v>1153</v>
      </c>
      <c r="C112" s="21">
        <f>data!D361</f>
        <v>2101009877</v>
      </c>
    </row>
    <row r="113" spans="1:3" ht="20.149999999999999" customHeight="1" x14ac:dyDescent="0.35">
      <c r="A113" s="13">
        <v>5</v>
      </c>
      <c r="B113" s="38"/>
      <c r="C113" s="24"/>
    </row>
    <row r="114" spans="1:3" ht="20.149999999999999" customHeight="1" x14ac:dyDescent="0.35">
      <c r="A114" s="13">
        <v>6</v>
      </c>
      <c r="B114" s="37" t="s">
        <v>1154</v>
      </c>
      <c r="C114" s="36"/>
    </row>
    <row r="115" spans="1:3" ht="20.149999999999999" customHeight="1" x14ac:dyDescent="0.35">
      <c r="A115" s="13">
        <v>7</v>
      </c>
      <c r="B115" s="274" t="s">
        <v>450</v>
      </c>
      <c r="C115" s="48">
        <f>data!C363</f>
        <v>16930347</v>
      </c>
    </row>
    <row r="116" spans="1:3" ht="20.149999999999999" customHeight="1" x14ac:dyDescent="0.35">
      <c r="A116" s="13">
        <v>8</v>
      </c>
      <c r="B116" s="14" t="s">
        <v>432</v>
      </c>
      <c r="C116" s="48">
        <f>data!C364</f>
        <v>1302369341</v>
      </c>
    </row>
    <row r="117" spans="1:3" ht="20.149999999999999" customHeight="1" x14ac:dyDescent="0.35">
      <c r="A117" s="13">
        <v>9</v>
      </c>
      <c r="B117" s="14" t="s">
        <v>1155</v>
      </c>
      <c r="C117" s="48">
        <f>data!C365</f>
        <v>8445088</v>
      </c>
    </row>
    <row r="118" spans="1:3" ht="20.149999999999999" customHeight="1" x14ac:dyDescent="0.35">
      <c r="A118" s="13">
        <v>10</v>
      </c>
      <c r="B118" s="14" t="s">
        <v>1156</v>
      </c>
      <c r="C118" s="48">
        <f>data!C366</f>
        <v>4732488</v>
      </c>
    </row>
    <row r="119" spans="1:3" ht="20.149999999999999" customHeight="1" x14ac:dyDescent="0.35">
      <c r="A119" s="13">
        <v>11</v>
      </c>
      <c r="B119" s="14" t="s">
        <v>1099</v>
      </c>
      <c r="C119" s="48">
        <f>data!D367</f>
        <v>1332477264</v>
      </c>
    </row>
    <row r="120" spans="1:3" ht="20.149999999999999" customHeight="1" x14ac:dyDescent="0.35">
      <c r="A120" s="13">
        <v>12</v>
      </c>
      <c r="B120" s="14" t="s">
        <v>1157</v>
      </c>
      <c r="C120" s="48">
        <f>data!D368</f>
        <v>768532613</v>
      </c>
    </row>
    <row r="121" spans="1:3" ht="20.149999999999999" customHeight="1" x14ac:dyDescent="0.35">
      <c r="A121" s="13">
        <v>13</v>
      </c>
      <c r="B121" s="38"/>
      <c r="C121" s="24"/>
    </row>
    <row r="122" spans="1:3" ht="20.149999999999999" customHeight="1" x14ac:dyDescent="0.35">
      <c r="A122" s="13">
        <v>14</v>
      </c>
      <c r="B122" s="37" t="s">
        <v>436</v>
      </c>
      <c r="C122" s="36"/>
    </row>
    <row r="123" spans="1:3" ht="20.149999999999999" customHeight="1" x14ac:dyDescent="0.35">
      <c r="A123" s="13">
        <v>15</v>
      </c>
      <c r="B123" s="14" t="s">
        <v>437</v>
      </c>
      <c r="C123" s="48">
        <f>data!C370</f>
        <v>52999500</v>
      </c>
    </row>
    <row r="124" spans="1:3" ht="20.149999999999999" customHeight="1" x14ac:dyDescent="0.35">
      <c r="A124" s="13">
        <v>16</v>
      </c>
      <c r="B124" s="14" t="s">
        <v>438</v>
      </c>
      <c r="C124" s="48">
        <f>data!C371</f>
        <v>27967605</v>
      </c>
    </row>
    <row r="125" spans="1:3" ht="20.149999999999999" customHeight="1" x14ac:dyDescent="0.35">
      <c r="A125" s="13">
        <v>17</v>
      </c>
      <c r="B125" s="14" t="s">
        <v>1158</v>
      </c>
      <c r="C125" s="48">
        <f>data!D372</f>
        <v>80967105</v>
      </c>
    </row>
    <row r="126" spans="1:3" ht="20.149999999999999" customHeight="1" x14ac:dyDescent="0.35">
      <c r="A126" s="13">
        <v>18</v>
      </c>
      <c r="B126" s="14" t="s">
        <v>1159</v>
      </c>
      <c r="C126" s="48">
        <f>data!D373</f>
        <v>849499718</v>
      </c>
    </row>
    <row r="127" spans="1:3" ht="20.149999999999999" customHeight="1" x14ac:dyDescent="0.35">
      <c r="A127" s="13">
        <v>19</v>
      </c>
      <c r="B127" s="38"/>
      <c r="C127" s="24"/>
    </row>
    <row r="128" spans="1:3" ht="20.149999999999999" customHeight="1" x14ac:dyDescent="0.35">
      <c r="A128" s="13">
        <v>20</v>
      </c>
      <c r="B128" s="37" t="s">
        <v>1160</v>
      </c>
      <c r="C128" s="36"/>
    </row>
    <row r="129" spans="1:3" ht="20.149999999999999" customHeight="1" x14ac:dyDescent="0.35">
      <c r="A129" s="13">
        <v>21</v>
      </c>
      <c r="B129" s="14" t="s">
        <v>442</v>
      </c>
      <c r="C129" s="48">
        <f>data!C378</f>
        <v>454782941</v>
      </c>
    </row>
    <row r="130" spans="1:3" ht="20.149999999999999" customHeight="1" x14ac:dyDescent="0.35">
      <c r="A130" s="13">
        <v>22</v>
      </c>
      <c r="B130" s="14" t="s">
        <v>3</v>
      </c>
      <c r="C130" s="48">
        <f>data!C379</f>
        <v>102427735</v>
      </c>
    </row>
    <row r="131" spans="1:3" ht="20.149999999999999" customHeight="1" x14ac:dyDescent="0.35">
      <c r="A131" s="13">
        <v>23</v>
      </c>
      <c r="B131" s="14" t="s">
        <v>236</v>
      </c>
      <c r="C131" s="48">
        <f>data!C380</f>
        <v>19523451</v>
      </c>
    </row>
    <row r="132" spans="1:3" ht="20.149999999999999" customHeight="1" x14ac:dyDescent="0.35">
      <c r="A132" s="13">
        <v>24</v>
      </c>
      <c r="B132" s="14" t="s">
        <v>237</v>
      </c>
      <c r="C132" s="48">
        <f>data!C381</f>
        <v>109418061</v>
      </c>
    </row>
    <row r="133" spans="1:3" ht="20.149999999999999" customHeight="1" x14ac:dyDescent="0.35">
      <c r="A133" s="13">
        <v>25</v>
      </c>
      <c r="B133" s="14" t="s">
        <v>1161</v>
      </c>
      <c r="C133" s="48">
        <f>data!C382</f>
        <v>6832969</v>
      </c>
    </row>
    <row r="134" spans="1:3" ht="20.149999999999999" customHeight="1" x14ac:dyDescent="0.35">
      <c r="A134" s="13">
        <v>26</v>
      </c>
      <c r="B134" s="14" t="s">
        <v>1162</v>
      </c>
      <c r="C134" s="48">
        <f>data!C383</f>
        <v>64778714</v>
      </c>
    </row>
    <row r="135" spans="1:3" ht="20.149999999999999" customHeight="1" x14ac:dyDescent="0.35">
      <c r="A135" s="13">
        <v>27</v>
      </c>
      <c r="B135" s="14" t="s">
        <v>6</v>
      </c>
      <c r="C135" s="48">
        <f>data!C384</f>
        <v>37830757</v>
      </c>
    </row>
    <row r="136" spans="1:3" ht="20.149999999999999" customHeight="1" x14ac:dyDescent="0.35">
      <c r="A136" s="13">
        <v>28</v>
      </c>
      <c r="B136" s="14" t="s">
        <v>1163</v>
      </c>
      <c r="C136" s="48">
        <f>data!C385</f>
        <v>16779791</v>
      </c>
    </row>
    <row r="137" spans="1:3" ht="20.149999999999999" customHeight="1" x14ac:dyDescent="0.35">
      <c r="A137" s="13">
        <v>29</v>
      </c>
      <c r="B137" s="14" t="s">
        <v>447</v>
      </c>
      <c r="C137" s="48">
        <f>data!C386</f>
        <v>3244996</v>
      </c>
    </row>
    <row r="138" spans="1:3" ht="20.149999999999999" customHeight="1" x14ac:dyDescent="0.35">
      <c r="A138" s="13">
        <v>30</v>
      </c>
      <c r="B138" s="14" t="s">
        <v>1164</v>
      </c>
      <c r="C138" s="48">
        <f>data!C387</f>
        <v>7272608</v>
      </c>
    </row>
    <row r="139" spans="1:3" ht="20.149999999999999" customHeight="1" x14ac:dyDescent="0.35">
      <c r="A139" s="13">
        <v>31</v>
      </c>
      <c r="B139" s="14" t="s">
        <v>449</v>
      </c>
      <c r="C139" s="48">
        <f>data!C388</f>
        <v>9081161</v>
      </c>
    </row>
    <row r="140" spans="1:3" ht="20.149999999999999" customHeight="1" x14ac:dyDescent="0.35">
      <c r="A140" s="13">
        <v>32</v>
      </c>
      <c r="B140" s="14" t="s">
        <v>241</v>
      </c>
      <c r="C140" s="48">
        <f>data!C389</f>
        <v>11183462</v>
      </c>
    </row>
    <row r="141" spans="1:3" ht="20.149999999999999" customHeight="1" x14ac:dyDescent="0.35">
      <c r="A141" s="13">
        <v>34</v>
      </c>
      <c r="B141" s="14" t="s">
        <v>1165</v>
      </c>
      <c r="C141" s="48">
        <f>data!D390</f>
        <v>843156646</v>
      </c>
    </row>
    <row r="142" spans="1:3" ht="20.149999999999999" customHeight="1" x14ac:dyDescent="0.35">
      <c r="A142" s="13">
        <v>35</v>
      </c>
      <c r="B142" s="14" t="s">
        <v>1166</v>
      </c>
      <c r="C142" s="48">
        <f>data!D391</f>
        <v>6343072</v>
      </c>
    </row>
    <row r="143" spans="1:3" ht="20.149999999999999" customHeight="1" x14ac:dyDescent="0.35">
      <c r="A143" s="13">
        <v>36</v>
      </c>
      <c r="B143" s="38"/>
      <c r="C143" s="24"/>
    </row>
    <row r="144" spans="1:3" ht="20.149999999999999" customHeight="1" x14ac:dyDescent="0.35">
      <c r="A144" s="13">
        <v>37</v>
      </c>
      <c r="B144" s="14" t="s">
        <v>1167</v>
      </c>
      <c r="C144" s="48">
        <f>data!C392</f>
        <v>5307505</v>
      </c>
    </row>
    <row r="145" spans="1:3" ht="20.149999999999999" customHeight="1" x14ac:dyDescent="0.35">
      <c r="A145" s="13">
        <v>38</v>
      </c>
      <c r="B145" s="38"/>
      <c r="C145" s="24"/>
    </row>
    <row r="146" spans="1:3" ht="20.149999999999999" customHeight="1" x14ac:dyDescent="0.35">
      <c r="A146" s="13">
        <v>39</v>
      </c>
      <c r="B146" s="14" t="s">
        <v>1168</v>
      </c>
      <c r="C146" s="21">
        <f>data!D393</f>
        <v>11650577</v>
      </c>
    </row>
    <row r="147" spans="1:3" ht="20.149999999999999" customHeight="1" x14ac:dyDescent="0.35">
      <c r="A147" s="13">
        <v>40</v>
      </c>
      <c r="B147" s="38"/>
      <c r="C147" s="24"/>
    </row>
    <row r="148" spans="1:3" ht="20.149999999999999" customHeight="1" x14ac:dyDescent="0.35">
      <c r="A148" s="13">
        <v>41</v>
      </c>
      <c r="B148" s="14" t="s">
        <v>1169</v>
      </c>
      <c r="C148" s="48">
        <f>data!C394</f>
        <v>0</v>
      </c>
    </row>
    <row r="149" spans="1:3" ht="20.149999999999999" customHeight="1" x14ac:dyDescent="0.35">
      <c r="A149" s="13">
        <v>42</v>
      </c>
      <c r="B149" s="14" t="s">
        <v>1170</v>
      </c>
      <c r="C149" s="48">
        <f>data!C395</f>
        <v>0</v>
      </c>
    </row>
    <row r="150" spans="1:3" ht="20.149999999999999" customHeight="1" x14ac:dyDescent="0.35">
      <c r="A150" s="13">
        <v>43</v>
      </c>
      <c r="B150" s="38"/>
      <c r="C150" s="24"/>
    </row>
    <row r="151" spans="1:3" ht="20.149999999999999" customHeight="1" x14ac:dyDescent="0.35">
      <c r="A151" s="13">
        <v>44</v>
      </c>
      <c r="B151" s="14" t="s">
        <v>1171</v>
      </c>
      <c r="C151" s="48">
        <f>data!D396</f>
        <v>11650577</v>
      </c>
    </row>
    <row r="152" spans="1:3" ht="20.149999999999999" customHeight="1" x14ac:dyDescent="0.35">
      <c r="A152" s="40">
        <v>45</v>
      </c>
      <c r="B152" s="49" t="s">
        <v>1172</v>
      </c>
      <c r="C152" s="24"/>
    </row>
    <row r="153" spans="1:3" ht="20.149999999999999" customHeight="1" x14ac:dyDescent="0.35">
      <c r="A153" s="69"/>
      <c r="B153" s="50"/>
      <c r="C153" s="51"/>
    </row>
  </sheetData>
  <phoneticPr fontId="0" type="noConversion"/>
  <printOptions horizontalCentered="1" verticalCentered="1" gridLinesSet="0"/>
  <pageMargins left="0" right="0" top="0" bottom="0" header="0" footer="0"/>
  <pageSetup scale="84" fitToHeight="3" orientation="portrait" r:id="rId1"/>
  <headerFooter alignWithMargins="0"/>
  <rowBreaks count="2" manualBreakCount="2">
    <brk id="50" max="65535" man="1"/>
    <brk id="101" max="655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16</vt:i4>
      </vt:variant>
    </vt:vector>
  </HeadingPairs>
  <TitlesOfParts>
    <vt:vector size="26" baseType="lpstr">
      <vt:lpstr>data</vt:lpstr>
      <vt:lpstr>Transmittal</vt:lpstr>
      <vt:lpstr>INFO_PG1</vt:lpstr>
      <vt:lpstr>INFO_PG2</vt:lpstr>
      <vt:lpstr>SS2_3_5_6</vt:lpstr>
      <vt:lpstr>SS4</vt:lpstr>
      <vt:lpstr>SS8</vt:lpstr>
      <vt:lpstr>CC's</vt:lpstr>
      <vt:lpstr>FS</vt:lpstr>
      <vt:lpstr>Prior Year</vt:lpstr>
      <vt:lpstr>Costcenter</vt:lpstr>
      <vt:lpstr>'Prior Year'!Edit</vt:lpstr>
      <vt:lpstr>Edit</vt:lpstr>
      <vt:lpstr>Funds</vt:lpstr>
      <vt:lpstr>Hospital</vt:lpstr>
      <vt:lpstr>'CC''s'!Print_Area</vt:lpstr>
      <vt:lpstr>data!Print_Area</vt:lpstr>
      <vt:lpstr>FS!Print_Area</vt:lpstr>
      <vt:lpstr>INFO_PG1!Print_Area</vt:lpstr>
      <vt:lpstr>INFO_PG2!Print_Area</vt:lpstr>
      <vt:lpstr>'Prior Year'!Print_Area</vt:lpstr>
      <vt:lpstr>SS2_3_5_6!Print_Area</vt:lpstr>
      <vt:lpstr>'SS4'!Print_Area</vt:lpstr>
      <vt:lpstr>'SS8'!Print_Area</vt:lpstr>
      <vt:lpstr>data!Print_Titles</vt:lpstr>
      <vt:lpstr>Support</vt:lpstr>
    </vt:vector>
  </TitlesOfParts>
  <Manager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Hospital End Report</dc:title>
  <dc:subject>Hospital End Report</dc:subject>
  <dc:creator>Washington State Department of Health, Health Systems Quality Assurance, Community Health Systems</dc:creator>
  <cp:keywords>Hospital End Report</cp:keywords>
  <cp:lastModifiedBy>Baranowski, Carrie (DOH)</cp:lastModifiedBy>
  <cp:lastPrinted>2022-06-20T20:39:34Z</cp:lastPrinted>
  <dcterms:created xsi:type="dcterms:W3CDTF">1999-06-02T22:01:56Z</dcterms:created>
  <dcterms:modified xsi:type="dcterms:W3CDTF">2022-06-27T16:51:55Z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520fa42-cf58-4c22-8b93-58cf1d3bd1cb_Enabled">
    <vt:lpwstr>true</vt:lpwstr>
  </property>
  <property fmtid="{D5CDD505-2E9C-101B-9397-08002B2CF9AE}" pid="3" name="MSIP_Label_1520fa42-cf58-4c22-8b93-58cf1d3bd1cb_SetDate">
    <vt:lpwstr>2022-06-27T16:50:25Z</vt:lpwstr>
  </property>
  <property fmtid="{D5CDD505-2E9C-101B-9397-08002B2CF9AE}" pid="4" name="MSIP_Label_1520fa42-cf58-4c22-8b93-58cf1d3bd1cb_Method">
    <vt:lpwstr>Standard</vt:lpwstr>
  </property>
  <property fmtid="{D5CDD505-2E9C-101B-9397-08002B2CF9AE}" pid="5" name="MSIP_Label_1520fa42-cf58-4c22-8b93-58cf1d3bd1cb_Name">
    <vt:lpwstr>Public Information</vt:lpwstr>
  </property>
  <property fmtid="{D5CDD505-2E9C-101B-9397-08002B2CF9AE}" pid="6" name="MSIP_Label_1520fa42-cf58-4c22-8b93-58cf1d3bd1cb_SiteId">
    <vt:lpwstr>11d0e217-264e-400a-8ba0-57dcc127d72d</vt:lpwstr>
  </property>
  <property fmtid="{D5CDD505-2E9C-101B-9397-08002B2CF9AE}" pid="7" name="MSIP_Label_1520fa42-cf58-4c22-8b93-58cf1d3bd1cb_ActionId">
    <vt:lpwstr>b26137dd-57bc-4e9c-a3ff-d1e920110ec7</vt:lpwstr>
  </property>
  <property fmtid="{D5CDD505-2E9C-101B-9397-08002B2CF9AE}" pid="8" name="MSIP_Label_1520fa42-cf58-4c22-8b93-58cf1d3bd1cb_ContentBits">
    <vt:lpwstr>0</vt:lpwstr>
  </property>
</Properties>
</file>