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549F142E-1399-4D67-9F55-CD7D7E8EB887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74" i="1" l="1"/>
  <c r="E73" i="1"/>
  <c r="CC69" i="1"/>
  <c r="CC66" i="1"/>
  <c r="CC64" i="1"/>
  <c r="BH66" i="1"/>
  <c r="AC66" i="1"/>
  <c r="U66" i="1"/>
  <c r="P66" i="1"/>
  <c r="E74" i="1"/>
  <c r="S74" i="1"/>
  <c r="S73" i="1"/>
  <c r="Y74" i="1"/>
  <c r="Y73" i="1"/>
  <c r="BN69" i="1"/>
  <c r="BN66" i="1"/>
  <c r="BN64" i="1"/>
  <c r="BH64" i="1"/>
  <c r="AG64" i="1"/>
  <c r="CC63" i="1"/>
  <c r="BN63" i="1"/>
  <c r="AG63" i="1"/>
  <c r="CC61" i="1"/>
  <c r="BN61" i="1"/>
  <c r="BH61" i="1"/>
  <c r="AG61" i="1"/>
  <c r="R61" i="1"/>
  <c r="E61" i="1"/>
  <c r="CC47" i="1" l="1"/>
  <c r="BN47" i="1"/>
  <c r="BH47" i="1"/>
  <c r="AG47" i="1"/>
  <c r="E47" i="1"/>
  <c r="AC47" i="1"/>
  <c r="S47" i="1"/>
  <c r="S61" i="1"/>
  <c r="S66" i="1"/>
  <c r="S64" i="1"/>
  <c r="AC64" i="1"/>
  <c r="Y66" i="1"/>
  <c r="Y64" i="1"/>
  <c r="C381" i="1"/>
  <c r="C364" i="1"/>
  <c r="C360" i="1"/>
  <c r="C325" i="1"/>
  <c r="C312" i="1"/>
  <c r="C306" i="1"/>
  <c r="C269" i="1"/>
  <c r="C210" i="1"/>
  <c r="D142" i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E545" i="10"/>
  <c r="D545" i="10"/>
  <c r="B545" i="10"/>
  <c r="H545" i="10" s="1"/>
  <c r="E544" i="10"/>
  <c r="D544" i="10"/>
  <c r="B544" i="10"/>
  <c r="B543" i="10"/>
  <c r="B542" i="10"/>
  <c r="B541" i="10"/>
  <c r="E540" i="10"/>
  <c r="D540" i="10"/>
  <c r="B540" i="10"/>
  <c r="H540" i="10" s="1"/>
  <c r="E539" i="10"/>
  <c r="D539" i="10"/>
  <c r="B539" i="10"/>
  <c r="F539" i="10" s="1"/>
  <c r="E538" i="10"/>
  <c r="D538" i="10"/>
  <c r="B538" i="10"/>
  <c r="F538" i="10" s="1"/>
  <c r="E537" i="10"/>
  <c r="D537" i="10"/>
  <c r="B537" i="10"/>
  <c r="H537" i="10" s="1"/>
  <c r="E536" i="10"/>
  <c r="D536" i="10"/>
  <c r="B536" i="10"/>
  <c r="H536" i="10" s="1"/>
  <c r="E535" i="10"/>
  <c r="D535" i="10"/>
  <c r="B535" i="10"/>
  <c r="F535" i="10" s="1"/>
  <c r="E534" i="10"/>
  <c r="D534" i="10"/>
  <c r="B534" i="10"/>
  <c r="F534" i="10" s="1"/>
  <c r="E533" i="10"/>
  <c r="D533" i="10"/>
  <c r="B533" i="10"/>
  <c r="H533" i="10" s="1"/>
  <c r="E532" i="10"/>
  <c r="D532" i="10"/>
  <c r="B532" i="10"/>
  <c r="H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E527" i="10"/>
  <c r="D527" i="10"/>
  <c r="B527" i="10"/>
  <c r="F527" i="10" s="1"/>
  <c r="E526" i="10"/>
  <c r="D526" i="10"/>
  <c r="B526" i="10"/>
  <c r="E525" i="10"/>
  <c r="D525" i="10"/>
  <c r="B525" i="10"/>
  <c r="H525" i="10" s="1"/>
  <c r="E524" i="10"/>
  <c r="D524" i="10"/>
  <c r="B524" i="10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E519" i="10"/>
  <c r="D519" i="10"/>
  <c r="B519" i="10"/>
  <c r="F519" i="10" s="1"/>
  <c r="D518" i="10"/>
  <c r="B518" i="10"/>
  <c r="E517" i="10"/>
  <c r="D517" i="10"/>
  <c r="B517" i="10"/>
  <c r="E516" i="10"/>
  <c r="D516" i="10"/>
  <c r="B516" i="10"/>
  <c r="E515" i="10"/>
  <c r="D515" i="10"/>
  <c r="B515" i="10"/>
  <c r="H515" i="10" s="1"/>
  <c r="E514" i="10"/>
  <c r="D514" i="10"/>
  <c r="B514" i="10"/>
  <c r="F514" i="10" s="1"/>
  <c r="B513" i="10"/>
  <c r="F513" i="10" s="1"/>
  <c r="B512" i="10"/>
  <c r="F512" i="10" s="1"/>
  <c r="E511" i="10"/>
  <c r="D511" i="10"/>
  <c r="B511" i="10"/>
  <c r="E510" i="10"/>
  <c r="D510" i="10"/>
  <c r="B510" i="10"/>
  <c r="H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H507" i="10" s="1"/>
  <c r="E506" i="10"/>
  <c r="D506" i="10"/>
  <c r="B506" i="10"/>
  <c r="H506" i="10" s="1"/>
  <c r="E505" i="10"/>
  <c r="D505" i="10"/>
  <c r="B505" i="10"/>
  <c r="F505" i="10" s="1"/>
  <c r="E504" i="10"/>
  <c r="D504" i="10"/>
  <c r="B504" i="10"/>
  <c r="E503" i="10"/>
  <c r="D503" i="10"/>
  <c r="B503" i="10"/>
  <c r="H503" i="10" s="1"/>
  <c r="F502" i="10"/>
  <c r="E502" i="10"/>
  <c r="D502" i="10"/>
  <c r="B502" i="10"/>
  <c r="H502" i="10" s="1"/>
  <c r="E501" i="10"/>
  <c r="D501" i="10"/>
  <c r="B501" i="10"/>
  <c r="F501" i="10" s="1"/>
  <c r="H500" i="10"/>
  <c r="E500" i="10"/>
  <c r="D500" i="10"/>
  <c r="B500" i="10"/>
  <c r="F500" i="10" s="1"/>
  <c r="E499" i="10"/>
  <c r="D499" i="10"/>
  <c r="B499" i="10"/>
  <c r="H499" i="10" s="1"/>
  <c r="E498" i="10"/>
  <c r="D498" i="10"/>
  <c r="B498" i="10"/>
  <c r="F498" i="10" s="1"/>
  <c r="E497" i="10"/>
  <c r="D497" i="10"/>
  <c r="B497" i="10"/>
  <c r="F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C475" i="10"/>
  <c r="B475" i="10"/>
  <c r="B474" i="10"/>
  <c r="B473" i="10"/>
  <c r="B472" i="10"/>
  <c r="B471" i="10"/>
  <c r="C469" i="10"/>
  <c r="B469" i="10"/>
  <c r="B468" i="10"/>
  <c r="B463" i="10"/>
  <c r="C459" i="10"/>
  <c r="B459" i="10"/>
  <c r="B455" i="10"/>
  <c r="B454" i="10"/>
  <c r="B453" i="10"/>
  <c r="C448" i="10"/>
  <c r="C447" i="10"/>
  <c r="C446" i="10"/>
  <c r="C444" i="10"/>
  <c r="C440" i="10"/>
  <c r="C439" i="10"/>
  <c r="C438" i="10"/>
  <c r="B438" i="10"/>
  <c r="B437" i="10"/>
  <c r="B436" i="10"/>
  <c r="B435" i="10"/>
  <c r="D434" i="10"/>
  <c r="B434" i="10"/>
  <c r="D433" i="10"/>
  <c r="B433" i="10"/>
  <c r="C431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C418" i="10"/>
  <c r="B418" i="10"/>
  <c r="B417" i="10"/>
  <c r="D415" i="10"/>
  <c r="B415" i="10"/>
  <c r="B414" i="10"/>
  <c r="A412" i="10"/>
  <c r="C392" i="10"/>
  <c r="C389" i="10"/>
  <c r="B439" i="10" s="1"/>
  <c r="B440" i="10" s="1"/>
  <c r="C383" i="10"/>
  <c r="D390" i="10" s="1"/>
  <c r="B441" i="10" s="1"/>
  <c r="C370" i="10"/>
  <c r="D372" i="10" s="1"/>
  <c r="D367" i="10"/>
  <c r="C364" i="10"/>
  <c r="C445" i="10" s="1"/>
  <c r="D361" i="10"/>
  <c r="B465" i="10" s="1"/>
  <c r="C360" i="10"/>
  <c r="B464" i="10" s="1"/>
  <c r="C359" i="10"/>
  <c r="D330" i="10"/>
  <c r="D329" i="10"/>
  <c r="C325" i="10"/>
  <c r="D328" i="10" s="1"/>
  <c r="D319" i="10"/>
  <c r="D339" i="10" s="1"/>
  <c r="C482" i="10" s="1"/>
  <c r="D314" i="10"/>
  <c r="C306" i="10"/>
  <c r="D290" i="10"/>
  <c r="D283" i="10"/>
  <c r="C269" i="10"/>
  <c r="B470" i="10" s="1"/>
  <c r="D265" i="10"/>
  <c r="C255" i="10"/>
  <c r="C250" i="10"/>
  <c r="D240" i="10"/>
  <c r="B447" i="10" s="1"/>
  <c r="D236" i="10"/>
  <c r="B446" i="10" s="1"/>
  <c r="D229" i="10"/>
  <c r="B445" i="10" s="1"/>
  <c r="C224" i="10"/>
  <c r="C223" i="10"/>
  <c r="D221" i="10"/>
  <c r="D217" i="10"/>
  <c r="E216" i="10"/>
  <c r="E215" i="10"/>
  <c r="E214" i="10"/>
  <c r="C213" i="10"/>
  <c r="E213" i="10" s="1"/>
  <c r="E212" i="10"/>
  <c r="E211" i="10"/>
  <c r="C210" i="10"/>
  <c r="C217" i="10" s="1"/>
  <c r="B210" i="10"/>
  <c r="B217" i="10" s="1"/>
  <c r="E209" i="10"/>
  <c r="D204" i="10"/>
  <c r="C204" i="10"/>
  <c r="E203" i="10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C197" i="10"/>
  <c r="B197" i="10"/>
  <c r="B204" i="10" s="1"/>
  <c r="E196" i="10"/>
  <c r="E195" i="10"/>
  <c r="C468" i="10" s="1"/>
  <c r="D190" i="10"/>
  <c r="D437" i="10" s="1"/>
  <c r="C183" i="10"/>
  <c r="D186" i="10" s="1"/>
  <c r="D436" i="10" s="1"/>
  <c r="D181" i="10"/>
  <c r="D435" i="10" s="1"/>
  <c r="D177" i="10"/>
  <c r="C170" i="10"/>
  <c r="C165" i="10"/>
  <c r="D173" i="10" s="1"/>
  <c r="D428" i="10" s="1"/>
  <c r="E154" i="10"/>
  <c r="E153" i="10"/>
  <c r="E152" i="10"/>
  <c r="E151" i="10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F77" i="10" s="1"/>
  <c r="CE76" i="10"/>
  <c r="D612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F75" i="10"/>
  <c r="AE75" i="10"/>
  <c r="AD75" i="10"/>
  <c r="AC75" i="10"/>
  <c r="AB75" i="10"/>
  <c r="AA75" i="10"/>
  <c r="Z75" i="10"/>
  <c r="X75" i="10"/>
  <c r="W75" i="10"/>
  <c r="V75" i="10"/>
  <c r="U75" i="10"/>
  <c r="T75" i="10"/>
  <c r="S75" i="10"/>
  <c r="R75" i="10"/>
  <c r="Q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AJ74" i="10"/>
  <c r="AG74" i="10"/>
  <c r="Y74" i="10"/>
  <c r="CE74" i="10" s="1"/>
  <c r="C464" i="10" s="1"/>
  <c r="R74" i="10"/>
  <c r="P74" i="10"/>
  <c r="AV73" i="10"/>
  <c r="AV75" i="10" s="1"/>
  <c r="AG73" i="10"/>
  <c r="AG75" i="10" s="1"/>
  <c r="Y73" i="10"/>
  <c r="R73" i="10"/>
  <c r="P73" i="10"/>
  <c r="P75" i="10" s="1"/>
  <c r="CD71" i="10"/>
  <c r="C575" i="10" s="1"/>
  <c r="CE70" i="10"/>
  <c r="CE69" i="10"/>
  <c r="CE68" i="10"/>
  <c r="C434" i="10" s="1"/>
  <c r="BN66" i="10"/>
  <c r="AG66" i="10"/>
  <c r="Y66" i="10"/>
  <c r="R66" i="10"/>
  <c r="CE66" i="10" s="1"/>
  <c r="C432" i="10" s="1"/>
  <c r="CE65" i="10"/>
  <c r="Y64" i="10"/>
  <c r="CE64" i="10" s="1"/>
  <c r="CE63" i="10"/>
  <c r="C429" i="10" s="1"/>
  <c r="AI63" i="10"/>
  <c r="AG63" i="10"/>
  <c r="CC61" i="10"/>
  <c r="BH61" i="10"/>
  <c r="AJ61" i="10"/>
  <c r="AG61" i="10"/>
  <c r="R61" i="10"/>
  <c r="CE60" i="10"/>
  <c r="H612" i="10" s="1"/>
  <c r="Y59" i="10"/>
  <c r="E518" i="10" s="1"/>
  <c r="B53" i="10"/>
  <c r="CE51" i="10"/>
  <c r="B49" i="10"/>
  <c r="BH47" i="10"/>
  <c r="AG47" i="10"/>
  <c r="H513" i="10" l="1"/>
  <c r="H530" i="10"/>
  <c r="H535" i="10"/>
  <c r="H501" i="10"/>
  <c r="F540" i="10"/>
  <c r="H505" i="10"/>
  <c r="F510" i="10"/>
  <c r="F523" i="10"/>
  <c r="H538" i="10"/>
  <c r="H497" i="10"/>
  <c r="H508" i="10"/>
  <c r="F506" i="10"/>
  <c r="H519" i="10"/>
  <c r="H534" i="10"/>
  <c r="F536" i="10"/>
  <c r="F520" i="10"/>
  <c r="F532" i="10"/>
  <c r="F545" i="10"/>
  <c r="H496" i="10"/>
  <c r="H539" i="10"/>
  <c r="C430" i="10"/>
  <c r="F612" i="10"/>
  <c r="CE61" i="10"/>
  <c r="CE47" i="10"/>
  <c r="F529" i="10"/>
  <c r="B432" i="10"/>
  <c r="D438" i="10"/>
  <c r="F499" i="10"/>
  <c r="F507" i="10"/>
  <c r="F515" i="10"/>
  <c r="CE73" i="10"/>
  <c r="C463" i="10" s="1"/>
  <c r="E204" i="10"/>
  <c r="C476" i="10" s="1"/>
  <c r="E210" i="10"/>
  <c r="E217" i="10" s="1"/>
  <c r="C478" i="10" s="1"/>
  <c r="F531" i="10"/>
  <c r="C458" i="10"/>
  <c r="D242" i="10"/>
  <c r="B448" i="10" s="1"/>
  <c r="B444" i="10"/>
  <c r="F503" i="10"/>
  <c r="F511" i="10"/>
  <c r="F525" i="10"/>
  <c r="G612" i="10"/>
  <c r="M52" i="10"/>
  <c r="M67" i="10" s="1"/>
  <c r="AC52" i="10"/>
  <c r="AC67" i="10" s="1"/>
  <c r="AS52" i="10"/>
  <c r="AS67" i="10" s="1"/>
  <c r="BI52" i="10"/>
  <c r="BI67" i="10" s="1"/>
  <c r="BY52" i="10"/>
  <c r="BY67" i="10" s="1"/>
  <c r="Y75" i="10"/>
  <c r="CE75" i="10" s="1"/>
  <c r="CF76" i="10"/>
  <c r="D260" i="10"/>
  <c r="D275" i="10"/>
  <c r="D368" i="10"/>
  <c r="D373" i="10" s="1"/>
  <c r="D391" i="10" s="1"/>
  <c r="D393" i="10" s="1"/>
  <c r="D396" i="10" s="1"/>
  <c r="B458" i="10"/>
  <c r="F504" i="10"/>
  <c r="F516" i="10"/>
  <c r="F518" i="10"/>
  <c r="F517" i="10"/>
  <c r="F524" i="10"/>
  <c r="F528" i="10"/>
  <c r="F533" i="10"/>
  <c r="F537" i="10"/>
  <c r="F522" i="10"/>
  <c r="F526" i="10"/>
  <c r="F544" i="10"/>
  <c r="F546" i="10"/>
  <c r="B575" i="1"/>
  <c r="F493" i="1"/>
  <c r="D493" i="1"/>
  <c r="B493" i="1"/>
  <c r="K612" i="10" l="1"/>
  <c r="C465" i="10"/>
  <c r="BX52" i="10"/>
  <c r="BX67" i="10" s="1"/>
  <c r="BL52" i="10"/>
  <c r="BL67" i="10" s="1"/>
  <c r="BD52" i="10"/>
  <c r="BD67" i="10" s="1"/>
  <c r="AV52" i="10"/>
  <c r="AV67" i="10" s="1"/>
  <c r="AR52" i="10"/>
  <c r="AR67" i="10" s="1"/>
  <c r="AJ52" i="10"/>
  <c r="AJ67" i="10" s="1"/>
  <c r="AB52" i="10"/>
  <c r="AB67" i="10" s="1"/>
  <c r="T52" i="10"/>
  <c r="T67" i="10" s="1"/>
  <c r="H52" i="10"/>
  <c r="H67" i="10" s="1"/>
  <c r="BS52" i="10"/>
  <c r="BS67" i="10" s="1"/>
  <c r="BK52" i="10"/>
  <c r="BK67" i="10" s="1"/>
  <c r="BG52" i="10"/>
  <c r="BG67" i="10" s="1"/>
  <c r="AY52" i="10"/>
  <c r="AY67" i="10" s="1"/>
  <c r="AQ52" i="10"/>
  <c r="AQ67" i="10" s="1"/>
  <c r="AE52" i="10"/>
  <c r="AE67" i="10" s="1"/>
  <c r="AA52" i="10"/>
  <c r="AA67" i="10" s="1"/>
  <c r="S52" i="10"/>
  <c r="S67" i="10" s="1"/>
  <c r="K52" i="10"/>
  <c r="K67" i="10" s="1"/>
  <c r="CB52" i="10"/>
  <c r="CB67" i="10" s="1"/>
  <c r="BT52" i="10"/>
  <c r="BT67" i="10" s="1"/>
  <c r="BP52" i="10"/>
  <c r="BP67" i="10" s="1"/>
  <c r="BH52" i="10"/>
  <c r="BH67" i="10" s="1"/>
  <c r="AZ52" i="10"/>
  <c r="AZ67" i="10" s="1"/>
  <c r="AN52" i="10"/>
  <c r="AN67" i="10" s="1"/>
  <c r="AF52" i="10"/>
  <c r="AF67" i="10" s="1"/>
  <c r="X52" i="10"/>
  <c r="X67" i="10" s="1"/>
  <c r="P52" i="10"/>
  <c r="P67" i="10" s="1"/>
  <c r="L52" i="10"/>
  <c r="L67" i="10" s="1"/>
  <c r="D52" i="10"/>
  <c r="D67" i="10" s="1"/>
  <c r="CA52" i="10"/>
  <c r="CA67" i="10" s="1"/>
  <c r="BW52" i="10"/>
  <c r="BW67" i="10" s="1"/>
  <c r="BO52" i="10"/>
  <c r="BO67" i="10" s="1"/>
  <c r="BC52" i="10"/>
  <c r="BC67" i="10" s="1"/>
  <c r="AU52" i="10"/>
  <c r="AU67" i="10" s="1"/>
  <c r="AM52" i="10"/>
  <c r="AM67" i="10" s="1"/>
  <c r="AI52" i="10"/>
  <c r="AI67" i="10" s="1"/>
  <c r="W52" i="10"/>
  <c r="W67" i="10" s="1"/>
  <c r="O52" i="10"/>
  <c r="O67" i="10" s="1"/>
  <c r="G52" i="10"/>
  <c r="G67" i="10" s="1"/>
  <c r="C52" i="10"/>
  <c r="BR52" i="10"/>
  <c r="BR67" i="10" s="1"/>
  <c r="BB52" i="10"/>
  <c r="BB67" i="10" s="1"/>
  <c r="AL52" i="10"/>
  <c r="AL67" i="10" s="1"/>
  <c r="V52" i="10"/>
  <c r="V67" i="10" s="1"/>
  <c r="F52" i="10"/>
  <c r="F67" i="10" s="1"/>
  <c r="BN52" i="10"/>
  <c r="BN67" i="10" s="1"/>
  <c r="AX52" i="10"/>
  <c r="AX67" i="10" s="1"/>
  <c r="AH52" i="10"/>
  <c r="AH67" i="10" s="1"/>
  <c r="R52" i="10"/>
  <c r="R67" i="10" s="1"/>
  <c r="BJ52" i="10"/>
  <c r="BJ67" i="10" s="1"/>
  <c r="AD52" i="10"/>
  <c r="AD67" i="10" s="1"/>
  <c r="J52" i="10"/>
  <c r="J67" i="10" s="1"/>
  <c r="BZ52" i="10"/>
  <c r="BZ67" i="10" s="1"/>
  <c r="AT52" i="10"/>
  <c r="AT67" i="10" s="1"/>
  <c r="N52" i="10"/>
  <c r="N67" i="10" s="1"/>
  <c r="BV52" i="10"/>
  <c r="BV67" i="10" s="1"/>
  <c r="BF52" i="10"/>
  <c r="BF67" i="10" s="1"/>
  <c r="AP52" i="10"/>
  <c r="AP67" i="10" s="1"/>
  <c r="Z52" i="10"/>
  <c r="Z67" i="10" s="1"/>
  <c r="BU52" i="10"/>
  <c r="BU67" i="10" s="1"/>
  <c r="AO52" i="10"/>
  <c r="AO67" i="10" s="1"/>
  <c r="I52" i="10"/>
  <c r="I67" i="10" s="1"/>
  <c r="BQ52" i="10"/>
  <c r="BQ67" i="10" s="1"/>
  <c r="BA52" i="10"/>
  <c r="BA67" i="10" s="1"/>
  <c r="AK52" i="10"/>
  <c r="AK67" i="10" s="1"/>
  <c r="U52" i="10"/>
  <c r="U67" i="10" s="1"/>
  <c r="E52" i="10"/>
  <c r="E67" i="10" s="1"/>
  <c r="BE52" i="10"/>
  <c r="BE67" i="10" s="1"/>
  <c r="Y52" i="10"/>
  <c r="Y67" i="10" s="1"/>
  <c r="B476" i="10"/>
  <c r="D277" i="10"/>
  <c r="D292" i="10" s="1"/>
  <c r="D341" i="10" s="1"/>
  <c r="C481" i="10" s="1"/>
  <c r="CC52" i="10"/>
  <c r="CC67" i="10" s="1"/>
  <c r="BM52" i="10"/>
  <c r="BM67" i="10" s="1"/>
  <c r="AW52" i="10"/>
  <c r="AW67" i="10" s="1"/>
  <c r="AG52" i="10"/>
  <c r="AG67" i="10" s="1"/>
  <c r="Q52" i="10"/>
  <c r="Q67" i="10" s="1"/>
  <c r="C427" i="10"/>
  <c r="CA48" i="10"/>
  <c r="CA62" i="10" s="1"/>
  <c r="BW48" i="10"/>
  <c r="BW62" i="10" s="1"/>
  <c r="BW71" i="10" s="1"/>
  <c r="BS48" i="10"/>
  <c r="BS62" i="10" s="1"/>
  <c r="BO48" i="10"/>
  <c r="BO62" i="10" s="1"/>
  <c r="BO71" i="10" s="1"/>
  <c r="BK48" i="10"/>
  <c r="BK62" i="10" s="1"/>
  <c r="BK71" i="10" s="1"/>
  <c r="BG48" i="10"/>
  <c r="BG62" i="10" s="1"/>
  <c r="BG71" i="10" s="1"/>
  <c r="BC48" i="10"/>
  <c r="BC62" i="10" s="1"/>
  <c r="BC71" i="10" s="1"/>
  <c r="AY48" i="10"/>
  <c r="AY62" i="10" s="1"/>
  <c r="AY71" i="10" s="1"/>
  <c r="AU48" i="10"/>
  <c r="AU62" i="10" s="1"/>
  <c r="AQ48" i="10"/>
  <c r="AQ62" i="10" s="1"/>
  <c r="AM48" i="10"/>
  <c r="AM62" i="10" s="1"/>
  <c r="AM71" i="10" s="1"/>
  <c r="AI48" i="10"/>
  <c r="AI62" i="10" s="1"/>
  <c r="AI71" i="10" s="1"/>
  <c r="AE48" i="10"/>
  <c r="AE62" i="10" s="1"/>
  <c r="AE71" i="10" s="1"/>
  <c r="AA48" i="10"/>
  <c r="AA62" i="10" s="1"/>
  <c r="AA71" i="10" s="1"/>
  <c r="W48" i="10"/>
  <c r="W62" i="10" s="1"/>
  <c r="W71" i="10" s="1"/>
  <c r="S48" i="10"/>
  <c r="S62" i="10" s="1"/>
  <c r="S71" i="10" s="1"/>
  <c r="O48" i="10"/>
  <c r="O62" i="10" s="1"/>
  <c r="K48" i="10"/>
  <c r="K62" i="10" s="1"/>
  <c r="G48" i="10"/>
  <c r="G62" i="10" s="1"/>
  <c r="G71" i="10" s="1"/>
  <c r="C48" i="10"/>
  <c r="BV48" i="10"/>
  <c r="BV62" i="10" s="1"/>
  <c r="BV71" i="10" s="1"/>
  <c r="BN48" i="10"/>
  <c r="BN62" i="10" s="1"/>
  <c r="BF48" i="10"/>
  <c r="BF62" i="10" s="1"/>
  <c r="BF71" i="10" s="1"/>
  <c r="BB48" i="10"/>
  <c r="BB62" i="10" s="1"/>
  <c r="BB71" i="10" s="1"/>
  <c r="AT48" i="10"/>
  <c r="AT62" i="10" s="1"/>
  <c r="AH48" i="10"/>
  <c r="AH62" i="10" s="1"/>
  <c r="AH71" i="10" s="1"/>
  <c r="AD48" i="10"/>
  <c r="AD62" i="10" s="1"/>
  <c r="AD71" i="10" s="1"/>
  <c r="V48" i="10"/>
  <c r="V62" i="10" s="1"/>
  <c r="V71" i="10" s="1"/>
  <c r="N48" i="10"/>
  <c r="N62" i="10" s="1"/>
  <c r="N71" i="10" s="1"/>
  <c r="F48" i="10"/>
  <c r="F62" i="10" s="1"/>
  <c r="CC48" i="10"/>
  <c r="CC62" i="10" s="1"/>
  <c r="CC71" i="10" s="1"/>
  <c r="BY48" i="10"/>
  <c r="BY62" i="10" s="1"/>
  <c r="BY71" i="10" s="1"/>
  <c r="BQ48" i="10"/>
  <c r="BQ62" i="10" s="1"/>
  <c r="BQ71" i="10" s="1"/>
  <c r="BI48" i="10"/>
  <c r="BI62" i="10" s="1"/>
  <c r="BI71" i="10" s="1"/>
  <c r="BA48" i="10"/>
  <c r="BA62" i="10" s="1"/>
  <c r="BA71" i="10" s="1"/>
  <c r="AS48" i="10"/>
  <c r="AS62" i="10" s="1"/>
  <c r="AS71" i="10" s="1"/>
  <c r="AK48" i="10"/>
  <c r="AK62" i="10" s="1"/>
  <c r="AC48" i="10"/>
  <c r="AC62" i="10" s="1"/>
  <c r="AC71" i="10" s="1"/>
  <c r="U48" i="10"/>
  <c r="U62" i="10" s="1"/>
  <c r="I48" i="10"/>
  <c r="I62" i="10" s="1"/>
  <c r="I71" i="10" s="1"/>
  <c r="BZ48" i="10"/>
  <c r="BZ62" i="10" s="1"/>
  <c r="BR48" i="10"/>
  <c r="BR62" i="10" s="1"/>
  <c r="BJ48" i="10"/>
  <c r="BJ62" i="10" s="1"/>
  <c r="AX48" i="10"/>
  <c r="AX62" i="10" s="1"/>
  <c r="AX71" i="10" s="1"/>
  <c r="AP48" i="10"/>
  <c r="AP62" i="10" s="1"/>
  <c r="AL48" i="10"/>
  <c r="AL62" i="10" s="1"/>
  <c r="AL71" i="10" s="1"/>
  <c r="Z48" i="10"/>
  <c r="Z62" i="10" s="1"/>
  <c r="Z71" i="10" s="1"/>
  <c r="R48" i="10"/>
  <c r="R62" i="10" s="1"/>
  <c r="R71" i="10" s="1"/>
  <c r="J48" i="10"/>
  <c r="J62" i="10" s="1"/>
  <c r="J71" i="10" s="1"/>
  <c r="BU48" i="10"/>
  <c r="BU62" i="10" s="1"/>
  <c r="BU71" i="10" s="1"/>
  <c r="BM48" i="10"/>
  <c r="BM62" i="10" s="1"/>
  <c r="BE48" i="10"/>
  <c r="BE62" i="10" s="1"/>
  <c r="BE71" i="10" s="1"/>
  <c r="AW48" i="10"/>
  <c r="AW62" i="10" s="1"/>
  <c r="AW71" i="10" s="1"/>
  <c r="AO48" i="10"/>
  <c r="AO62" i="10" s="1"/>
  <c r="AG48" i="10"/>
  <c r="AG62" i="10" s="1"/>
  <c r="AG71" i="10" s="1"/>
  <c r="Y48" i="10"/>
  <c r="Y62" i="10" s="1"/>
  <c r="Y71" i="10" s="1"/>
  <c r="Q48" i="10"/>
  <c r="Q62" i="10" s="1"/>
  <c r="M48" i="10"/>
  <c r="M62" i="10" s="1"/>
  <c r="M71" i="10" s="1"/>
  <c r="E48" i="10"/>
  <c r="E62" i="10" s="1"/>
  <c r="E71" i="10" s="1"/>
  <c r="BX48" i="10"/>
  <c r="BX62" i="10" s="1"/>
  <c r="BX71" i="10" s="1"/>
  <c r="BH48" i="10"/>
  <c r="BH62" i="10" s="1"/>
  <c r="AR48" i="10"/>
  <c r="AR62" i="10" s="1"/>
  <c r="AB48" i="10"/>
  <c r="AB62" i="10" s="1"/>
  <c r="AB71" i="10" s="1"/>
  <c r="L48" i="10"/>
  <c r="L62" i="10" s="1"/>
  <c r="L71" i="10" s="1"/>
  <c r="BT48" i="10"/>
  <c r="BT62" i="10" s="1"/>
  <c r="BT71" i="10" s="1"/>
  <c r="AN48" i="10"/>
  <c r="AN62" i="10" s="1"/>
  <c r="AN71" i="10" s="1"/>
  <c r="X48" i="10"/>
  <c r="X62" i="10" s="1"/>
  <c r="H48" i="10"/>
  <c r="H62" i="10" s="1"/>
  <c r="H71" i="10" s="1"/>
  <c r="BP48" i="10"/>
  <c r="BP62" i="10" s="1"/>
  <c r="AJ48" i="10"/>
  <c r="AJ62" i="10" s="1"/>
  <c r="D48" i="10"/>
  <c r="D62" i="10" s="1"/>
  <c r="D71" i="10" s="1"/>
  <c r="AF48" i="10"/>
  <c r="AF62" i="10" s="1"/>
  <c r="AF71" i="10" s="1"/>
  <c r="M762" i="10" s="1"/>
  <c r="BD48" i="10"/>
  <c r="BD62" i="10" s="1"/>
  <c r="BD71" i="10" s="1"/>
  <c r="AZ48" i="10"/>
  <c r="AZ62" i="10" s="1"/>
  <c r="AZ71" i="10" s="1"/>
  <c r="T48" i="10"/>
  <c r="T62" i="10" s="1"/>
  <c r="T71" i="10" s="1"/>
  <c r="M750" i="10" s="1"/>
  <c r="CB48" i="10"/>
  <c r="CB62" i="10" s="1"/>
  <c r="CB71" i="10" s="1"/>
  <c r="BL48" i="10"/>
  <c r="BL62" i="10" s="1"/>
  <c r="AV48" i="10"/>
  <c r="AV62" i="10" s="1"/>
  <c r="AV71" i="10" s="1"/>
  <c r="P48" i="10"/>
  <c r="P62" i="10" s="1"/>
  <c r="P71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K814" i="10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761" i="10"/>
  <c r="E809" i="10"/>
  <c r="E789" i="10"/>
  <c r="E777" i="10"/>
  <c r="E773" i="10"/>
  <c r="E735" i="10"/>
  <c r="E742" i="10"/>
  <c r="D815" i="10"/>
  <c r="E765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S48" i="1" s="1"/>
  <c r="AS62" i="1" s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52" i="1"/>
  <c r="N761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N766" i="1"/>
  <c r="N760" i="1"/>
  <c r="N743" i="1"/>
  <c r="N769" i="1"/>
  <c r="N758" i="1"/>
  <c r="N753" i="1"/>
  <c r="N747" i="1"/>
  <c r="F12" i="6"/>
  <c r="C469" i="1"/>
  <c r="F8" i="6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22" i="1"/>
  <c r="CD71" i="1"/>
  <c r="N765" i="1"/>
  <c r="N757" i="1"/>
  <c r="K816" i="1"/>
  <c r="C615" i="1"/>
  <c r="V815" i="1"/>
  <c r="E372" i="9"/>
  <c r="I380" i="9"/>
  <c r="I372" i="9"/>
  <c r="M816" i="1"/>
  <c r="CF77" i="1"/>
  <c r="G612" i="1"/>
  <c r="I381" i="9" l="1"/>
  <c r="C434" i="1"/>
  <c r="N762" i="1"/>
  <c r="C464" i="1"/>
  <c r="N755" i="1"/>
  <c r="G122" i="9"/>
  <c r="N736" i="1"/>
  <c r="F815" i="1"/>
  <c r="R48" i="1"/>
  <c r="R62" i="1" s="1"/>
  <c r="D76" i="9" s="1"/>
  <c r="AH48" i="1"/>
  <c r="AH62" i="1" s="1"/>
  <c r="AR48" i="1"/>
  <c r="AR62" i="1" s="1"/>
  <c r="E775" i="1" s="1"/>
  <c r="BD48" i="1"/>
  <c r="BD62" i="1" s="1"/>
  <c r="G236" i="9" s="1"/>
  <c r="BN48" i="1"/>
  <c r="BN62" i="1" s="1"/>
  <c r="BY48" i="1"/>
  <c r="BY62" i="1" s="1"/>
  <c r="BO48" i="1"/>
  <c r="BO62" i="1" s="1"/>
  <c r="D300" i="9" s="1"/>
  <c r="AW48" i="1"/>
  <c r="AW62" i="1" s="1"/>
  <c r="E780" i="1" s="1"/>
  <c r="BA48" i="1"/>
  <c r="BA62" i="1" s="1"/>
  <c r="AJ48" i="1"/>
  <c r="AJ62" i="1" s="1"/>
  <c r="E767" i="1" s="1"/>
  <c r="AV48" i="1"/>
  <c r="AV62" i="1" s="1"/>
  <c r="E779" i="1" s="1"/>
  <c r="BF48" i="1"/>
  <c r="BF62" i="1" s="1"/>
  <c r="E789" i="1" s="1"/>
  <c r="BP48" i="1"/>
  <c r="BP62" i="1" s="1"/>
  <c r="CA48" i="1"/>
  <c r="CA62" i="1" s="1"/>
  <c r="C48" i="1"/>
  <c r="C62" i="1" s="1"/>
  <c r="CC48" i="1"/>
  <c r="CC62" i="1" s="1"/>
  <c r="E812" i="1" s="1"/>
  <c r="BE48" i="1"/>
  <c r="BE62" i="1" s="1"/>
  <c r="H236" i="9" s="1"/>
  <c r="O48" i="1"/>
  <c r="O62" i="1" s="1"/>
  <c r="E746" i="1" s="1"/>
  <c r="D48" i="1"/>
  <c r="D62" i="1" s="1"/>
  <c r="D12" i="9" s="1"/>
  <c r="D815" i="1"/>
  <c r="X48" i="1"/>
  <c r="X62" i="1" s="1"/>
  <c r="W48" i="1"/>
  <c r="W62" i="1" s="1"/>
  <c r="I76" i="9" s="1"/>
  <c r="J48" i="1"/>
  <c r="J62" i="1" s="1"/>
  <c r="C44" i="9" s="1"/>
  <c r="Z48" i="1"/>
  <c r="Z62" i="1" s="1"/>
  <c r="E757" i="1" s="1"/>
  <c r="AL48" i="1"/>
  <c r="AL62" i="1" s="1"/>
  <c r="C172" i="9" s="1"/>
  <c r="AX48" i="1"/>
  <c r="AX62" i="1" s="1"/>
  <c r="E781" i="1" s="1"/>
  <c r="BH48" i="1"/>
  <c r="BH62" i="1" s="1"/>
  <c r="E791" i="1" s="1"/>
  <c r="BT48" i="1"/>
  <c r="BT62" i="1" s="1"/>
  <c r="AA48" i="1"/>
  <c r="AA62" i="1" s="1"/>
  <c r="F108" i="9" s="1"/>
  <c r="Q48" i="1"/>
  <c r="Q62" i="1" s="1"/>
  <c r="C76" i="9" s="1"/>
  <c r="BU48" i="1"/>
  <c r="BU62" i="1" s="1"/>
  <c r="BS48" i="1"/>
  <c r="BS62" i="1" s="1"/>
  <c r="E802" i="1" s="1"/>
  <c r="N48" i="1"/>
  <c r="N62" i="1" s="1"/>
  <c r="AD48" i="1"/>
  <c r="AD62" i="1" s="1"/>
  <c r="E761" i="1" s="1"/>
  <c r="AP48" i="1"/>
  <c r="AP62" i="1" s="1"/>
  <c r="G172" i="9" s="1"/>
  <c r="AZ48" i="1"/>
  <c r="AZ62" i="1" s="1"/>
  <c r="BL48" i="1"/>
  <c r="BL62" i="1" s="1"/>
  <c r="BV48" i="1"/>
  <c r="BV62" i="1" s="1"/>
  <c r="D332" i="9" s="1"/>
  <c r="AY48" i="1"/>
  <c r="AY62" i="1" s="1"/>
  <c r="E782" i="1" s="1"/>
  <c r="AG48" i="1"/>
  <c r="AG62" i="1" s="1"/>
  <c r="E140" i="9" s="1"/>
  <c r="U48" i="1"/>
  <c r="U62" i="1" s="1"/>
  <c r="E752" i="1" s="1"/>
  <c r="G48" i="1"/>
  <c r="G62" i="1" s="1"/>
  <c r="G12" i="9" s="1"/>
  <c r="BI48" i="1"/>
  <c r="BI62" i="1" s="1"/>
  <c r="I172" i="9"/>
  <c r="E776" i="1"/>
  <c r="C204" i="9"/>
  <c r="F48" i="1"/>
  <c r="F62" i="1" s="1"/>
  <c r="F12" i="9" s="1"/>
  <c r="V48" i="1"/>
  <c r="V62" i="1" s="1"/>
  <c r="H76" i="9" s="1"/>
  <c r="AF48" i="1"/>
  <c r="AF62" i="1" s="1"/>
  <c r="E763" i="1" s="1"/>
  <c r="AN48" i="1"/>
  <c r="AN62" i="1" s="1"/>
  <c r="E172" i="9" s="1"/>
  <c r="AT48" i="1"/>
  <c r="AT62" i="1" s="1"/>
  <c r="BB48" i="1"/>
  <c r="BB62" i="1" s="1"/>
  <c r="E236" i="9" s="1"/>
  <c r="BJ48" i="1"/>
  <c r="BJ62" i="1" s="1"/>
  <c r="E793" i="1" s="1"/>
  <c r="BR48" i="1"/>
  <c r="BR62" i="1" s="1"/>
  <c r="E801" i="1" s="1"/>
  <c r="BX48" i="1"/>
  <c r="BX62" i="1" s="1"/>
  <c r="AI48" i="1"/>
  <c r="AI62" i="1" s="1"/>
  <c r="E766" i="1" s="1"/>
  <c r="BW48" i="1"/>
  <c r="BW62" i="1" s="1"/>
  <c r="E332" i="9" s="1"/>
  <c r="E48" i="1"/>
  <c r="E62" i="1" s="1"/>
  <c r="BQ48" i="1"/>
  <c r="BQ62" i="1" s="1"/>
  <c r="AE48" i="1"/>
  <c r="AE62" i="1" s="1"/>
  <c r="L48" i="1"/>
  <c r="L62" i="1" s="1"/>
  <c r="E749" i="1"/>
  <c r="K48" i="1"/>
  <c r="K62" i="1" s="1"/>
  <c r="BG48" i="1"/>
  <c r="BG62" i="1" s="1"/>
  <c r="I48" i="1"/>
  <c r="I62" i="1" s="1"/>
  <c r="E740" i="1" s="1"/>
  <c r="AO48" i="1"/>
  <c r="AO62" i="1" s="1"/>
  <c r="E772" i="1" s="1"/>
  <c r="BM48" i="1"/>
  <c r="BM62" i="1" s="1"/>
  <c r="I268" i="9" s="1"/>
  <c r="AK48" i="1"/>
  <c r="AK62" i="1" s="1"/>
  <c r="E768" i="1" s="1"/>
  <c r="AU48" i="1"/>
  <c r="AU62" i="1" s="1"/>
  <c r="AB48" i="1"/>
  <c r="AB62" i="1" s="1"/>
  <c r="G108" i="9" s="1"/>
  <c r="D816" i="1"/>
  <c r="G816" i="1"/>
  <c r="I366" i="9"/>
  <c r="C430" i="1"/>
  <c r="B440" i="1"/>
  <c r="B441" i="1"/>
  <c r="D368" i="1"/>
  <c r="C120" i="8" s="1"/>
  <c r="C448" i="1"/>
  <c r="G10" i="4"/>
  <c r="B10" i="4"/>
  <c r="C673" i="10"/>
  <c r="C501" i="10"/>
  <c r="G501" i="10" s="1"/>
  <c r="B501" i="1"/>
  <c r="C644" i="10"/>
  <c r="C569" i="10"/>
  <c r="B569" i="1"/>
  <c r="C614" i="10"/>
  <c r="C550" i="10"/>
  <c r="B550" i="1"/>
  <c r="C616" i="10"/>
  <c r="C543" i="10"/>
  <c r="B543" i="1"/>
  <c r="C710" i="10"/>
  <c r="C538" i="10"/>
  <c r="G538" i="10" s="1"/>
  <c r="B538" i="1"/>
  <c r="C687" i="10"/>
  <c r="C515" i="10"/>
  <c r="G515" i="10" s="1"/>
  <c r="B515" i="1"/>
  <c r="C684" i="10"/>
  <c r="C512" i="10"/>
  <c r="B512" i="1"/>
  <c r="C560" i="10"/>
  <c r="C627" i="10"/>
  <c r="B560" i="1"/>
  <c r="T814" i="10"/>
  <c r="R814" i="10"/>
  <c r="C622" i="10"/>
  <c r="C573" i="10"/>
  <c r="B573" i="1"/>
  <c r="C697" i="10"/>
  <c r="C525" i="10"/>
  <c r="G525" i="10" s="1"/>
  <c r="B525" i="1"/>
  <c r="C677" i="10"/>
  <c r="C505" i="10"/>
  <c r="G505" i="10" s="1"/>
  <c r="B505" i="1"/>
  <c r="C690" i="10"/>
  <c r="C518" i="10"/>
  <c r="B518" i="1"/>
  <c r="C683" i="10"/>
  <c r="C511" i="10"/>
  <c r="B511" i="1"/>
  <c r="C502" i="10"/>
  <c r="G502" i="10" s="1"/>
  <c r="C674" i="10"/>
  <c r="B502" i="1"/>
  <c r="C570" i="10"/>
  <c r="C645" i="10"/>
  <c r="B570" i="1"/>
  <c r="C632" i="10"/>
  <c r="C547" i="10"/>
  <c r="B547" i="1"/>
  <c r="C62" i="10"/>
  <c r="CE48" i="10"/>
  <c r="C528" i="10"/>
  <c r="C700" i="10"/>
  <c r="B528" i="1"/>
  <c r="C625" i="10"/>
  <c r="C544" i="10"/>
  <c r="B544" i="1"/>
  <c r="H814" i="10"/>
  <c r="P814" i="10"/>
  <c r="M810" i="10"/>
  <c r="C497" i="10"/>
  <c r="G497" i="10" s="1"/>
  <c r="C669" i="10"/>
  <c r="B497" i="1"/>
  <c r="C521" i="10"/>
  <c r="C693" i="10"/>
  <c r="B521" i="1"/>
  <c r="C698" i="10"/>
  <c r="C526" i="10"/>
  <c r="B526" i="1"/>
  <c r="C519" i="10"/>
  <c r="G519" i="10" s="1"/>
  <c r="C691" i="10"/>
  <c r="B519" i="1"/>
  <c r="U71" i="10"/>
  <c r="C630" i="10"/>
  <c r="C546" i="10"/>
  <c r="B546" i="1"/>
  <c r="C523" i="10"/>
  <c r="G523" i="10" s="1"/>
  <c r="C695" i="10"/>
  <c r="B523" i="1"/>
  <c r="C672" i="10"/>
  <c r="C500" i="10"/>
  <c r="G500" i="10" s="1"/>
  <c r="B500" i="1"/>
  <c r="C704" i="10"/>
  <c r="C532" i="10"/>
  <c r="G532" i="10" s="1"/>
  <c r="B532" i="1"/>
  <c r="BS71" i="10"/>
  <c r="E797" i="10"/>
  <c r="M748" i="10"/>
  <c r="M749" i="10"/>
  <c r="M763" i="10"/>
  <c r="M775" i="10"/>
  <c r="M784" i="10"/>
  <c r="M797" i="10"/>
  <c r="C713" i="10"/>
  <c r="C541" i="10"/>
  <c r="B541" i="1"/>
  <c r="C628" i="10"/>
  <c r="C545" i="10"/>
  <c r="G545" i="10" s="1"/>
  <c r="B545" i="1"/>
  <c r="AJ71" i="10"/>
  <c r="C705" i="10"/>
  <c r="C533" i="10"/>
  <c r="G533" i="10" s="1"/>
  <c r="B533" i="1"/>
  <c r="AR71" i="10"/>
  <c r="C678" i="10"/>
  <c r="C506" i="10"/>
  <c r="G506" i="10" s="1"/>
  <c r="B506" i="1"/>
  <c r="AO71" i="10"/>
  <c r="C641" i="10"/>
  <c r="C566" i="10"/>
  <c r="B566" i="1"/>
  <c r="C703" i="10"/>
  <c r="C531" i="10"/>
  <c r="G531" i="10" s="1"/>
  <c r="B531" i="1"/>
  <c r="BR71" i="10"/>
  <c r="C694" i="10"/>
  <c r="C522" i="10"/>
  <c r="B522" i="1"/>
  <c r="C634" i="10"/>
  <c r="C554" i="10"/>
  <c r="B554" i="1"/>
  <c r="F71" i="10"/>
  <c r="C699" i="10"/>
  <c r="C527" i="10"/>
  <c r="B527" i="1"/>
  <c r="BN71" i="10"/>
  <c r="K71" i="10"/>
  <c r="C692" i="10"/>
  <c r="C520" i="10"/>
  <c r="B520" i="1"/>
  <c r="AQ71" i="10"/>
  <c r="C552" i="10"/>
  <c r="C618" i="10"/>
  <c r="B552" i="1"/>
  <c r="C643" i="10"/>
  <c r="C568" i="10"/>
  <c r="B568" i="1"/>
  <c r="C67" i="10"/>
  <c r="CE67" i="10" s="1"/>
  <c r="C433" i="10" s="1"/>
  <c r="CE52" i="10"/>
  <c r="E787" i="10"/>
  <c r="M739" i="10"/>
  <c r="M806" i="10"/>
  <c r="C681" i="10"/>
  <c r="C509" i="10"/>
  <c r="B509" i="1"/>
  <c r="C685" i="10"/>
  <c r="C513" i="10"/>
  <c r="G513" i="10" s="1"/>
  <c r="B513" i="1"/>
  <c r="X71" i="10"/>
  <c r="C670" i="10"/>
  <c r="C498" i="10"/>
  <c r="B498" i="1"/>
  <c r="BM71" i="10"/>
  <c r="BJ71" i="10"/>
  <c r="C574" i="10"/>
  <c r="C620" i="10"/>
  <c r="B574" i="1"/>
  <c r="C551" i="10"/>
  <c r="C629" i="10"/>
  <c r="B551" i="1"/>
  <c r="C688" i="10"/>
  <c r="C516" i="10"/>
  <c r="B516" i="1"/>
  <c r="C633" i="10"/>
  <c r="C548" i="10"/>
  <c r="B548" i="1"/>
  <c r="E781" i="10"/>
  <c r="E738" i="10"/>
  <c r="E801" i="10"/>
  <c r="M737" i="10"/>
  <c r="M755" i="10"/>
  <c r="M760" i="10"/>
  <c r="M780" i="10"/>
  <c r="M781" i="10"/>
  <c r="M783" i="10"/>
  <c r="M788" i="10"/>
  <c r="BL71" i="10"/>
  <c r="C624" i="10"/>
  <c r="C549" i="10"/>
  <c r="B549" i="1"/>
  <c r="BP71" i="10"/>
  <c r="C640" i="10"/>
  <c r="C565" i="10"/>
  <c r="B565" i="1"/>
  <c r="BH71" i="10"/>
  <c r="Q71" i="10"/>
  <c r="C631" i="10"/>
  <c r="C542" i="10"/>
  <c r="B542" i="1"/>
  <c r="C675" i="10"/>
  <c r="C503" i="10"/>
  <c r="G503" i="10" s="1"/>
  <c r="B503" i="1"/>
  <c r="AP71" i="10"/>
  <c r="BZ71" i="10"/>
  <c r="AK71" i="10"/>
  <c r="C562" i="10"/>
  <c r="C623" i="10"/>
  <c r="B562" i="1"/>
  <c r="C679" i="10"/>
  <c r="C507" i="10"/>
  <c r="G507" i="10" s="1"/>
  <c r="B507" i="1"/>
  <c r="AT71" i="10"/>
  <c r="C642" i="10"/>
  <c r="C567" i="10"/>
  <c r="B567" i="1"/>
  <c r="O71" i="10"/>
  <c r="C524" i="10"/>
  <c r="C696" i="10"/>
  <c r="B524" i="1"/>
  <c r="AU71" i="10"/>
  <c r="C635" i="10"/>
  <c r="C556" i="10"/>
  <c r="B556" i="1"/>
  <c r="CA71" i="10"/>
  <c r="E741" i="1"/>
  <c r="I332" i="9"/>
  <c r="E810" i="1"/>
  <c r="E742" i="1"/>
  <c r="E373" i="9"/>
  <c r="C575" i="1"/>
  <c r="E752" i="10"/>
  <c r="C14" i="5"/>
  <c r="D428" i="1"/>
  <c r="D612" i="1"/>
  <c r="CF76" i="1"/>
  <c r="H52" i="1" s="1"/>
  <c r="H67" i="1" s="1"/>
  <c r="E795" i="1"/>
  <c r="H268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E735" i="1"/>
  <c r="G332" i="9"/>
  <c r="E808" i="1"/>
  <c r="E797" i="1"/>
  <c r="C300" i="9"/>
  <c r="E773" i="1"/>
  <c r="E805" i="1"/>
  <c r="G44" i="9"/>
  <c r="E745" i="1"/>
  <c r="B446" i="1"/>
  <c r="D242" i="1"/>
  <c r="E779" i="10"/>
  <c r="E795" i="10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BD52" i="1"/>
  <c r="BD67" i="1" s="1"/>
  <c r="F52" i="1"/>
  <c r="F67" i="1" s="1"/>
  <c r="CB52" i="1"/>
  <c r="CB67" i="1" s="1"/>
  <c r="M52" i="1"/>
  <c r="M67" i="1" s="1"/>
  <c r="AA52" i="1"/>
  <c r="AA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754" i="1" l="1"/>
  <c r="H44" i="9"/>
  <c r="AA71" i="1"/>
  <c r="C520" i="1" s="1"/>
  <c r="G520" i="1" s="1"/>
  <c r="E769" i="1"/>
  <c r="H204" i="9"/>
  <c r="E758" i="1"/>
  <c r="I108" i="9"/>
  <c r="E748" i="1"/>
  <c r="I204" i="9"/>
  <c r="E798" i="1"/>
  <c r="F204" i="9"/>
  <c r="E806" i="1"/>
  <c r="H140" i="9"/>
  <c r="D268" i="9"/>
  <c r="F172" i="9"/>
  <c r="H172" i="9"/>
  <c r="E759" i="1"/>
  <c r="BP52" i="1"/>
  <c r="BP67" i="1" s="1"/>
  <c r="BM52" i="1"/>
  <c r="BM67" i="1" s="1"/>
  <c r="J52" i="1"/>
  <c r="J67" i="1" s="1"/>
  <c r="AG52" i="1"/>
  <c r="AG67" i="1" s="1"/>
  <c r="AG71" i="1" s="1"/>
  <c r="AH52" i="1"/>
  <c r="AH67" i="1" s="1"/>
  <c r="F145" i="9" s="1"/>
  <c r="BO52" i="1"/>
  <c r="BO67" i="1" s="1"/>
  <c r="BO71" i="1" s="1"/>
  <c r="D309" i="9" s="1"/>
  <c r="G52" i="1"/>
  <c r="G67" i="1" s="1"/>
  <c r="G71" i="1" s="1"/>
  <c r="C672" i="1" s="1"/>
  <c r="D52" i="1"/>
  <c r="D67" i="1" s="1"/>
  <c r="D71" i="1" s="1"/>
  <c r="C669" i="1" s="1"/>
  <c r="BN52" i="1"/>
  <c r="BN67" i="1" s="1"/>
  <c r="BN71" i="1" s="1"/>
  <c r="C559" i="1" s="1"/>
  <c r="BQ52" i="1"/>
  <c r="BQ67" i="1" s="1"/>
  <c r="AX52" i="1"/>
  <c r="AX67" i="1" s="1"/>
  <c r="AX71" i="1" s="1"/>
  <c r="C543" i="1" s="1"/>
  <c r="BV52" i="1"/>
  <c r="BV67" i="1" s="1"/>
  <c r="BV71" i="1" s="1"/>
  <c r="D341" i="9" s="1"/>
  <c r="T52" i="1"/>
  <c r="T67" i="1" s="1"/>
  <c r="AY52" i="1"/>
  <c r="AY67" i="1" s="1"/>
  <c r="AY71" i="1" s="1"/>
  <c r="C625" i="1" s="1"/>
  <c r="BF52" i="1"/>
  <c r="BF67" i="1" s="1"/>
  <c r="I241" i="9" s="1"/>
  <c r="AF52" i="1"/>
  <c r="AF67" i="1" s="1"/>
  <c r="AF71" i="1" s="1"/>
  <c r="C697" i="1" s="1"/>
  <c r="BX52" i="1"/>
  <c r="BX67" i="1" s="1"/>
  <c r="P52" i="1"/>
  <c r="P67" i="1" s="1"/>
  <c r="BT52" i="1"/>
  <c r="BT67" i="1" s="1"/>
  <c r="BT71" i="1" s="1"/>
  <c r="AN52" i="1"/>
  <c r="AN67" i="1" s="1"/>
  <c r="J771" i="1" s="1"/>
  <c r="BE52" i="1"/>
  <c r="BE67" i="1" s="1"/>
  <c r="AK52" i="1"/>
  <c r="AK67" i="1" s="1"/>
  <c r="AW52" i="1"/>
  <c r="AW67" i="1" s="1"/>
  <c r="AW71" i="1" s="1"/>
  <c r="G213" i="9" s="1"/>
  <c r="BY52" i="1"/>
  <c r="BY67" i="1" s="1"/>
  <c r="BY71" i="1" s="1"/>
  <c r="C645" i="1" s="1"/>
  <c r="AM52" i="1"/>
  <c r="AM67" i="1" s="1"/>
  <c r="AJ52" i="1"/>
  <c r="AJ67" i="1" s="1"/>
  <c r="AJ71" i="1" s="1"/>
  <c r="H149" i="9" s="1"/>
  <c r="AB52" i="1"/>
  <c r="AB67" i="1" s="1"/>
  <c r="J759" i="1" s="1"/>
  <c r="V52" i="1"/>
  <c r="V67" i="1" s="1"/>
  <c r="AH71" i="1"/>
  <c r="C699" i="1" s="1"/>
  <c r="BR71" i="1"/>
  <c r="C563" i="1" s="1"/>
  <c r="J71" i="1"/>
  <c r="G300" i="9"/>
  <c r="E771" i="1"/>
  <c r="E762" i="1"/>
  <c r="C332" i="9"/>
  <c r="C140" i="9"/>
  <c r="E804" i="1"/>
  <c r="E811" i="1"/>
  <c r="E204" i="9"/>
  <c r="I12" i="9"/>
  <c r="E778" i="1"/>
  <c r="E736" i="1"/>
  <c r="D108" i="9"/>
  <c r="E777" i="1"/>
  <c r="E783" i="1"/>
  <c r="D204" i="9"/>
  <c r="M71" i="1"/>
  <c r="C678" i="1" s="1"/>
  <c r="G204" i="9"/>
  <c r="I236" i="9"/>
  <c r="F268" i="9"/>
  <c r="AK71" i="1"/>
  <c r="I149" i="9" s="1"/>
  <c r="C236" i="9"/>
  <c r="E268" i="9"/>
  <c r="E792" i="1"/>
  <c r="E734" i="1"/>
  <c r="C12" i="9"/>
  <c r="G140" i="9"/>
  <c r="BD71" i="1"/>
  <c r="C624" i="1" s="1"/>
  <c r="D140" i="9"/>
  <c r="E108" i="9"/>
  <c r="H300" i="9"/>
  <c r="E803" i="1"/>
  <c r="D364" i="9"/>
  <c r="E764" i="1"/>
  <c r="I140" i="9"/>
  <c r="I300" i="9"/>
  <c r="E787" i="1"/>
  <c r="G76" i="9"/>
  <c r="BE71" i="1"/>
  <c r="E788" i="1"/>
  <c r="E799" i="1"/>
  <c r="BP71" i="1"/>
  <c r="E300" i="9"/>
  <c r="E12" i="9"/>
  <c r="E744" i="1"/>
  <c r="E753" i="1"/>
  <c r="E796" i="1"/>
  <c r="BM71" i="1"/>
  <c r="E743" i="1"/>
  <c r="E44" i="9"/>
  <c r="E807" i="1"/>
  <c r="F332" i="9"/>
  <c r="BX71" i="1"/>
  <c r="F71" i="1"/>
  <c r="E737" i="1"/>
  <c r="E785" i="1"/>
  <c r="E756" i="1"/>
  <c r="D44" i="9"/>
  <c r="C268" i="9"/>
  <c r="E790" i="1"/>
  <c r="F300" i="9"/>
  <c r="E800" i="1"/>
  <c r="BQ71" i="1"/>
  <c r="H62" i="1"/>
  <c r="E739" i="1" s="1"/>
  <c r="CE48" i="1"/>
  <c r="C572" i="10"/>
  <c r="C647" i="10"/>
  <c r="B572" i="1"/>
  <c r="M809" i="10"/>
  <c r="C712" i="10"/>
  <c r="C540" i="10"/>
  <c r="G540" i="10" s="1"/>
  <c r="B540" i="1"/>
  <c r="M777" i="10"/>
  <c r="C680" i="10"/>
  <c r="C508" i="10"/>
  <c r="G508" i="10" s="1"/>
  <c r="B508" i="1"/>
  <c r="M745" i="10"/>
  <c r="C711" i="10"/>
  <c r="C539" i="10"/>
  <c r="G539" i="10" s="1"/>
  <c r="B539" i="1"/>
  <c r="M776" i="10"/>
  <c r="C646" i="10"/>
  <c r="C571" i="10"/>
  <c r="B571" i="1"/>
  <c r="M808" i="10"/>
  <c r="C682" i="10"/>
  <c r="C510" i="10"/>
  <c r="G510" i="10" s="1"/>
  <c r="B510" i="1"/>
  <c r="M747" i="10"/>
  <c r="G516" i="10"/>
  <c r="H516" i="10"/>
  <c r="C617" i="10"/>
  <c r="C555" i="10"/>
  <c r="B555" i="1"/>
  <c r="M792" i="10"/>
  <c r="C559" i="10"/>
  <c r="C619" i="10"/>
  <c r="B559" i="1"/>
  <c r="M796" i="10"/>
  <c r="C671" i="10"/>
  <c r="C499" i="10"/>
  <c r="G499" i="10" s="1"/>
  <c r="B499" i="1"/>
  <c r="M736" i="10"/>
  <c r="C639" i="10"/>
  <c r="C564" i="10"/>
  <c r="B564" i="1"/>
  <c r="M801" i="10"/>
  <c r="G511" i="10"/>
  <c r="H511" i="10"/>
  <c r="G512" i="10"/>
  <c r="H512" i="10"/>
  <c r="G550" i="10"/>
  <c r="H550" i="10"/>
  <c r="C707" i="10"/>
  <c r="C535" i="10"/>
  <c r="G535" i="10" s="1"/>
  <c r="B535" i="1"/>
  <c r="M772" i="10"/>
  <c r="C636" i="10"/>
  <c r="C553" i="10"/>
  <c r="B553" i="1"/>
  <c r="M790" i="10"/>
  <c r="C621" i="10"/>
  <c r="C561" i="10"/>
  <c r="B561" i="1"/>
  <c r="M798" i="10"/>
  <c r="C637" i="10"/>
  <c r="C557" i="10"/>
  <c r="B557" i="1"/>
  <c r="M794" i="10"/>
  <c r="C638" i="10"/>
  <c r="C558" i="10"/>
  <c r="B558" i="1"/>
  <c r="M795" i="10"/>
  <c r="C689" i="10"/>
  <c r="C517" i="10"/>
  <c r="B517" i="1"/>
  <c r="M754" i="10"/>
  <c r="H520" i="10"/>
  <c r="G520" i="10"/>
  <c r="G522" i="10"/>
  <c r="H522" i="10"/>
  <c r="C686" i="10"/>
  <c r="C514" i="10"/>
  <c r="B514" i="1"/>
  <c r="M751" i="10"/>
  <c r="C71" i="10"/>
  <c r="CE62" i="10"/>
  <c r="C648" i="10"/>
  <c r="M716" i="10" s="1"/>
  <c r="D615" i="10"/>
  <c r="G509" i="10"/>
  <c r="H509" i="10" s="1"/>
  <c r="G527" i="10"/>
  <c r="H527" i="10"/>
  <c r="C706" i="10"/>
  <c r="C534" i="10"/>
  <c r="G534" i="10" s="1"/>
  <c r="B534" i="1"/>
  <c r="M771" i="10"/>
  <c r="C709" i="10"/>
  <c r="C537" i="10"/>
  <c r="G537" i="10" s="1"/>
  <c r="B537" i="1"/>
  <c r="M774" i="10"/>
  <c r="C701" i="10"/>
  <c r="C529" i="10"/>
  <c r="B529" i="1"/>
  <c r="M766" i="10"/>
  <c r="G526" i="10"/>
  <c r="H526" i="10"/>
  <c r="H521" i="10"/>
  <c r="G521" i="10"/>
  <c r="G524" i="10"/>
  <c r="H524" i="10" s="1"/>
  <c r="C702" i="10"/>
  <c r="C530" i="10"/>
  <c r="G530" i="10" s="1"/>
  <c r="B530" i="1"/>
  <c r="M767" i="10"/>
  <c r="G498" i="10"/>
  <c r="H498" i="10" s="1"/>
  <c r="C708" i="10"/>
  <c r="C536" i="10"/>
  <c r="G536" i="10" s="1"/>
  <c r="B536" i="1"/>
  <c r="M773" i="10"/>
  <c r="C676" i="10"/>
  <c r="C504" i="10"/>
  <c r="B504" i="1"/>
  <c r="M741" i="10"/>
  <c r="C626" i="10"/>
  <c r="C563" i="10"/>
  <c r="B563" i="1"/>
  <c r="M800" i="10"/>
  <c r="G546" i="10"/>
  <c r="H546" i="10"/>
  <c r="G544" i="10"/>
  <c r="H544" i="10" s="1"/>
  <c r="G528" i="10"/>
  <c r="H528" i="10"/>
  <c r="G518" i="10"/>
  <c r="H518" i="10" s="1"/>
  <c r="F76" i="9"/>
  <c r="E751" i="1"/>
  <c r="T71" i="1"/>
  <c r="I49" i="9"/>
  <c r="J747" i="1"/>
  <c r="J798" i="1"/>
  <c r="D305" i="9"/>
  <c r="H17" i="9"/>
  <c r="J739" i="1"/>
  <c r="J765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BC52" i="1"/>
  <c r="BC67" i="1" s="1"/>
  <c r="BC71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69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F213" i="9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C700" i="1" s="1"/>
  <c r="W52" i="1"/>
  <c r="W67" i="1" s="1"/>
  <c r="W71" i="1" s="1"/>
  <c r="I85" i="9" s="1"/>
  <c r="AS52" i="1"/>
  <c r="AS67" i="1" s="1"/>
  <c r="AS71" i="1" s="1"/>
  <c r="C538" i="1" s="1"/>
  <c r="G538" i="1" s="1"/>
  <c r="AQ52" i="1"/>
  <c r="AQ67" i="1" s="1"/>
  <c r="AQ71" i="1" s="1"/>
  <c r="C708" i="1" s="1"/>
  <c r="AR52" i="1"/>
  <c r="AR67" i="1" s="1"/>
  <c r="AR71" i="1" s="1"/>
  <c r="AZ52" i="1"/>
  <c r="AZ67" i="1" s="1"/>
  <c r="AZ71" i="1" s="1"/>
  <c r="N52" i="1"/>
  <c r="N67" i="1" s="1"/>
  <c r="N71" i="1" s="1"/>
  <c r="C679" i="1" s="1"/>
  <c r="CA52" i="1"/>
  <c r="CA67" i="1" s="1"/>
  <c r="CA71" i="1" s="1"/>
  <c r="I341" i="9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E760" i="1"/>
  <c r="F236" i="9"/>
  <c r="E786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AC71" i="1"/>
  <c r="C522" i="1" s="1"/>
  <c r="G522" i="1" s="1"/>
  <c r="CB71" i="1"/>
  <c r="C373" i="9" s="1"/>
  <c r="F505" i="1"/>
  <c r="H505" i="1"/>
  <c r="F499" i="1"/>
  <c r="H499" i="1"/>
  <c r="E52" i="1"/>
  <c r="E67" i="1" s="1"/>
  <c r="E71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I273" i="9"/>
  <c r="J796" i="1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F520" i="1"/>
  <c r="H520" i="1"/>
  <c r="D341" i="1"/>
  <c r="C481" i="1" s="1"/>
  <c r="C50" i="8"/>
  <c r="J781" i="1"/>
  <c r="J751" i="1"/>
  <c r="F81" i="9"/>
  <c r="J782" i="1"/>
  <c r="I209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F117" i="9"/>
  <c r="C619" i="1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E760" i="10"/>
  <c r="E770" i="10"/>
  <c r="E786" i="10"/>
  <c r="E802" i="10"/>
  <c r="E810" i="10"/>
  <c r="F498" i="1"/>
  <c r="J788" i="1"/>
  <c r="H241" i="9"/>
  <c r="J768" i="1"/>
  <c r="I145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800" i="1"/>
  <c r="F305" i="9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622" i="1" l="1"/>
  <c r="C692" i="1"/>
  <c r="I213" i="9"/>
  <c r="C560" i="1"/>
  <c r="C529" i="1"/>
  <c r="G529" i="1" s="1"/>
  <c r="F149" i="9"/>
  <c r="C527" i="1"/>
  <c r="G527" i="1" s="1"/>
  <c r="C309" i="9"/>
  <c r="C701" i="1"/>
  <c r="C627" i="1"/>
  <c r="C544" i="1"/>
  <c r="G544" i="1" s="1"/>
  <c r="G309" i="9"/>
  <c r="C626" i="1"/>
  <c r="I117" i="9"/>
  <c r="C516" i="1"/>
  <c r="G516" i="1" s="1"/>
  <c r="C616" i="1"/>
  <c r="C695" i="1"/>
  <c r="G21" i="9"/>
  <c r="C688" i="1"/>
  <c r="J738" i="1"/>
  <c r="C508" i="1"/>
  <c r="G508" i="1" s="1"/>
  <c r="C500" i="1"/>
  <c r="G500" i="1" s="1"/>
  <c r="H209" i="9"/>
  <c r="J780" i="1"/>
  <c r="H213" i="9"/>
  <c r="J789" i="1"/>
  <c r="BF71" i="1"/>
  <c r="I245" i="9" s="1"/>
  <c r="G209" i="9"/>
  <c r="G17" i="9"/>
  <c r="C642" i="1"/>
  <c r="C507" i="1"/>
  <c r="G507" i="1" s="1"/>
  <c r="C713" i="1"/>
  <c r="G53" i="9"/>
  <c r="C680" i="1"/>
  <c r="C541" i="1"/>
  <c r="E177" i="9"/>
  <c r="F53" i="9"/>
  <c r="C573" i="1"/>
  <c r="C497" i="1"/>
  <c r="G497" i="1" s="1"/>
  <c r="C570" i="1"/>
  <c r="C707" i="1"/>
  <c r="C535" i="1"/>
  <c r="G535" i="1" s="1"/>
  <c r="C526" i="1"/>
  <c r="G526" i="1" s="1"/>
  <c r="C698" i="1"/>
  <c r="C498" i="1"/>
  <c r="G498" i="1" s="1"/>
  <c r="C670" i="1"/>
  <c r="G341" i="9"/>
  <c r="G337" i="9"/>
  <c r="J805" i="1"/>
  <c r="J763" i="1"/>
  <c r="AN71" i="1"/>
  <c r="G113" i="9"/>
  <c r="AB71" i="1"/>
  <c r="J803" i="1"/>
  <c r="I305" i="9"/>
  <c r="C49" i="9"/>
  <c r="J741" i="1"/>
  <c r="J764" i="1"/>
  <c r="E145" i="9"/>
  <c r="C643" i="1"/>
  <c r="D17" i="9"/>
  <c r="C567" i="1"/>
  <c r="J808" i="1"/>
  <c r="D337" i="9"/>
  <c r="D21" i="9"/>
  <c r="I21" i="9"/>
  <c r="D145" i="9"/>
  <c r="C213" i="9"/>
  <c r="J753" i="1"/>
  <c r="V71" i="1"/>
  <c r="E341" i="9"/>
  <c r="J735" i="1"/>
  <c r="H81" i="9"/>
  <c r="C683" i="1"/>
  <c r="J799" i="1"/>
  <c r="E305" i="9"/>
  <c r="C117" i="9"/>
  <c r="C689" i="1"/>
  <c r="C517" i="1"/>
  <c r="G517" i="1" s="1"/>
  <c r="F181" i="9"/>
  <c r="C706" i="1"/>
  <c r="C534" i="1"/>
  <c r="G534" i="1" s="1"/>
  <c r="D117" i="9"/>
  <c r="C690" i="1"/>
  <c r="C518" i="1"/>
  <c r="G518" i="1" s="1"/>
  <c r="E245" i="9"/>
  <c r="C547" i="1"/>
  <c r="C632" i="1"/>
  <c r="C557" i="1"/>
  <c r="C637" i="1"/>
  <c r="H277" i="9"/>
  <c r="C617" i="1"/>
  <c r="C555" i="1"/>
  <c r="F277" i="9"/>
  <c r="C539" i="1"/>
  <c r="G539" i="1" s="1"/>
  <c r="C711" i="1"/>
  <c r="D213" i="9"/>
  <c r="C639" i="1"/>
  <c r="H309" i="9"/>
  <c r="C564" i="1"/>
  <c r="C524" i="1"/>
  <c r="C149" i="9"/>
  <c r="C696" i="1"/>
  <c r="C676" i="1"/>
  <c r="D53" i="9"/>
  <c r="C504" i="1"/>
  <c r="G504" i="1" s="1"/>
  <c r="C628" i="1"/>
  <c r="C545" i="1"/>
  <c r="G545" i="1" s="1"/>
  <c r="C245" i="9"/>
  <c r="E213" i="9"/>
  <c r="C712" i="1"/>
  <c r="C540" i="1"/>
  <c r="G540" i="1" s="1"/>
  <c r="E277" i="9"/>
  <c r="C554" i="1"/>
  <c r="C634" i="1"/>
  <c r="C85" i="9"/>
  <c r="C510" i="1"/>
  <c r="G510" i="1" s="1"/>
  <c r="C682" i="1"/>
  <c r="C341" i="9"/>
  <c r="C641" i="1"/>
  <c r="C566" i="1"/>
  <c r="C709" i="1"/>
  <c r="C537" i="1"/>
  <c r="G537" i="1" s="1"/>
  <c r="C572" i="1"/>
  <c r="C531" i="1"/>
  <c r="G531" i="1" s="1"/>
  <c r="E21" i="9"/>
  <c r="G149" i="9"/>
  <c r="C674" i="1"/>
  <c r="C511" i="1"/>
  <c r="G511" i="1" s="1"/>
  <c r="C710" i="1"/>
  <c r="D277" i="9"/>
  <c r="C546" i="1"/>
  <c r="G546" i="1" s="1"/>
  <c r="D245" i="9"/>
  <c r="C630" i="1"/>
  <c r="G181" i="9"/>
  <c r="C703" i="1"/>
  <c r="C647" i="1"/>
  <c r="C503" i="1"/>
  <c r="G503" i="1" s="1"/>
  <c r="C675" i="1"/>
  <c r="C53" i="9"/>
  <c r="C553" i="1"/>
  <c r="C528" i="1"/>
  <c r="G528" i="1" s="1"/>
  <c r="H117" i="9"/>
  <c r="G245" i="9"/>
  <c r="I181" i="9"/>
  <c r="C506" i="1"/>
  <c r="G506" i="1" s="1"/>
  <c r="H516" i="1"/>
  <c r="D373" i="9"/>
  <c r="C525" i="1"/>
  <c r="G525" i="1" s="1"/>
  <c r="C574" i="1"/>
  <c r="D149" i="9"/>
  <c r="E149" i="9"/>
  <c r="H12" i="9"/>
  <c r="C631" i="1"/>
  <c r="C542" i="1"/>
  <c r="C549" i="1"/>
  <c r="C519" i="1"/>
  <c r="G519" i="1" s="1"/>
  <c r="C621" i="1"/>
  <c r="E309" i="9"/>
  <c r="C561" i="1"/>
  <c r="H181" i="9"/>
  <c r="E117" i="9"/>
  <c r="C565" i="1"/>
  <c r="I309" i="9"/>
  <c r="C640" i="1"/>
  <c r="C530" i="1"/>
  <c r="G530" i="1" s="1"/>
  <c r="C702" i="1"/>
  <c r="G85" i="9"/>
  <c r="C686" i="1"/>
  <c r="C514" i="1"/>
  <c r="G514" i="1" s="1"/>
  <c r="C614" i="1"/>
  <c r="H245" i="9"/>
  <c r="C550" i="1"/>
  <c r="C277" i="9"/>
  <c r="C618" i="1"/>
  <c r="C552" i="1"/>
  <c r="C638" i="1"/>
  <c r="I277" i="9"/>
  <c r="C558" i="1"/>
  <c r="F21" i="9"/>
  <c r="C499" i="1"/>
  <c r="G499" i="1" s="1"/>
  <c r="C671" i="1"/>
  <c r="C677" i="1"/>
  <c r="C505" i="1"/>
  <c r="G505" i="1" s="1"/>
  <c r="E53" i="9"/>
  <c r="F309" i="9"/>
  <c r="C623" i="1"/>
  <c r="C562" i="1"/>
  <c r="E815" i="1"/>
  <c r="C569" i="1"/>
  <c r="F341" i="9"/>
  <c r="C644" i="1"/>
  <c r="C536" i="1"/>
  <c r="G536" i="1" s="1"/>
  <c r="C694" i="1"/>
  <c r="H71" i="1"/>
  <c r="CE62" i="1"/>
  <c r="G504" i="10"/>
  <c r="H504" i="10"/>
  <c r="G529" i="10"/>
  <c r="H529" i="10" s="1"/>
  <c r="C428" i="10"/>
  <c r="C441" i="10" s="1"/>
  <c r="CE71" i="10"/>
  <c r="G514" i="10"/>
  <c r="H514" i="10" s="1"/>
  <c r="G517" i="10"/>
  <c r="H517" i="10"/>
  <c r="D710" i="10"/>
  <c r="D706" i="10"/>
  <c r="D716" i="10"/>
  <c r="D711" i="10"/>
  <c r="D707" i="10"/>
  <c r="D703" i="10"/>
  <c r="D699" i="10"/>
  <c r="D695" i="10"/>
  <c r="D691" i="10"/>
  <c r="D687" i="10"/>
  <c r="D712" i="10"/>
  <c r="D704" i="10"/>
  <c r="D702" i="10"/>
  <c r="D701" i="10"/>
  <c r="D700" i="10"/>
  <c r="D686" i="10"/>
  <c r="D685" i="10"/>
  <c r="D681" i="10"/>
  <c r="D677" i="10"/>
  <c r="D709" i="10"/>
  <c r="D708" i="10"/>
  <c r="D697" i="10"/>
  <c r="D690" i="10"/>
  <c r="D688" i="10"/>
  <c r="D680" i="10"/>
  <c r="D679" i="10"/>
  <c r="D678" i="10"/>
  <c r="D672" i="10"/>
  <c r="D668" i="10"/>
  <c r="D628" i="10"/>
  <c r="D622" i="10"/>
  <c r="D620" i="10"/>
  <c r="D618" i="10"/>
  <c r="D616" i="10"/>
  <c r="D705" i="10"/>
  <c r="D693" i="10"/>
  <c r="D676" i="10"/>
  <c r="D675" i="10"/>
  <c r="D673" i="10"/>
  <c r="D669" i="10"/>
  <c r="D627" i="10"/>
  <c r="D698" i="10"/>
  <c r="D689" i="10"/>
  <c r="D670" i="10"/>
  <c r="D647" i="10"/>
  <c r="D646" i="10"/>
  <c r="D645" i="10"/>
  <c r="D629" i="10"/>
  <c r="D626" i="10"/>
  <c r="D621" i="10"/>
  <c r="D617" i="10"/>
  <c r="D694" i="10"/>
  <c r="D684" i="10"/>
  <c r="D683" i="10"/>
  <c r="D682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23" i="10"/>
  <c r="D696" i="10"/>
  <c r="D625" i="10"/>
  <c r="D713" i="10"/>
  <c r="D692" i="10"/>
  <c r="D674" i="10"/>
  <c r="D619" i="10"/>
  <c r="D671" i="10"/>
  <c r="C668" i="10"/>
  <c r="C715" i="10" s="1"/>
  <c r="C496" i="10"/>
  <c r="G496" i="10" s="1"/>
  <c r="B496" i="1"/>
  <c r="M733" i="10"/>
  <c r="M814" i="10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668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44" i="1" l="1"/>
  <c r="C629" i="1"/>
  <c r="C551" i="1"/>
  <c r="H518" i="1"/>
  <c r="H498" i="1"/>
  <c r="H511" i="1"/>
  <c r="H504" i="1"/>
  <c r="H528" i="1"/>
  <c r="H526" i="1"/>
  <c r="H517" i="1"/>
  <c r="E181" i="9"/>
  <c r="C533" i="1"/>
  <c r="G533" i="1" s="1"/>
  <c r="C705" i="1"/>
  <c r="H85" i="9"/>
  <c r="C687" i="1"/>
  <c r="C515" i="1"/>
  <c r="G515" i="1" s="1"/>
  <c r="C693" i="1"/>
  <c r="G117" i="9"/>
  <c r="C521" i="1"/>
  <c r="G521" i="1" s="1"/>
  <c r="C496" i="1"/>
  <c r="G496" i="1" s="1"/>
  <c r="H546" i="1"/>
  <c r="C21" i="9"/>
  <c r="G524" i="1"/>
  <c r="H524" i="1" s="1"/>
  <c r="H509" i="1"/>
  <c r="H514" i="1"/>
  <c r="C648" i="1"/>
  <c r="M716" i="1" s="1"/>
  <c r="Y816" i="1" s="1"/>
  <c r="D615" i="1"/>
  <c r="G550" i="1"/>
  <c r="H550" i="1" s="1"/>
  <c r="H21" i="9"/>
  <c r="C673" i="1"/>
  <c r="C501" i="1"/>
  <c r="G501" i="1" s="1"/>
  <c r="I364" i="9"/>
  <c r="E816" i="1"/>
  <c r="C428" i="1"/>
  <c r="C716" i="10"/>
  <c r="M815" i="10"/>
  <c r="E612" i="10"/>
  <c r="D715" i="10"/>
  <c r="E623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1" i="1"/>
  <c r="D669" i="1"/>
  <c r="D703" i="1"/>
  <c r="D677" i="1"/>
  <c r="D640" i="1"/>
  <c r="D701" i="1"/>
  <c r="D678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0" i="1"/>
  <c r="D638" i="1"/>
  <c r="D673" i="1"/>
  <c r="D627" i="1"/>
  <c r="D621" i="1"/>
  <c r="D712" i="1"/>
  <c r="D69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34" i="1"/>
  <c r="D691" i="1"/>
  <c r="D670" i="1"/>
  <c r="D689" i="1"/>
  <c r="C716" i="1"/>
  <c r="I373" i="9"/>
  <c r="E716" i="10"/>
  <c r="E711" i="10"/>
  <c r="E707" i="10"/>
  <c r="E712" i="10"/>
  <c r="E708" i="10"/>
  <c r="E704" i="10"/>
  <c r="E700" i="10"/>
  <c r="E696" i="10"/>
  <c r="E692" i="10"/>
  <c r="E688" i="10"/>
  <c r="E709" i="10"/>
  <c r="E699" i="10"/>
  <c r="E698" i="10"/>
  <c r="E697" i="10"/>
  <c r="E682" i="10"/>
  <c r="E678" i="10"/>
  <c r="E706" i="10"/>
  <c r="E705" i="10"/>
  <c r="E695" i="10"/>
  <c r="E693" i="10"/>
  <c r="E686" i="10"/>
  <c r="E677" i="10"/>
  <c r="E676" i="10"/>
  <c r="E675" i="10"/>
  <c r="E673" i="10"/>
  <c r="E669" i="10"/>
  <c r="E627" i="10"/>
  <c r="E702" i="10"/>
  <c r="E691" i="10"/>
  <c r="E689" i="10"/>
  <c r="E674" i="10"/>
  <c r="E670" i="10"/>
  <c r="E647" i="10"/>
  <c r="E646" i="10"/>
  <c r="E645" i="10"/>
  <c r="E629" i="10"/>
  <c r="E626" i="10"/>
  <c r="E694" i="10"/>
  <c r="E685" i="10"/>
  <c r="E684" i="10"/>
  <c r="E683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3" i="10"/>
  <c r="E690" i="10"/>
  <c r="E681" i="10"/>
  <c r="E680" i="10"/>
  <c r="E679" i="10"/>
  <c r="E672" i="10"/>
  <c r="E713" i="10"/>
  <c r="E687" i="10"/>
  <c r="E625" i="10"/>
  <c r="E710" i="10"/>
  <c r="E671" i="10"/>
  <c r="E701" i="10"/>
  <c r="E668" i="10"/>
  <c r="E628" i="10"/>
  <c r="C433" i="1"/>
  <c r="C441" i="1" s="1"/>
  <c r="J816" i="1"/>
  <c r="I369" i="9"/>
  <c r="J815" i="10"/>
  <c r="E612" i="1" l="1"/>
  <c r="E623" i="1"/>
  <c r="D715" i="1"/>
  <c r="E715" i="10"/>
  <c r="F624" i="10"/>
  <c r="E716" i="1" l="1"/>
  <c r="E629" i="1"/>
  <c r="E706" i="1"/>
  <c r="E644" i="1"/>
  <c r="E692" i="1"/>
  <c r="E711" i="1"/>
  <c r="E670" i="1"/>
  <c r="E640" i="1"/>
  <c r="E643" i="1"/>
  <c r="E690" i="1"/>
  <c r="E675" i="1"/>
  <c r="E708" i="1"/>
  <c r="E707" i="1"/>
  <c r="E685" i="1"/>
  <c r="E630" i="1"/>
  <c r="E626" i="1"/>
  <c r="E696" i="1"/>
  <c r="E684" i="1"/>
  <c r="E636" i="1"/>
  <c r="E633" i="1"/>
  <c r="E625" i="1"/>
  <c r="E669" i="1"/>
  <c r="E687" i="1"/>
  <c r="E712" i="1"/>
  <c r="E642" i="1"/>
  <c r="E680" i="1"/>
  <c r="E688" i="1"/>
  <c r="E702" i="1"/>
  <c r="E676" i="1"/>
  <c r="E689" i="1"/>
  <c r="E645" i="1"/>
  <c r="E639" i="1"/>
  <c r="E700" i="1"/>
  <c r="E709" i="1"/>
  <c r="E637" i="1"/>
  <c r="E703" i="1"/>
  <c r="E686" i="1"/>
  <c r="E691" i="1"/>
  <c r="E627" i="1"/>
  <c r="E672" i="1"/>
  <c r="E704" i="1"/>
  <c r="E671" i="1"/>
  <c r="E646" i="1"/>
  <c r="E674" i="1"/>
  <c r="E634" i="1"/>
  <c r="E677" i="1"/>
  <c r="E679" i="1"/>
  <c r="E647" i="1"/>
  <c r="E697" i="1"/>
  <c r="E695" i="1"/>
  <c r="E683" i="1"/>
  <c r="E624" i="1"/>
  <c r="E635" i="1"/>
  <c r="E713" i="1"/>
  <c r="E678" i="1"/>
  <c r="E698" i="1"/>
  <c r="E701" i="1"/>
  <c r="E638" i="1"/>
  <c r="E641" i="1"/>
  <c r="E681" i="1"/>
  <c r="E710" i="1"/>
  <c r="E682" i="1"/>
  <c r="E699" i="1"/>
  <c r="E631" i="1"/>
  <c r="E694" i="1"/>
  <c r="E668" i="1"/>
  <c r="E628" i="1"/>
  <c r="E632" i="1"/>
  <c r="E673" i="1"/>
  <c r="E693" i="1"/>
  <c r="E705" i="1"/>
  <c r="F712" i="10"/>
  <c r="F708" i="10"/>
  <c r="F704" i="10"/>
  <c r="F713" i="10"/>
  <c r="F709" i="10"/>
  <c r="F705" i="10"/>
  <c r="F701" i="10"/>
  <c r="F697" i="10"/>
  <c r="F693" i="10"/>
  <c r="F689" i="10"/>
  <c r="F685" i="10"/>
  <c r="F706" i="10"/>
  <c r="F696" i="10"/>
  <c r="F695" i="10"/>
  <c r="F694" i="10"/>
  <c r="F683" i="10"/>
  <c r="F679" i="10"/>
  <c r="F675" i="10"/>
  <c r="F711" i="10"/>
  <c r="F702" i="10"/>
  <c r="F691" i="10"/>
  <c r="F674" i="10"/>
  <c r="F670" i="10"/>
  <c r="F647" i="10"/>
  <c r="F646" i="10"/>
  <c r="F645" i="10"/>
  <c r="F629" i="10"/>
  <c r="F626" i="10"/>
  <c r="F716" i="10"/>
  <c r="F700" i="10"/>
  <c r="F698" i="10"/>
  <c r="F687" i="10"/>
  <c r="F684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3" i="10"/>
  <c r="F690" i="10"/>
  <c r="F682" i="10"/>
  <c r="F681" i="10"/>
  <c r="F680" i="10"/>
  <c r="F672" i="10"/>
  <c r="F699" i="10"/>
  <c r="F686" i="10"/>
  <c r="F678" i="10"/>
  <c r="F677" i="10"/>
  <c r="F676" i="10"/>
  <c r="F669" i="10"/>
  <c r="F627" i="10"/>
  <c r="F692" i="10"/>
  <c r="F710" i="10"/>
  <c r="F668" i="10"/>
  <c r="F707" i="10"/>
  <c r="F673" i="10"/>
  <c r="F628" i="10"/>
  <c r="F688" i="10"/>
  <c r="E715" i="1" l="1"/>
  <c r="F624" i="1"/>
  <c r="F715" i="10"/>
  <c r="G625" i="10"/>
  <c r="F631" i="1" l="1"/>
  <c r="F687" i="1"/>
  <c r="F696" i="1"/>
  <c r="F640" i="1"/>
  <c r="F646" i="1"/>
  <c r="F645" i="1"/>
  <c r="F695" i="1"/>
  <c r="F706" i="1"/>
  <c r="F691" i="1"/>
  <c r="F636" i="1"/>
  <c r="F638" i="1"/>
  <c r="F710" i="1"/>
  <c r="F670" i="1"/>
  <c r="F684" i="1"/>
  <c r="F697" i="1"/>
  <c r="F668" i="1"/>
  <c r="F628" i="1"/>
  <c r="F632" i="1"/>
  <c r="F641" i="1"/>
  <c r="F693" i="1"/>
  <c r="F629" i="1"/>
  <c r="F642" i="1"/>
  <c r="F626" i="1"/>
  <c r="F672" i="1"/>
  <c r="F637" i="1"/>
  <c r="F644" i="1"/>
  <c r="F678" i="1"/>
  <c r="F694" i="1"/>
  <c r="F677" i="1"/>
  <c r="F639" i="1"/>
  <c r="F635" i="1"/>
  <c r="F673" i="1"/>
  <c r="F705" i="1"/>
  <c r="F685" i="1"/>
  <c r="F716" i="1"/>
  <c r="F689" i="1"/>
  <c r="F711" i="1"/>
  <c r="F676" i="1"/>
  <c r="F627" i="1"/>
  <c r="F674" i="1"/>
  <c r="F709" i="1"/>
  <c r="F625" i="1"/>
  <c r="F681" i="1"/>
  <c r="F703" i="1"/>
  <c r="F713" i="1"/>
  <c r="F680" i="1"/>
  <c r="F707" i="1"/>
  <c r="F688" i="1"/>
  <c r="F679" i="1"/>
  <c r="F712" i="1"/>
  <c r="F690" i="1"/>
  <c r="F647" i="1"/>
  <c r="F671" i="1"/>
  <c r="F708" i="1"/>
  <c r="F682" i="1"/>
  <c r="F692" i="1"/>
  <c r="F701" i="1"/>
  <c r="F686" i="1"/>
  <c r="F698" i="1"/>
  <c r="F702" i="1"/>
  <c r="F699" i="1"/>
  <c r="F675" i="1"/>
  <c r="F634" i="1"/>
  <c r="F704" i="1"/>
  <c r="F700" i="1"/>
  <c r="F683" i="1"/>
  <c r="F643" i="1"/>
  <c r="F630" i="1"/>
  <c r="F633" i="1"/>
  <c r="F669" i="1"/>
  <c r="G713" i="10"/>
  <c r="G709" i="10"/>
  <c r="G705" i="10"/>
  <c r="G710" i="10"/>
  <c r="G706" i="10"/>
  <c r="G702" i="10"/>
  <c r="G698" i="10"/>
  <c r="G694" i="10"/>
  <c r="G690" i="10"/>
  <c r="G686" i="10"/>
  <c r="G711" i="10"/>
  <c r="G693" i="10"/>
  <c r="G692" i="10"/>
  <c r="G691" i="10"/>
  <c r="G684" i="10"/>
  <c r="G680" i="10"/>
  <c r="G676" i="10"/>
  <c r="G708" i="10"/>
  <c r="G703" i="10"/>
  <c r="G716" i="10"/>
  <c r="G700" i="10"/>
  <c r="G689" i="10"/>
  <c r="G687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96" i="10"/>
  <c r="G685" i="10"/>
  <c r="G683" i="10"/>
  <c r="G682" i="10"/>
  <c r="G681" i="10"/>
  <c r="G672" i="10"/>
  <c r="G668" i="10"/>
  <c r="G628" i="10"/>
  <c r="H628" i="10" s="1"/>
  <c r="G699" i="10"/>
  <c r="G679" i="10"/>
  <c r="G678" i="10"/>
  <c r="G677" i="10"/>
  <c r="G669" i="10"/>
  <c r="G627" i="10"/>
  <c r="G695" i="10"/>
  <c r="G675" i="10"/>
  <c r="G674" i="10"/>
  <c r="G707" i="10"/>
  <c r="G673" i="10"/>
  <c r="G701" i="10"/>
  <c r="G646" i="10"/>
  <c r="G697" i="10"/>
  <c r="G670" i="10"/>
  <c r="G647" i="10"/>
  <c r="G645" i="10"/>
  <c r="G629" i="10"/>
  <c r="G626" i="10"/>
  <c r="G688" i="10"/>
  <c r="G704" i="10"/>
  <c r="F715" i="1" l="1"/>
  <c r="G625" i="1"/>
  <c r="H710" i="10"/>
  <c r="H706" i="10"/>
  <c r="H716" i="10"/>
  <c r="H711" i="10"/>
  <c r="H707" i="10"/>
  <c r="H703" i="10"/>
  <c r="H699" i="10"/>
  <c r="H695" i="10"/>
  <c r="H691" i="10"/>
  <c r="H687" i="10"/>
  <c r="H708" i="10"/>
  <c r="H690" i="10"/>
  <c r="H689" i="10"/>
  <c r="H688" i="10"/>
  <c r="H681" i="10"/>
  <c r="H677" i="10"/>
  <c r="H713" i="10"/>
  <c r="H705" i="10"/>
  <c r="H712" i="10"/>
  <c r="H698" i="10"/>
  <c r="H696" i="10"/>
  <c r="H685" i="10"/>
  <c r="H684" i="10"/>
  <c r="H683" i="10"/>
  <c r="H682" i="10"/>
  <c r="H672" i="10"/>
  <c r="H668" i="10"/>
  <c r="H709" i="10"/>
  <c r="H701" i="10"/>
  <c r="H694" i="10"/>
  <c r="H692" i="10"/>
  <c r="H680" i="10"/>
  <c r="H679" i="10"/>
  <c r="H678" i="10"/>
  <c r="H673" i="10"/>
  <c r="H669" i="10"/>
  <c r="H686" i="10"/>
  <c r="H676" i="10"/>
  <c r="H675" i="10"/>
  <c r="H674" i="10"/>
  <c r="H700" i="10"/>
  <c r="H671" i="10"/>
  <c r="H697" i="10"/>
  <c r="H670" i="10"/>
  <c r="H647" i="10"/>
  <c r="H645" i="10"/>
  <c r="H629" i="10"/>
  <c r="H693" i="10"/>
  <c r="H642" i="10"/>
  <c r="H638" i="10"/>
  <c r="H634" i="10"/>
  <c r="H630" i="10"/>
  <c r="H702" i="10"/>
  <c r="H643" i="10"/>
  <c r="H641" i="10"/>
  <c r="H639" i="10"/>
  <c r="H637" i="10"/>
  <c r="H635" i="10"/>
  <c r="H633" i="10"/>
  <c r="H631" i="10"/>
  <c r="H704" i="10"/>
  <c r="H646" i="10"/>
  <c r="H644" i="10"/>
  <c r="H640" i="10"/>
  <c r="H636" i="10"/>
  <c r="H632" i="10"/>
  <c r="G715" i="10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69" i="1"/>
  <c r="G688" i="1"/>
  <c r="G690" i="1"/>
  <c r="G710" i="1"/>
  <c r="G636" i="1"/>
  <c r="G706" i="1"/>
  <c r="G711" i="1"/>
  <c r="G646" i="1"/>
  <c r="G640" i="1"/>
  <c r="G644" i="1"/>
  <c r="G702" i="1"/>
  <c r="G645" i="1"/>
  <c r="G626" i="1"/>
  <c r="G695" i="1"/>
  <c r="G634" i="1"/>
  <c r="G638" i="1"/>
  <c r="G689" i="1"/>
  <c r="H715" i="10"/>
  <c r="I629" i="10"/>
  <c r="G715" i="1" l="1"/>
  <c r="H628" i="1"/>
  <c r="I716" i="10"/>
  <c r="I711" i="10"/>
  <c r="I707" i="10"/>
  <c r="I712" i="10"/>
  <c r="I708" i="10"/>
  <c r="I704" i="10"/>
  <c r="I700" i="10"/>
  <c r="I696" i="10"/>
  <c r="I692" i="10"/>
  <c r="I688" i="10"/>
  <c r="I713" i="10"/>
  <c r="I705" i="10"/>
  <c r="I703" i="10"/>
  <c r="I702" i="10"/>
  <c r="I701" i="10"/>
  <c r="I687" i="10"/>
  <c r="I686" i="10"/>
  <c r="I685" i="10"/>
  <c r="I682" i="10"/>
  <c r="I678" i="10"/>
  <c r="I674" i="10"/>
  <c r="I710" i="10"/>
  <c r="I709" i="10"/>
  <c r="I694" i="10"/>
  <c r="I681" i="10"/>
  <c r="I680" i="10"/>
  <c r="I679" i="10"/>
  <c r="I673" i="10"/>
  <c r="I669" i="10"/>
  <c r="I706" i="10"/>
  <c r="I699" i="10"/>
  <c r="I697" i="10"/>
  <c r="I690" i="10"/>
  <c r="I677" i="10"/>
  <c r="I676" i="10"/>
  <c r="I675" i="10"/>
  <c r="I670" i="10"/>
  <c r="I647" i="10"/>
  <c r="I646" i="10"/>
  <c r="I645" i="10"/>
  <c r="I695" i="10"/>
  <c r="I671" i="10"/>
  <c r="I691" i="10"/>
  <c r="I668" i="10"/>
  <c r="I643" i="10"/>
  <c r="I641" i="10"/>
  <c r="I639" i="10"/>
  <c r="I637" i="10"/>
  <c r="I635" i="10"/>
  <c r="I633" i="10"/>
  <c r="I631" i="10"/>
  <c r="I644" i="10"/>
  <c r="I640" i="10"/>
  <c r="I638" i="10"/>
  <c r="I634" i="10"/>
  <c r="I630" i="10"/>
  <c r="I698" i="10"/>
  <c r="I672" i="10"/>
  <c r="I689" i="10"/>
  <c r="I684" i="10"/>
  <c r="I693" i="10"/>
  <c r="I642" i="10"/>
  <c r="I636" i="10"/>
  <c r="I632" i="10"/>
  <c r="I683" i="10"/>
  <c r="H683" i="1" l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2" i="1"/>
  <c r="H639" i="1"/>
  <c r="H697" i="1"/>
  <c r="H688" i="1"/>
  <c r="H694" i="1"/>
  <c r="H702" i="1"/>
  <c r="H687" i="1"/>
  <c r="H711" i="1"/>
  <c r="H674" i="1"/>
  <c r="H631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30" i="1"/>
  <c r="H708" i="1"/>
  <c r="H692" i="1"/>
  <c r="H710" i="1"/>
  <c r="H691" i="1"/>
  <c r="H642" i="1"/>
  <c r="H696" i="1"/>
  <c r="H693" i="1"/>
  <c r="H713" i="1"/>
  <c r="H671" i="1"/>
  <c r="H669" i="1"/>
  <c r="H686" i="1"/>
  <c r="H676" i="1"/>
  <c r="H640" i="1"/>
  <c r="H700" i="1"/>
  <c r="H677" i="1"/>
  <c r="H681" i="1"/>
  <c r="H716" i="1"/>
  <c r="H641" i="1"/>
  <c r="H679" i="1"/>
  <c r="H632" i="1"/>
  <c r="H668" i="1"/>
  <c r="H646" i="1"/>
  <c r="I715" i="10"/>
  <c r="J630" i="10"/>
  <c r="H715" i="1" l="1"/>
  <c r="I629" i="1"/>
  <c r="J712" i="10"/>
  <c r="J708" i="10"/>
  <c r="J704" i="10"/>
  <c r="J713" i="10"/>
  <c r="J709" i="10"/>
  <c r="J705" i="10"/>
  <c r="J701" i="10"/>
  <c r="J697" i="10"/>
  <c r="J693" i="10"/>
  <c r="J689" i="10"/>
  <c r="J685" i="10"/>
  <c r="J710" i="10"/>
  <c r="J700" i="10"/>
  <c r="J699" i="10"/>
  <c r="J698" i="10"/>
  <c r="J683" i="10"/>
  <c r="J679" i="10"/>
  <c r="J675" i="10"/>
  <c r="J716" i="10"/>
  <c r="J707" i="10"/>
  <c r="J706" i="10"/>
  <c r="J692" i="10"/>
  <c r="J690" i="10"/>
  <c r="J678" i="10"/>
  <c r="J677" i="10"/>
  <c r="J676" i="10"/>
  <c r="J670" i="10"/>
  <c r="J647" i="10"/>
  <c r="L647" i="10" s="1"/>
  <c r="J646" i="10"/>
  <c r="J645" i="10"/>
  <c r="J703" i="10"/>
  <c r="J695" i="10"/>
  <c r="J688" i="10"/>
  <c r="J686" i="10"/>
  <c r="J674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1" i="10"/>
  <c r="J668" i="10"/>
  <c r="J711" i="10"/>
  <c r="J696" i="10"/>
  <c r="J687" i="10"/>
  <c r="J673" i="10"/>
  <c r="J702" i="10"/>
  <c r="J684" i="10"/>
  <c r="J672" i="10"/>
  <c r="J681" i="10"/>
  <c r="J669" i="10"/>
  <c r="J694" i="10"/>
  <c r="J682" i="10"/>
  <c r="J680" i="10"/>
  <c r="I635" i="1" l="1"/>
  <c r="I638" i="1"/>
  <c r="I711" i="1"/>
  <c r="I669" i="1"/>
  <c r="I686" i="1"/>
  <c r="I639" i="1"/>
  <c r="I705" i="1"/>
  <c r="I701" i="1"/>
  <c r="I683" i="1"/>
  <c r="I637" i="1"/>
  <c r="I640" i="1"/>
  <c r="I691" i="1"/>
  <c r="I645" i="1"/>
  <c r="I678" i="1"/>
  <c r="I713" i="1"/>
  <c r="I680" i="1"/>
  <c r="I696" i="1"/>
  <c r="I641" i="1"/>
  <c r="I670" i="1"/>
  <c r="I675" i="1"/>
  <c r="I681" i="1"/>
  <c r="I684" i="1"/>
  <c r="I632" i="1"/>
  <c r="I704" i="1"/>
  <c r="I647" i="1"/>
  <c r="I630" i="1"/>
  <c r="I698" i="1"/>
  <c r="I677" i="1"/>
  <c r="I646" i="1"/>
  <c r="I706" i="1"/>
  <c r="I710" i="1"/>
  <c r="I682" i="1"/>
  <c r="I668" i="1"/>
  <c r="I693" i="1"/>
  <c r="I634" i="1"/>
  <c r="I636" i="1"/>
  <c r="I674" i="1"/>
  <c r="I708" i="1"/>
  <c r="I672" i="1"/>
  <c r="I699" i="1"/>
  <c r="I679" i="1"/>
  <c r="I697" i="1"/>
  <c r="I692" i="1"/>
  <c r="I633" i="1"/>
  <c r="I643" i="1"/>
  <c r="I695" i="1"/>
  <c r="I644" i="1"/>
  <c r="I631" i="1"/>
  <c r="I690" i="1"/>
  <c r="I709" i="1"/>
  <c r="I676" i="1"/>
  <c r="I687" i="1"/>
  <c r="I689" i="1"/>
  <c r="I685" i="1"/>
  <c r="I712" i="1"/>
  <c r="I671" i="1"/>
  <c r="I694" i="1"/>
  <c r="I688" i="1"/>
  <c r="I700" i="1"/>
  <c r="I703" i="1"/>
  <c r="I702" i="1"/>
  <c r="I716" i="1"/>
  <c r="I707" i="1"/>
  <c r="I642" i="1"/>
  <c r="I673" i="1"/>
  <c r="L710" i="10"/>
  <c r="L706" i="10"/>
  <c r="L716" i="10"/>
  <c r="L711" i="10"/>
  <c r="L707" i="10"/>
  <c r="L703" i="10"/>
  <c r="L699" i="10"/>
  <c r="L695" i="10"/>
  <c r="L691" i="10"/>
  <c r="L687" i="10"/>
  <c r="L712" i="10"/>
  <c r="L704" i="10"/>
  <c r="L694" i="10"/>
  <c r="L693" i="10"/>
  <c r="L692" i="10"/>
  <c r="L681" i="10"/>
  <c r="L677" i="10"/>
  <c r="L709" i="10"/>
  <c r="L697" i="10"/>
  <c r="L686" i="10"/>
  <c r="L672" i="10"/>
  <c r="L668" i="10"/>
  <c r="L713" i="10"/>
  <c r="L702" i="10"/>
  <c r="L700" i="10"/>
  <c r="L689" i="10"/>
  <c r="L684" i="10"/>
  <c r="L683" i="10"/>
  <c r="L682" i="10"/>
  <c r="L673" i="10"/>
  <c r="L669" i="10"/>
  <c r="L708" i="10"/>
  <c r="L696" i="10"/>
  <c r="L670" i="10"/>
  <c r="L705" i="10"/>
  <c r="L701" i="10"/>
  <c r="L688" i="10"/>
  <c r="L680" i="10"/>
  <c r="L678" i="10"/>
  <c r="L698" i="10"/>
  <c r="L685" i="10"/>
  <c r="L679" i="10"/>
  <c r="L690" i="10"/>
  <c r="L675" i="10"/>
  <c r="L676" i="10"/>
  <c r="L674" i="10"/>
  <c r="L671" i="10"/>
  <c r="J715" i="10"/>
  <c r="K644" i="10"/>
  <c r="I715" i="1" l="1"/>
  <c r="J630" i="1"/>
  <c r="L715" i="10"/>
  <c r="K713" i="10"/>
  <c r="M713" i="10" s="1"/>
  <c r="K709" i="10"/>
  <c r="M709" i="10" s="1"/>
  <c r="Z775" i="10" s="1"/>
  <c r="K705" i="10"/>
  <c r="M705" i="10" s="1"/>
  <c r="Z771" i="10" s="1"/>
  <c r="K710" i="10"/>
  <c r="K706" i="10"/>
  <c r="M706" i="10" s="1"/>
  <c r="Z772" i="10" s="1"/>
  <c r="K702" i="10"/>
  <c r="M702" i="10" s="1"/>
  <c r="Z768" i="10" s="1"/>
  <c r="K698" i="10"/>
  <c r="M698" i="10" s="1"/>
  <c r="Z764" i="10" s="1"/>
  <c r="K694" i="10"/>
  <c r="K690" i="10"/>
  <c r="M690" i="10" s="1"/>
  <c r="Z756" i="10" s="1"/>
  <c r="K686" i="10"/>
  <c r="M686" i="10" s="1"/>
  <c r="Z752" i="10" s="1"/>
  <c r="K716" i="10"/>
  <c r="K707" i="10"/>
  <c r="K697" i="10"/>
  <c r="M697" i="10" s="1"/>
  <c r="Z763" i="10" s="1"/>
  <c r="K696" i="10"/>
  <c r="K695" i="10"/>
  <c r="M695" i="10" s="1"/>
  <c r="Z761" i="10" s="1"/>
  <c r="K684" i="10"/>
  <c r="M684" i="10" s="1"/>
  <c r="Z750" i="10" s="1"/>
  <c r="K680" i="10"/>
  <c r="M680" i="10" s="1"/>
  <c r="Z746" i="10" s="1"/>
  <c r="K676" i="10"/>
  <c r="K712" i="10"/>
  <c r="M712" i="10" s="1"/>
  <c r="Z778" i="10" s="1"/>
  <c r="K704" i="10"/>
  <c r="M704" i="10" s="1"/>
  <c r="Z770" i="10" s="1"/>
  <c r="K703" i="10"/>
  <c r="M703" i="10" s="1"/>
  <c r="Z769" i="10" s="1"/>
  <c r="K701" i="10"/>
  <c r="M701" i="10" s="1"/>
  <c r="Z767" i="10" s="1"/>
  <c r="K699" i="10"/>
  <c r="M699" i="10" s="1"/>
  <c r="Z765" i="10" s="1"/>
  <c r="K688" i="10"/>
  <c r="K675" i="10"/>
  <c r="M675" i="10" s="1"/>
  <c r="Z741" i="10" s="1"/>
  <c r="K674" i="10"/>
  <c r="M674" i="10" s="1"/>
  <c r="Z740" i="10" s="1"/>
  <c r="K671" i="10"/>
  <c r="M671" i="10" s="1"/>
  <c r="Z737" i="10" s="1"/>
  <c r="K693" i="10"/>
  <c r="M693" i="10" s="1"/>
  <c r="Z759" i="10" s="1"/>
  <c r="K691" i="10"/>
  <c r="K672" i="10"/>
  <c r="K668" i="10"/>
  <c r="M668" i="10" s="1"/>
  <c r="K711" i="10"/>
  <c r="M711" i="10" s="1"/>
  <c r="Z777" i="10" s="1"/>
  <c r="K700" i="10"/>
  <c r="K687" i="10"/>
  <c r="M687" i="10" s="1"/>
  <c r="Z753" i="10" s="1"/>
  <c r="K673" i="10"/>
  <c r="M673" i="10" s="1"/>
  <c r="Z739" i="10" s="1"/>
  <c r="K708" i="10"/>
  <c r="M708" i="10" s="1"/>
  <c r="Z774" i="10" s="1"/>
  <c r="K692" i="10"/>
  <c r="M692" i="10" s="1"/>
  <c r="Z758" i="10" s="1"/>
  <c r="K670" i="10"/>
  <c r="M670" i="10" s="1"/>
  <c r="Z736" i="10" s="1"/>
  <c r="K689" i="10"/>
  <c r="M689" i="10" s="1"/>
  <c r="Z755" i="10" s="1"/>
  <c r="K682" i="10"/>
  <c r="K681" i="10"/>
  <c r="M681" i="10" s="1"/>
  <c r="Z747" i="10" s="1"/>
  <c r="K669" i="10"/>
  <c r="M669" i="10" s="1"/>
  <c r="Z735" i="10" s="1"/>
  <c r="K685" i="10"/>
  <c r="K677" i="10"/>
  <c r="K678" i="10"/>
  <c r="M678" i="10" s="1"/>
  <c r="Z744" i="10" s="1"/>
  <c r="K683" i="10"/>
  <c r="M683" i="10" s="1"/>
  <c r="Z749" i="10" s="1"/>
  <c r="K679" i="10"/>
  <c r="M679" i="10" s="1"/>
  <c r="Z745" i="10" s="1"/>
  <c r="M676" i="10"/>
  <c r="Z742" i="10" s="1"/>
  <c r="M685" i="10"/>
  <c r="Z751" i="10" s="1"/>
  <c r="M688" i="10"/>
  <c r="Z754" i="10" s="1"/>
  <c r="M696" i="10"/>
  <c r="Z762" i="10" s="1"/>
  <c r="M682" i="10"/>
  <c r="Z748" i="10" s="1"/>
  <c r="M700" i="10"/>
  <c r="Z766" i="10" s="1"/>
  <c r="M672" i="10"/>
  <c r="Z738" i="10" s="1"/>
  <c r="M677" i="10"/>
  <c r="Z743" i="10" s="1"/>
  <c r="M694" i="10"/>
  <c r="Z760" i="10" s="1"/>
  <c r="M691" i="10"/>
  <c r="Z757" i="10" s="1"/>
  <c r="M707" i="10"/>
  <c r="Z773" i="10" s="1"/>
  <c r="M710" i="10"/>
  <c r="Z776" i="10" s="1"/>
  <c r="J631" i="1" l="1"/>
  <c r="J641" i="1"/>
  <c r="J669" i="1"/>
  <c r="J709" i="1"/>
  <c r="J671" i="1"/>
  <c r="J702" i="1"/>
  <c r="J645" i="1"/>
  <c r="J672" i="1"/>
  <c r="J670" i="1"/>
  <c r="J636" i="1"/>
  <c r="J676" i="1"/>
  <c r="J703" i="1"/>
  <c r="J686" i="1"/>
  <c r="J668" i="1"/>
  <c r="J706" i="1"/>
  <c r="J643" i="1"/>
  <c r="J637" i="1"/>
  <c r="J683" i="1"/>
  <c r="J640" i="1"/>
  <c r="J646" i="1"/>
  <c r="J699" i="1"/>
  <c r="J689" i="1"/>
  <c r="J690" i="1"/>
  <c r="J688" i="1"/>
  <c r="J707" i="1"/>
  <c r="J700" i="1"/>
  <c r="J680" i="1"/>
  <c r="J639" i="1"/>
  <c r="J679" i="1"/>
  <c r="J634" i="1"/>
  <c r="J674" i="1"/>
  <c r="J701" i="1"/>
  <c r="J713" i="1"/>
  <c r="J684" i="1"/>
  <c r="J693" i="1"/>
  <c r="J682" i="1"/>
  <c r="J716" i="1"/>
  <c r="J711" i="1"/>
  <c r="J633" i="1"/>
  <c r="J705" i="1"/>
  <c r="J675" i="1"/>
  <c r="J696" i="1"/>
  <c r="J695" i="1"/>
  <c r="J635" i="1"/>
  <c r="J647" i="1"/>
  <c r="J638" i="1"/>
  <c r="J691" i="1"/>
  <c r="J687" i="1"/>
  <c r="J673" i="1"/>
  <c r="J692" i="1"/>
  <c r="J685" i="1"/>
  <c r="J644" i="1"/>
  <c r="K644" i="1" s="1"/>
  <c r="J710" i="1"/>
  <c r="J681" i="1"/>
  <c r="J704" i="1"/>
  <c r="J677" i="1"/>
  <c r="J708" i="1"/>
  <c r="J698" i="1"/>
  <c r="J697" i="1"/>
  <c r="J694" i="1"/>
  <c r="J712" i="1"/>
  <c r="J642" i="1"/>
  <c r="J678" i="1"/>
  <c r="J632" i="1"/>
  <c r="M715" i="10"/>
  <c r="Z815" i="10" s="1"/>
  <c r="Z734" i="10"/>
  <c r="Z814" i="10" s="1"/>
  <c r="K715" i="10"/>
  <c r="L647" i="1" l="1"/>
  <c r="K716" i="1"/>
  <c r="K713" i="1"/>
  <c r="K672" i="1"/>
  <c r="K699" i="1"/>
  <c r="K709" i="1"/>
  <c r="K706" i="1"/>
  <c r="K685" i="1"/>
  <c r="K678" i="1"/>
  <c r="K707" i="1"/>
  <c r="K680" i="1"/>
  <c r="K692" i="1"/>
  <c r="K712" i="1"/>
  <c r="K686" i="1"/>
  <c r="K679" i="1"/>
  <c r="K708" i="1"/>
  <c r="K711" i="1"/>
  <c r="K677" i="1"/>
  <c r="K689" i="1"/>
  <c r="K687" i="1"/>
  <c r="K683" i="1"/>
  <c r="K710" i="1"/>
  <c r="K668" i="1"/>
  <c r="K669" i="1"/>
  <c r="K684" i="1"/>
  <c r="K688" i="1"/>
  <c r="K694" i="1"/>
  <c r="K703" i="1"/>
  <c r="K671" i="1"/>
  <c r="K673" i="1"/>
  <c r="K701" i="1"/>
  <c r="K674" i="1"/>
  <c r="K690" i="1"/>
  <c r="K693" i="1"/>
  <c r="K691" i="1"/>
  <c r="K702" i="1"/>
  <c r="K700" i="1"/>
  <c r="K676" i="1"/>
  <c r="K705" i="1"/>
  <c r="K681" i="1"/>
  <c r="K696" i="1"/>
  <c r="K697" i="1"/>
  <c r="K704" i="1"/>
  <c r="K670" i="1"/>
  <c r="K682" i="1"/>
  <c r="K698" i="1"/>
  <c r="K695" i="1"/>
  <c r="K675" i="1"/>
  <c r="L704" i="1"/>
  <c r="M704" i="1" s="1"/>
  <c r="L712" i="1"/>
  <c r="M712" i="1" s="1"/>
  <c r="L684" i="1"/>
  <c r="M684" i="1" s="1"/>
  <c r="L698" i="1"/>
  <c r="M698" i="1" s="1"/>
  <c r="L694" i="1"/>
  <c r="M694" i="1" s="1"/>
  <c r="L668" i="1"/>
  <c r="L700" i="1"/>
  <c r="M700" i="1" s="1"/>
  <c r="L690" i="1"/>
  <c r="M690" i="1" s="1"/>
  <c r="L707" i="1"/>
  <c r="M707" i="1" s="1"/>
  <c r="L682" i="1"/>
  <c r="M682" i="1" s="1"/>
  <c r="L703" i="1"/>
  <c r="L699" i="1"/>
  <c r="M699" i="1" s="1"/>
  <c r="L675" i="1"/>
  <c r="L710" i="1"/>
  <c r="M710" i="1" s="1"/>
  <c r="L680" i="1"/>
  <c r="M680" i="1" s="1"/>
  <c r="L678" i="1"/>
  <c r="M678" i="1" s="1"/>
  <c r="L693" i="1"/>
  <c r="M693" i="1" s="1"/>
  <c r="L691" i="1"/>
  <c r="M691" i="1" s="1"/>
  <c r="L713" i="1"/>
  <c r="M713" i="1" s="1"/>
  <c r="L669" i="1"/>
  <c r="M669" i="1" s="1"/>
  <c r="L670" i="1"/>
  <c r="L683" i="1"/>
  <c r="M683" i="1" s="1"/>
  <c r="L695" i="1"/>
  <c r="M695" i="1" s="1"/>
  <c r="L705" i="1"/>
  <c r="M705" i="1" s="1"/>
  <c r="L679" i="1"/>
  <c r="M679" i="1" s="1"/>
  <c r="L716" i="1"/>
  <c r="L673" i="1"/>
  <c r="M673" i="1" s="1"/>
  <c r="L702" i="1"/>
  <c r="M702" i="1" s="1"/>
  <c r="L711" i="1"/>
  <c r="M711" i="1" s="1"/>
  <c r="L688" i="1"/>
  <c r="M688" i="1" s="1"/>
  <c r="L674" i="1"/>
  <c r="L709" i="1"/>
  <c r="M709" i="1" s="1"/>
  <c r="L676" i="1"/>
  <c r="M676" i="1" s="1"/>
  <c r="L689" i="1"/>
  <c r="M689" i="1" s="1"/>
  <c r="L692" i="1"/>
  <c r="L671" i="1"/>
  <c r="M671" i="1" s="1"/>
  <c r="L686" i="1"/>
  <c r="M686" i="1" s="1"/>
  <c r="L697" i="1"/>
  <c r="M697" i="1" s="1"/>
  <c r="L677" i="1"/>
  <c r="M677" i="1" s="1"/>
  <c r="L706" i="1"/>
  <c r="M706" i="1" s="1"/>
  <c r="L687" i="1"/>
  <c r="L701" i="1"/>
  <c r="M701" i="1" s="1"/>
  <c r="L681" i="1"/>
  <c r="L708" i="1"/>
  <c r="M708" i="1" s="1"/>
  <c r="L672" i="1"/>
  <c r="L685" i="1"/>
  <c r="L696" i="1"/>
  <c r="M696" i="1" s="1"/>
  <c r="J715" i="1"/>
  <c r="M672" i="1" l="1"/>
  <c r="M681" i="1"/>
  <c r="Y747" i="1" s="1"/>
  <c r="M692" i="1"/>
  <c r="Y758" i="1" s="1"/>
  <c r="M674" i="1"/>
  <c r="Y740" i="1" s="1"/>
  <c r="M703" i="1"/>
  <c r="K715" i="1"/>
  <c r="M685" i="1"/>
  <c r="Y751" i="1" s="1"/>
  <c r="M687" i="1"/>
  <c r="H87" i="9" s="1"/>
  <c r="M670" i="1"/>
  <c r="E23" i="9" s="1"/>
  <c r="M675" i="1"/>
  <c r="Y741" i="1" s="1"/>
  <c r="D215" i="9"/>
  <c r="Y777" i="1"/>
  <c r="Y759" i="1"/>
  <c r="G119" i="9"/>
  <c r="H119" i="9"/>
  <c r="Y760" i="1"/>
  <c r="Y774" i="1"/>
  <c r="H183" i="9"/>
  <c r="Y772" i="1"/>
  <c r="F183" i="9"/>
  <c r="F23" i="9"/>
  <c r="Y737" i="1"/>
  <c r="I183" i="9"/>
  <c r="Y775" i="1"/>
  <c r="Y768" i="1"/>
  <c r="I151" i="9"/>
  <c r="E183" i="9"/>
  <c r="Y771" i="1"/>
  <c r="Y735" i="1"/>
  <c r="D23" i="9"/>
  <c r="Y744" i="1"/>
  <c r="F55" i="9"/>
  <c r="Y765" i="1"/>
  <c r="F151" i="9"/>
  <c r="D119" i="9"/>
  <c r="Y756" i="1"/>
  <c r="Y764" i="1"/>
  <c r="E151" i="9"/>
  <c r="Y752" i="1"/>
  <c r="G87" i="9"/>
  <c r="G55" i="9"/>
  <c r="Y745" i="1"/>
  <c r="G183" i="9"/>
  <c r="Y773" i="1"/>
  <c r="I55" i="9"/>
  <c r="F119" i="9"/>
  <c r="Y739" i="1"/>
  <c r="H23" i="9"/>
  <c r="F215" i="9"/>
  <c r="Y779" i="1"/>
  <c r="H55" i="9"/>
  <c r="Y746" i="1"/>
  <c r="C183" i="9"/>
  <c r="Y769" i="1"/>
  <c r="Y766" i="1"/>
  <c r="G151" i="9"/>
  <c r="E87" i="9"/>
  <c r="Y750" i="1"/>
  <c r="Y738" i="1"/>
  <c r="G23" i="9"/>
  <c r="D55" i="9"/>
  <c r="Y742" i="1"/>
  <c r="C55" i="9"/>
  <c r="Y770" i="1"/>
  <c r="D183" i="9"/>
  <c r="C151" i="9"/>
  <c r="Y762" i="1"/>
  <c r="Y743" i="1"/>
  <c r="E55" i="9"/>
  <c r="Y761" i="1"/>
  <c r="I119" i="9"/>
  <c r="H151" i="9"/>
  <c r="Y767" i="1"/>
  <c r="D151" i="9"/>
  <c r="Y763" i="1"/>
  <c r="C119" i="9"/>
  <c r="Y755" i="1"/>
  <c r="I87" i="9"/>
  <c r="Y754" i="1"/>
  <c r="D87" i="9"/>
  <c r="Y749" i="1"/>
  <c r="Y757" i="1"/>
  <c r="E119" i="9"/>
  <c r="Y776" i="1"/>
  <c r="C215" i="9"/>
  <c r="Y748" i="1"/>
  <c r="C87" i="9"/>
  <c r="L715" i="1"/>
  <c r="M668" i="1"/>
  <c r="E215" i="9"/>
  <c r="Y778" i="1"/>
  <c r="F87" i="9" l="1"/>
  <c r="Y753" i="1"/>
  <c r="I23" i="9"/>
  <c r="Y736" i="1"/>
  <c r="C23" i="9"/>
  <c r="M715" i="1"/>
  <c r="Y734" i="1"/>
  <c r="Y815" i="1" l="1"/>
</calcChain>
</file>

<file path=xl/sharedStrings.xml><?xml version="1.0" encoding="utf-8"?>
<sst xmlns="http://schemas.openxmlformats.org/spreadsheetml/2006/main" count="4942" uniqueCount="1282">
  <si>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</si>
  <si>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</si>
  <si>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</si>
  <si>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</si>
  <si>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</si>
  <si>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</si>
  <si>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</si>
  <si>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</si>
  <si>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</si>
  <si>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</si>
  <si>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</si>
  <si>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</si>
  <si>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</si>
  <si>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</si>
  <si>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</si>
  <si>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</si>
  <si>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</si>
  <si>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</si>
  <si>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</si>
  <si>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</si>
  <si>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</si>
  <si>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</si>
  <si>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</si>
  <si>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</si>
  <si>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</si>
  <si>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</si>
  <si>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</si>
  <si>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</si>
  <si>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</si>
  <si>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</si>
  <si>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</si>
  <si>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</si>
  <si>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</si>
  <si>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</si>
  <si>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</si>
  <si>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</si>
  <si>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</si>
  <si>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</si>
  <si>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</si>
  <si>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</si>
  <si>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</si>
  <si>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</si>
  <si>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</si>
  <si>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</si>
  <si>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</si>
  <si>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</si>
  <si>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</si>
  <si>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</si>
  <si>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</si>
  <si>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</si>
  <si>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</si>
  <si>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</si>
  <si>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</si>
  <si>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</si>
  <si>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</si>
  <si>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</si>
  <si>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</si>
  <si>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</si>
  <si>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</si>
  <si>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</si>
  <si>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</si>
  <si>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</si>
  <si>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</si>
  <si>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</si>
  <si>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</si>
  <si>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</si>
  <si>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</si>
  <si>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</si>
  <si>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</si>
  <si>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</si>
  <si>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</si>
  <si>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</si>
  <si>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</si>
  <si>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</si>
  <si>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</si>
  <si>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</si>
  <si>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</si>
  <si>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</si>
  <si>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</si>
  <si>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</si>
  <si>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</si>
  <si>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</si>
  <si>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</si>
  <si>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</si>
  <si>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</si>
  <si>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</si>
  <si>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</si>
  <si>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</si>
  <si>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</si>
  <si>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</si>
  <si>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</si>
  <si>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</si>
  <si>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</si>
  <si>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</si>
  <si>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</si>
  <si>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</si>
  <si>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</si>
  <si>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</si>
  <si>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</si>
  <si>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</si>
  <si>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</si>
  <si>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</si>
  <si>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</si>
  <si>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</si>
  <si>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</si>
  <si>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</si>
  <si>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</si>
  <si>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</si>
  <si>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</si>
  <si>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</si>
  <si>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</si>
  <si>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</si>
  <si>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</si>
  <si>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</si>
  <si>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</si>
  <si>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</si>
  <si>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</si>
  <si>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</si>
  <si>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</si>
  <si>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</si>
  <si>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</si>
  <si>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</si>
  <si>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</si>
  <si>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</si>
  <si>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</si>
  <si>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</si>
  <si>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</si>
  <si>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</si>
  <si>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</si>
  <si>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</si>
  <si>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</si>
  <si>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</si>
  <si>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</si>
  <si>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</si>
  <si>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</si>
  <si>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</si>
  <si>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</si>
  <si>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</si>
  <si>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</si>
  <si>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</si>
  <si>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</si>
  <si>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</si>
  <si>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</si>
  <si>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</si>
  <si>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</si>
  <si>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</si>
  <si>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</si>
  <si>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</si>
  <si>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</si>
  <si>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</si>
  <si>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</si>
  <si>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</si>
  <si>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</si>
  <si>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</si>
  <si>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</si>
  <si>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</si>
  <si>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</si>
  <si>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</si>
  <si>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</si>
  <si>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</si>
  <si>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</si>
  <si>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</si>
  <si>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</si>
  <si>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</si>
  <si>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</si>
  <si>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</si>
  <si>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</si>
  <si>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</si>
  <si>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</si>
  <si>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</si>
  <si>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</si>
  <si>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</si>
  <si>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</si>
  <si>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</si>
  <si>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</si>
  <si>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</si>
  <si>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</si>
  <si>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</si>
  <si>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</si>
  <si>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</si>
  <si>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</si>
  <si>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</si>
  <si>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</si>
  <si>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</si>
  <si>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</si>
  <si>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</si>
  <si>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</si>
  <si>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</si>
  <si>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</si>
  <si>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</si>
  <si>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</si>
  <si>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</si>
  <si>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</si>
  <si>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</si>
  <si>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</si>
  <si>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</si>
  <si>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</si>
  <si>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</si>
  <si>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</si>
  <si>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</si>
  <si>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</si>
  <si>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</si>
  <si>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</si>
  <si>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</si>
  <si>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</si>
  <si>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</si>
  <si>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</si>
  <si>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</si>
  <si>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</si>
  <si>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</si>
  <si>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</si>
  <si>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</si>
  <si>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</si>
  <si>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</si>
  <si>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</si>
  <si>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</si>
  <si>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</si>
  <si>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</si>
  <si>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</si>
  <si>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</si>
  <si>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</si>
  <si>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</si>
  <si>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</si>
  <si>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</si>
  <si>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</si>
  <si>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</si>
  <si>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</si>
  <si>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</si>
  <si>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</si>
  <si>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</si>
  <si>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</si>
  <si>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</si>
  <si>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</si>
  <si>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</si>
  <si>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</si>
  <si>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</si>
  <si>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</si>
  <si>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</si>
  <si>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</si>
  <si>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</si>
  <si>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</si>
  <si>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</si>
  <si>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</si>
  <si>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</si>
  <si>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</si>
  <si>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</si>
  <si>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</si>
  <si>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</si>
  <si>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</si>
  <si>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</si>
  <si>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</si>
  <si>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</si>
  <si>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</si>
  <si>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</si>
  <si>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</si>
  <si>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</si>
  <si>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</si>
  <si>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</si>
  <si>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</si>
  <si>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</si>
  <si>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</si>
  <si>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</si>
  <si>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</si>
  <si>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</si>
  <si>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</si>
  <si>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</si>
  <si>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</si>
  <si>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</si>
  <si>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</si>
  <si>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</si>
  <si>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</si>
  <si>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</si>
  <si>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</si>
  <si>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</si>
  <si>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</si>
  <si>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</si>
  <si>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</si>
  <si>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</si>
  <si>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</si>
  <si>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</si>
  <si>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</si>
  <si>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</si>
  <si>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</si>
  <si>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</si>
  <si>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</si>
  <si>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</si>
  <si>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</si>
  <si>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</si>
  <si>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</si>
  <si>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</si>
  <si>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</si>
  <si>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</si>
  <si>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</si>
  <si>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</si>
  <si>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</si>
  <si>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</si>
  <si>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</si>
  <si>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</si>
  <si>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</si>
  <si>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</si>
  <si>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</si>
  <si>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</si>
  <si>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</si>
  <si>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</si>
  <si>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</si>
  <si>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</si>
  <si>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</si>
  <si>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</si>
  <si>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</si>
  <si>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</si>
  <si>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</si>
  <si>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</si>
  <si>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</si>
  <si>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</si>
  <si>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</si>
  <si>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</si>
  <si>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</si>
  <si>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</si>
  <si>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</si>
  <si>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</si>
  <si>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</si>
  <si>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</si>
  <si>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</si>
  <si>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</si>
  <si>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</si>
  <si>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</si>
  <si>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</si>
  <si>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</si>
  <si>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</si>
  <si>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</si>
  <si>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</si>
  <si>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</si>
  <si>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</si>
  <si>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</si>
  <si>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</si>
  <si>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</si>
  <si>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</si>
  <si>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</si>
  <si>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</si>
  <si>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</si>
  <si>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</si>
  <si>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</si>
  <si>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</si>
  <si>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</si>
  <si>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</si>
  <si>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</si>
  <si>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</si>
  <si>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</si>
  <si>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</si>
  <si>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</si>
  <si>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</si>
  <si>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</si>
  <si>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</si>
  <si>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</si>
  <si>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</si>
  <si>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</si>
  <si>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</si>
  <si>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</si>
  <si>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</si>
  <si>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</si>
  <si>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</si>
  <si>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</si>
  <si>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</si>
  <si>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</si>
  <si>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</si>
  <si>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</si>
  <si>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</si>
  <si>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</si>
  <si>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</si>
  <si>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</si>
  <si>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</si>
  <si>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</si>
  <si>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</si>
  <si>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</si>
  <si>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</si>
  <si>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</si>
  <si>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</si>
  <si>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</si>
  <si>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</si>
  <si>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</si>
  <si>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</si>
  <si>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</si>
  <si>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</si>
  <si>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</si>
  <si>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</si>
  <si>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</si>
  <si>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</si>
  <si>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</si>
  <si>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</si>
  <si>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</si>
  <si>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</si>
  <si>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</si>
  <si>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</si>
  <si>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</si>
  <si>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</si>
  <si>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</si>
  <si>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</si>
  <si>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</si>
  <si>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</si>
  <si>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</si>
  <si>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</si>
  <si>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</si>
  <si>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</si>
  <si>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</si>
  <si>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</si>
  <si>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</si>
  <si>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</si>
  <si>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</si>
  <si>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</si>
  <si>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</si>
  <si>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</si>
  <si>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</si>
  <si>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</si>
  <si>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</si>
  <si>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</si>
  <si>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</si>
  <si>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</si>
  <si>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</si>
  <si>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</si>
  <si>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</si>
  <si>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</si>
  <si>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</si>
  <si>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</si>
  <si>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</si>
  <si>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</si>
  <si>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</si>
  <si>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</si>
  <si>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</si>
  <si>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</si>
  <si>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</si>
  <si>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</si>
  <si>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</si>
  <si>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</si>
  <si>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</si>
  <si>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</si>
  <si>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</si>
  <si>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</si>
  <si>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</si>
  <si>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</si>
  <si>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</si>
  <si>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</si>
  <si>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</si>
  <si>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</si>
  <si>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</si>
  <si>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</si>
  <si>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</si>
  <si>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</si>
  <si>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</si>
  <si>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</si>
  <si>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</si>
  <si>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</si>
  <si>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</si>
  <si>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</si>
  <si>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</si>
  <si>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</si>
  <si>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</si>
  <si>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</si>
  <si>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</si>
  <si>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</si>
  <si>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</si>
  <si>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</si>
  <si>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</si>
  <si>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</si>
  <si>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</si>
  <si>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</si>
  <si>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</si>
  <si>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</si>
  <si>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</si>
  <si>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</si>
  <si>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</si>
  <si>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</si>
  <si>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</si>
  <si>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</si>
  <si>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</si>
  <si>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</si>
  <si>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</si>
  <si>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</si>
  <si>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</si>
  <si>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</si>
  <si>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</si>
  <si>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</si>
  <si>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</si>
  <si>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</si>
  <si>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</si>
  <si>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</si>
  <si>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</si>
  <si>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</si>
  <si>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</si>
  <si>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</si>
  <si>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</si>
  <si>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</si>
  <si>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</si>
  <si>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</si>
  <si>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</si>
  <si>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</si>
  <si>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</si>
  <si>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</si>
  <si>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</si>
  <si>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</si>
  <si>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</si>
  <si>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</si>
  <si>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</si>
  <si>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</si>
  <si>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</si>
  <si>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</si>
  <si>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</si>
  <si>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</si>
  <si>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</si>
  <si>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</si>
  <si>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</si>
  <si>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</si>
  <si>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</si>
  <si>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</si>
  <si>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</si>
  <si>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</si>
  <si>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</si>
  <si>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</si>
  <si>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</si>
  <si>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</si>
  <si>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</si>
  <si>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</si>
  <si>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</si>
  <si>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</si>
  <si>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</si>
  <si>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</si>
  <si>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</si>
  <si>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</si>
  <si>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</si>
  <si>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</si>
  <si>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</si>
  <si>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</si>
  <si>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</si>
  <si>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</si>
  <si>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</si>
  <si>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</si>
  <si>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</si>
  <si>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</si>
  <si>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</si>
  <si>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</si>
  <si>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</si>
  <si>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</si>
  <si>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</si>
  <si>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</si>
  <si>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</si>
  <si>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</si>
  <si>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</si>
  <si>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</si>
  <si>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</si>
  <si>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</si>
  <si>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</si>
  <si>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</si>
  <si>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</si>
  <si>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</si>
  <si>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</si>
  <si>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</si>
  <si>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</si>
  <si>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</si>
  <si>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</si>
  <si>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</si>
  <si>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</si>
  <si>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</si>
  <si>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</si>
  <si>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</si>
  <si>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</si>
  <si>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</si>
  <si>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</si>
  <si>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</si>
  <si>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</si>
  <si>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</si>
  <si>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</si>
  <si>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</si>
  <si>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</si>
  <si>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</si>
  <si>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</si>
  <si>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</si>
  <si>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</si>
  <si>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</si>
  <si>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</si>
  <si>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</si>
  <si>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</si>
  <si>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</si>
  <si>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</si>
  <si>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</si>
  <si>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</si>
  <si>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</si>
  <si>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</si>
  <si>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</si>
  <si>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</si>
  <si>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</si>
  <si>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</si>
  <si>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</si>
  <si>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</si>
  <si>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</si>
  <si>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</si>
  <si>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</si>
  <si>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</si>
  <si>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</si>
  <si>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</si>
  <si>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</si>
  <si>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</si>
  <si>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</si>
  <si>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</si>
  <si>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</si>
  <si>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</si>
  <si>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</si>
  <si>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</si>
  <si>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</si>
  <si>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</si>
  <si>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</si>
  <si>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</si>
  <si>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</si>
  <si>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</si>
  <si>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</si>
  <si>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</si>
  <si>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</si>
  <si>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</si>
  <si>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</si>
  <si>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</si>
  <si>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</si>
  <si>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</si>
  <si>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</si>
  <si>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</si>
  <si>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</si>
  <si>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</si>
  <si>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</si>
  <si>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</si>
  <si>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</si>
  <si>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</si>
  <si>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</si>
  <si>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</si>
  <si>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</si>
  <si>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</si>
  <si>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</si>
  <si>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</si>
  <si>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</si>
  <si>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</si>
  <si>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</si>
  <si>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</si>
  <si>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</si>
  <si>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</si>
  <si>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</si>
  <si>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</si>
  <si>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</si>
  <si>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</si>
  <si>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</si>
  <si>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</si>
  <si>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</si>
  <si>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</si>
  <si>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</si>
  <si>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</si>
  <si>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</si>
  <si>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</si>
  <si>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</si>
  <si>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</si>
  <si>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</si>
  <si>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</si>
  <si>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</si>
  <si>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</si>
  <si>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</si>
  <si>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</si>
  <si>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</si>
  <si>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</si>
  <si>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</si>
  <si>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</si>
  <si>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</si>
  <si>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</si>
  <si>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</si>
  <si>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</si>
  <si>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</si>
  <si>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</si>
  <si>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</si>
  <si>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</si>
  <si>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</si>
  <si>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</si>
  <si>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</si>
  <si>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</si>
  <si>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</si>
  <si>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</si>
  <si>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</si>
  <si>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</si>
  <si>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</si>
  <si>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</si>
  <si>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</si>
  <si>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</si>
  <si>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</si>
  <si>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</si>
  <si>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</si>
  <si>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</si>
  <si>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</si>
  <si>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</si>
  <si>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</si>
  <si>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</si>
  <si>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</si>
  <si>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</si>
  <si>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</si>
  <si>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</si>
  <si>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</si>
  <si>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</si>
  <si>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</si>
  <si>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</si>
  <si>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</si>
  <si>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</si>
  <si>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</si>
  <si>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</si>
  <si>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</si>
  <si>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</si>
  <si>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</si>
  <si>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</si>
  <si>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</si>
  <si>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</si>
  <si>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</si>
  <si>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</si>
  <si>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</si>
  <si>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</si>
  <si>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</si>
  <si>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</si>
  <si>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</si>
  <si>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</si>
  <si>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</si>
  <si>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</si>
  <si>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</si>
  <si>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</si>
  <si>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</si>
  <si>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</si>
  <si>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</si>
  <si>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</si>
  <si>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</si>
  <si>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</si>
  <si>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</si>
  <si>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</si>
  <si>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</si>
  <si>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</si>
  <si>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</si>
  <si>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</si>
  <si>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</si>
  <si>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</si>
  <si>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</si>
  <si>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</si>
  <si>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</si>
  <si>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</si>
  <si>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</si>
  <si>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</si>
  <si>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</si>
  <si>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</si>
  <si>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</si>
  <si>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</si>
  <si>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</si>
  <si>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</si>
  <si>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</si>
  <si>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</si>
  <si>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</si>
  <si>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</si>
  <si>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</si>
  <si>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</si>
  <si>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</si>
  <si>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</si>
  <si>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</si>
  <si>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</si>
  <si>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</si>
  <si>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</si>
  <si>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</si>
  <si>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</si>
  <si>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</si>
  <si>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</si>
  <si>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</si>
  <si>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</si>
  <si>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</si>
  <si>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</si>
  <si>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</si>
  <si>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</si>
  <si>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</si>
  <si>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</si>
  <si>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</si>
  <si>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</si>
  <si>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</si>
  <si>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</si>
  <si>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</si>
  <si>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</si>
  <si>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</si>
  <si>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</si>
  <si>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</si>
  <si>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</si>
  <si>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</si>
  <si>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</si>
  <si>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</si>
  <si>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</si>
  <si>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</si>
  <si>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</si>
  <si>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</si>
  <si>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</si>
  <si>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</si>
  <si>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</si>
  <si>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</si>
  <si>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</si>
  <si>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</si>
  <si>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</si>
  <si>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</si>
  <si>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</si>
  <si>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</si>
  <si>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</si>
  <si>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</si>
  <si>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</si>
  <si>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</si>
  <si>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</si>
  <si>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</si>
  <si>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</si>
  <si>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</si>
  <si>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</si>
  <si>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</si>
  <si>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</si>
  <si>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</si>
  <si>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</si>
  <si>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</si>
  <si>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</si>
  <si>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</si>
  <si>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</si>
  <si>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</si>
  <si>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</si>
  <si>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</si>
  <si>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</si>
  <si>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</si>
  <si>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</si>
  <si>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</si>
  <si>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</si>
  <si>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</si>
  <si>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</si>
  <si>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</si>
  <si>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</si>
  <si>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</si>
  <si>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</si>
  <si>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</si>
  <si>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</si>
  <si>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</si>
  <si>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</si>
  <si>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</si>
  <si>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</si>
  <si>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</si>
  <si>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</si>
  <si>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</si>
  <si>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</si>
  <si>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</si>
  <si>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</si>
  <si>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</si>
  <si>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</si>
  <si>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</si>
  <si>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</si>
  <si>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</si>
  <si>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</si>
  <si>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</si>
  <si>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</si>
  <si>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</si>
  <si>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</si>
  <si>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</si>
  <si>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</si>
  <si>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</si>
  <si>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</si>
  <si>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</si>
  <si>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</si>
  <si>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</si>
  <si>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</si>
  <si>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</si>
  <si>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</si>
  <si>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</si>
  <si>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</si>
  <si>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</si>
  <si>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</si>
  <si>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</si>
  <si>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</si>
  <si>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</si>
  <si>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</si>
  <si>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</si>
  <si>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</si>
  <si>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</si>
  <si>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</si>
  <si>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</si>
  <si>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</si>
  <si>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</si>
  <si>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</si>
  <si>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</si>
  <si>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</si>
  <si>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</si>
  <si>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</si>
  <si>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</si>
  <si>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</si>
  <si>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</si>
  <si>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</si>
  <si>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</si>
  <si>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</si>
  <si>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</si>
  <si>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</si>
  <si>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</si>
  <si>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</si>
  <si>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</si>
  <si>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</si>
  <si>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</si>
  <si>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</si>
  <si>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</si>
  <si>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</si>
  <si>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</si>
  <si>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</si>
  <si>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</si>
  <si>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</si>
  <si>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</si>
  <si>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</si>
  <si>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</si>
  <si>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</si>
  <si>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</si>
  <si>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</si>
  <si>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</si>
  <si>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</si>
  <si>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</si>
  <si>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</si>
  <si>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</si>
  <si>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</si>
  <si>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</si>
  <si>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</si>
  <si>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</si>
  <si>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</si>
  <si>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</si>
  <si>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</si>
  <si>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</si>
  <si>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</si>
  <si>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</si>
  <si>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</si>
  <si>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</si>
  <si>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</si>
  <si>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</si>
  <si>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</si>
  <si>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</si>
  <si>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</si>
  <si>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</si>
  <si>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</si>
  <si>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</si>
  <si>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</si>
  <si>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</si>
  <si>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</si>
  <si>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</si>
  <si>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</si>
  <si>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</si>
  <si>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</si>
  <si>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</si>
  <si>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</si>
  <si>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</si>
  <si>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</si>
  <si>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</si>
  <si>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</si>
  <si>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</si>
  <si>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</si>
  <si>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</si>
  <si>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</si>
  <si>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</si>
  <si>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</si>
  <si>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</si>
  <si>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</si>
  <si>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</si>
  <si>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</si>
  <si>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</si>
  <si>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</si>
  <si>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</si>
  <si>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</si>
  <si>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</si>
  <si>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</si>
  <si>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</si>
  <si>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</si>
  <si>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</si>
  <si>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</si>
  <si>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</si>
  <si>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</si>
  <si>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</si>
  <si>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</si>
  <si>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</si>
  <si>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</si>
  <si>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</si>
  <si>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</si>
  <si>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</si>
  <si>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</si>
  <si>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</si>
  <si>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</si>
  <si>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</si>
  <si>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</si>
  <si>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</si>
  <si>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</si>
  <si>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</si>
  <si>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</si>
  <si>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</si>
  <si>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</si>
  <si>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</si>
  <si>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</si>
  <si>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</si>
  <si>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</si>
  <si>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</si>
  <si>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</si>
  <si>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</si>
  <si>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</si>
  <si>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</si>
  <si>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</si>
  <si>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</si>
  <si>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</si>
  <si>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</si>
  <si>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</si>
  <si>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</si>
  <si>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</si>
  <si>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</si>
  <si>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</si>
  <si>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</si>
  <si>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</si>
  <si>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</si>
  <si>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</si>
  <si>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</si>
  <si>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</si>
  <si>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</si>
  <si>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</si>
  <si>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</si>
  <si>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</si>
  <si>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</si>
  <si>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</si>
  <si>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</si>
  <si>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</si>
  <si>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</si>
  <si>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</si>
  <si>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</si>
  <si>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</si>
  <si>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</si>
  <si>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</si>
  <si>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</si>
  <si>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</si>
  <si>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</si>
  <si>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</si>
  <si>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</si>
  <si>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</si>
  <si>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</si>
  <si>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</si>
  <si>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</si>
  <si>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</si>
  <si>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</si>
  <si>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</si>
  <si>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</si>
  <si>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</si>
  <si>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</si>
  <si>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</si>
  <si>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</si>
  <si>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</si>
  <si>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</si>
  <si>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</si>
  <si>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</si>
  <si>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</si>
  <si>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</si>
  <si>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</si>
  <si>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</si>
  <si>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</si>
  <si>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</si>
  <si>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</si>
  <si>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</si>
  <si>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</si>
  <si>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</si>
  <si>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</si>
  <si>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</si>
  <si>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</si>
  <si>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</si>
  <si>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</si>
  <si>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</si>
  <si>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</si>
  <si>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</si>
  <si>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</si>
  <si>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</si>
  <si>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</si>
  <si>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</si>
  <si>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</si>
  <si>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</si>
  <si>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</si>
  <si>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</si>
  <si>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</si>
  <si>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</si>
  <si>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</si>
  <si>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</si>
  <si>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</si>
  <si>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</si>
  <si>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</si>
  <si>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</si>
  <si>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</si>
  <si>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</si>
  <si>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</si>
  <si>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</si>
  <si>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</si>
  <si>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</si>
  <si>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</si>
  <si>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</si>
  <si>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</si>
  <si>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</si>
  <si>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</si>
  <si>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</si>
  <si>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</si>
  <si>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</si>
  <si>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</si>
  <si>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</si>
  <si>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</si>
  <si>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</si>
  <si>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</si>
  <si>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</si>
  <si>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</si>
  <si>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</si>
  <si>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</si>
  <si>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</si>
  <si>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</si>
  <si>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</si>
  <si>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</si>
  <si>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</si>
  <si>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</si>
  <si>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</si>
  <si>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</si>
  <si>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</si>
  <si>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</si>
  <si>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</si>
  <si>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</si>
  <si>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</si>
  <si>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</si>
  <si>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</si>
  <si>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</si>
  <si>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</si>
  <si>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</si>
  <si>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</si>
  <si>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</si>
  <si>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</si>
  <si>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</si>
  <si>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</si>
  <si>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</si>
  <si>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</si>
  <si>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</si>
  <si>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</si>
  <si>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</si>
  <si>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</si>
  <si>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</si>
  <si>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</si>
  <si>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</si>
  <si>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</si>
  <si>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</si>
  <si>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</si>
  <si>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</si>
  <si>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</si>
  <si>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</si>
  <si>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</si>
  <si>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</si>
  <si>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</si>
  <si>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</si>
  <si>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</si>
  <si>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</si>
  <si>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</si>
  <si>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</si>
  <si>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</si>
  <si>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</si>
  <si>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</si>
  <si>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</si>
  <si>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</si>
  <si>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</si>
  <si>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</si>
  <si>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</si>
  <si>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</si>
  <si>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</si>
  <si>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</si>
  <si>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</si>
  <si>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</si>
  <si>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</si>
  <si>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</si>
  <si>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</si>
  <si>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</si>
  <si>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</si>
  <si>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</si>
  <si>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</si>
  <si>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</si>
  <si>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</si>
  <si>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</si>
  <si>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</si>
  <si>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</si>
  <si>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</si>
  <si>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</si>
  <si>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</si>
  <si>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</si>
  <si>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</si>
  <si>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</si>
  <si>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</si>
  <si>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</si>
  <si>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</si>
  <si>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</si>
  <si>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</si>
  <si>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</si>
  <si>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</si>
  <si>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</si>
  <si>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</si>
  <si>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</si>
  <si>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</si>
  <si>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</si>
  <si>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</si>
  <si>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</si>
  <si>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</si>
  <si>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</si>
  <si>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</si>
  <si>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</si>
  <si>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</si>
  <si>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</si>
  <si>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</si>
  <si>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</si>
  <si>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</si>
  <si>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</si>
  <si>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</si>
  <si>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</si>
  <si>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</si>
  <si>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</si>
  <si>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</si>
  <si>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</si>
  <si>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</si>
  <si>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</si>
  <si>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</si>
  <si>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</si>
  <si>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</si>
  <si>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</si>
  <si>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</si>
  <si>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</si>
  <si>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</si>
  <si>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</si>
  <si>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</si>
  <si>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</si>
  <si>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</si>
  <si>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</si>
  <si>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</si>
  <si>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</si>
  <si>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</si>
  <si>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</si>
  <si>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</si>
  <si>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</si>
  <si>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</si>
  <si>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</si>
  <si>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</si>
  <si>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</si>
  <si>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</si>
  <si>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</si>
  <si>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</si>
  <si>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</si>
  <si>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</si>
  <si>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</si>
  <si>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</si>
  <si>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</si>
  <si>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</si>
  <si>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</si>
  <si>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</si>
  <si>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</si>
  <si>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</si>
  <si>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</si>
  <si>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</si>
  <si>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</si>
  <si>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</si>
  <si>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</si>
  <si>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</si>
  <si>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</si>
  <si>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</si>
  <si>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</si>
  <si>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</si>
  <si>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</si>
  <si>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</si>
  <si>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</si>
  <si>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</si>
  <si>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</si>
  <si>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</si>
  <si>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</si>
  <si>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</si>
  <si>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</si>
  <si>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</si>
  <si>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</si>
  <si>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</si>
  <si>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173</t>
  </si>
  <si>
    <t>Arbor Health</t>
  </si>
  <si>
    <t>521 Adams Ave</t>
  </si>
  <si>
    <t>PO Box 1138</t>
  </si>
  <si>
    <t>Morton, WA 98356</t>
  </si>
  <si>
    <t>Lewis</t>
  </si>
  <si>
    <t>Leianne Everett</t>
  </si>
  <si>
    <t>Richard Boggess</t>
  </si>
  <si>
    <t>Trish Frady</t>
  </si>
  <si>
    <t>360-496-5112</t>
  </si>
  <si>
    <t>360-496-3511</t>
  </si>
  <si>
    <t>12/31/2021</t>
  </si>
  <si>
    <t>Tom Herrin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</si>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</sst>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7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631</v>
          </cell>
          <cell r="F59"/>
          <cell r="G59"/>
          <cell r="H59"/>
          <cell r="I59"/>
          <cell r="J59"/>
          <cell r="K59">
            <v>4089</v>
          </cell>
          <cell r="L59" t="str">
            <v xml:space="preserve"> </v>
          </cell>
          <cell r="M59"/>
          <cell r="N59"/>
          <cell r="O59"/>
          <cell r="P59">
            <v>12536</v>
          </cell>
          <cell r="Q59"/>
          <cell r="R59">
            <v>21310</v>
          </cell>
          <cell r="U59">
            <v>44807</v>
          </cell>
          <cell r="V59"/>
          <cell r="W59">
            <v>277</v>
          </cell>
          <cell r="X59">
            <v>1589</v>
          </cell>
          <cell r="Y59">
            <v>4450</v>
          </cell>
          <cell r="Z59"/>
          <cell r="AA59">
            <v>63</v>
          </cell>
          <cell r="AC59">
            <v>9815</v>
          </cell>
          <cell r="AD59"/>
          <cell r="AE59">
            <v>21340</v>
          </cell>
          <cell r="AF59"/>
          <cell r="AG59">
            <v>4721</v>
          </cell>
          <cell r="AH59"/>
          <cell r="AI59"/>
          <cell r="AJ59">
            <v>12631</v>
          </cell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58125</v>
          </cell>
          <cell r="AZ59" t="str">
            <v xml:space="preserve"> </v>
          </cell>
          <cell r="BA59"/>
          <cell r="BE59">
            <v>78440</v>
          </cell>
        </row>
        <row r="71">
          <cell r="C71">
            <v>0</v>
          </cell>
          <cell r="D71">
            <v>0</v>
          </cell>
          <cell r="E71">
            <v>2918493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1139484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433393</v>
          </cell>
          <cell r="Q71">
            <v>0</v>
          </cell>
          <cell r="R71">
            <v>554824</v>
          </cell>
          <cell r="S71">
            <v>77985</v>
          </cell>
          <cell r="T71">
            <v>0</v>
          </cell>
          <cell r="U71">
            <v>1143158</v>
          </cell>
          <cell r="V71">
            <v>0</v>
          </cell>
          <cell r="W71">
            <v>141945</v>
          </cell>
          <cell r="X71">
            <v>140291</v>
          </cell>
          <cell r="Y71">
            <v>870987</v>
          </cell>
          <cell r="Z71">
            <v>0</v>
          </cell>
          <cell r="AA71">
            <v>101186</v>
          </cell>
          <cell r="AB71">
            <v>1165042</v>
          </cell>
          <cell r="AC71">
            <v>522284</v>
          </cell>
          <cell r="AD71">
            <v>0</v>
          </cell>
          <cell r="AE71">
            <v>1329063</v>
          </cell>
          <cell r="AF71">
            <v>0</v>
          </cell>
          <cell r="AG71">
            <v>2603565</v>
          </cell>
          <cell r="AH71">
            <v>42206</v>
          </cell>
          <cell r="AI71">
            <v>33968</v>
          </cell>
          <cell r="AJ71">
            <v>3701437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545491</v>
          </cell>
          <cell r="AW71">
            <v>0</v>
          </cell>
          <cell r="AX71">
            <v>0</v>
          </cell>
          <cell r="AY71">
            <v>862879</v>
          </cell>
          <cell r="AZ71">
            <v>0</v>
          </cell>
          <cell r="BA71">
            <v>156654</v>
          </cell>
          <cell r="BB71">
            <v>89585</v>
          </cell>
          <cell r="BC71">
            <v>41499</v>
          </cell>
          <cell r="BD71">
            <v>145066</v>
          </cell>
          <cell r="BE71">
            <v>1380906</v>
          </cell>
          <cell r="BF71">
            <v>469801</v>
          </cell>
          <cell r="BG71">
            <v>269881</v>
          </cell>
          <cell r="BH71">
            <v>1727004</v>
          </cell>
          <cell r="BI71">
            <v>500</v>
          </cell>
          <cell r="BJ71">
            <v>463242</v>
          </cell>
          <cell r="BK71">
            <v>888132</v>
          </cell>
          <cell r="BL71">
            <v>477861</v>
          </cell>
          <cell r="BM71">
            <v>0</v>
          </cell>
          <cell r="BN71">
            <v>1540657</v>
          </cell>
          <cell r="BO71">
            <v>217785</v>
          </cell>
          <cell r="BP71">
            <v>0</v>
          </cell>
          <cell r="BQ71">
            <v>0</v>
          </cell>
          <cell r="BR71">
            <v>556826</v>
          </cell>
          <cell r="BS71">
            <v>0</v>
          </cell>
          <cell r="BT71">
            <v>0</v>
          </cell>
          <cell r="BU71">
            <v>0</v>
          </cell>
          <cell r="BV71">
            <v>233029</v>
          </cell>
          <cell r="BW71">
            <v>0</v>
          </cell>
          <cell r="BX71">
            <v>139056</v>
          </cell>
          <cell r="BY71">
            <v>538382</v>
          </cell>
          <cell r="BZ71">
            <v>0</v>
          </cell>
          <cell r="CA71">
            <v>0</v>
          </cell>
          <cell r="CB71">
            <v>0</v>
          </cell>
          <cell r="CC71">
            <v>612541</v>
          </cell>
          <cell r="CD71">
            <v>-283235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11" transitionEvaluation="1" transitionEntry="1" codeName="Sheet1">
    <pageSetUpPr autoPageBreaks="0" fitToPage="1"/>
  </sheetPr>
  <dimension ref="A1:CF817"/>
  <sheetViews>
    <sheetView showGridLines="0" tabSelected="1" topLeftCell="A511" zoomScaleNormal="100" workbookViewId="0">
      <selection activeCell="M670" sqref="M670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2"/>
      <c r="C15" s="235"/>
    </row>
    <row r="16" spans="1:6" ht="12.75" customHeight="1" x14ac:dyDescent="0.3">
      <c r="A16" s="293" t="s">
        <v>1266</v>
      </c>
      <c r="C16" s="235"/>
      <c r="F16" s="286"/>
    </row>
    <row r="17" spans="1:6" ht="12.75" customHeight="1" x14ac:dyDescent="0.3">
      <c r="A17" s="293" t="s">
        <v>1264</v>
      </c>
      <c r="C17" s="286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2" t="s">
        <v>1233</v>
      </c>
      <c r="B20" s="272"/>
      <c r="C20" s="287"/>
      <c r="D20" s="272"/>
      <c r="E20" s="272"/>
      <c r="F20" s="272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>
        <f>223479+12599</f>
        <v>236078</v>
      </c>
      <c r="F47" s="184"/>
      <c r="G47" s="184"/>
      <c r="H47" s="184"/>
      <c r="I47" s="184"/>
      <c r="J47" s="184"/>
      <c r="K47" s="184">
        <v>4155</v>
      </c>
      <c r="L47" s="184"/>
      <c r="M47" s="184"/>
      <c r="N47" s="184"/>
      <c r="O47" s="184"/>
      <c r="P47" s="184">
        <v>42122</v>
      </c>
      <c r="Q47" s="184"/>
      <c r="R47" s="184">
        <v>49877</v>
      </c>
      <c r="S47" s="184">
        <f>2921+17212</f>
        <v>20133</v>
      </c>
      <c r="T47" s="184"/>
      <c r="U47" s="184">
        <v>67734</v>
      </c>
      <c r="V47" s="184"/>
      <c r="W47" s="184"/>
      <c r="X47" s="184"/>
      <c r="Y47" s="184">
        <v>73563</v>
      </c>
      <c r="Z47" s="184"/>
      <c r="AA47" s="184"/>
      <c r="AB47" s="184">
        <v>16064</v>
      </c>
      <c r="AC47" s="184">
        <f>25797+1089</f>
        <v>26886</v>
      </c>
      <c r="AD47" s="184"/>
      <c r="AE47" s="184">
        <v>90197</v>
      </c>
      <c r="AF47" s="184"/>
      <c r="AG47" s="184">
        <f>88125+64349</f>
        <v>152474</v>
      </c>
      <c r="AH47" s="184"/>
      <c r="AI47" s="184">
        <v>148</v>
      </c>
      <c r="AJ47" s="184">
        <v>379419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51650</v>
      </c>
      <c r="AZ47" s="184"/>
      <c r="BA47" s="184">
        <v>6664</v>
      </c>
      <c r="BB47" s="184"/>
      <c r="BC47" s="184">
        <v>2928</v>
      </c>
      <c r="BD47" s="184">
        <v>13549</v>
      </c>
      <c r="BE47" s="184">
        <v>36298</v>
      </c>
      <c r="BF47" s="184">
        <v>39714</v>
      </c>
      <c r="BG47" s="184">
        <v>9594</v>
      </c>
      <c r="BH47" s="184">
        <f>26219+17090</f>
        <v>43309</v>
      </c>
      <c r="BI47" s="184"/>
      <c r="BJ47" s="184">
        <v>32529</v>
      </c>
      <c r="BK47" s="184">
        <v>62278</v>
      </c>
      <c r="BL47" s="184">
        <v>44430</v>
      </c>
      <c r="BM47" s="184"/>
      <c r="BN47" s="184">
        <f>76351+1437</f>
        <v>77788</v>
      </c>
      <c r="BO47" s="184">
        <v>6901</v>
      </c>
      <c r="BP47" s="184"/>
      <c r="BQ47" s="184"/>
      <c r="BR47" s="184">
        <v>51599</v>
      </c>
      <c r="BS47" s="184"/>
      <c r="BT47" s="184"/>
      <c r="BU47" s="184"/>
      <c r="BV47" s="184">
        <v>14907</v>
      </c>
      <c r="BW47" s="184"/>
      <c r="BX47" s="184">
        <v>12935</v>
      </c>
      <c r="BY47" s="184">
        <v>53266</v>
      </c>
      <c r="BZ47" s="184"/>
      <c r="CA47" s="184"/>
      <c r="CB47" s="184"/>
      <c r="CC47" s="184">
        <f>2413+23882+794</f>
        <v>27089</v>
      </c>
      <c r="CD47" s="195"/>
      <c r="CE47" s="195">
        <f>SUM(C47:CC47)</f>
        <v>1746278</v>
      </c>
    </row>
    <row r="48" spans="1:83" ht="12.65" customHeight="1" x14ac:dyDescent="0.3">
      <c r="A48" s="175" t="s">
        <v>205</v>
      </c>
      <c r="B48" s="183">
        <v>2397485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337227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2678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58253</v>
      </c>
      <c r="Q48" s="195">
        <f>ROUND(((B48/CE61)*Q61),0)</f>
        <v>0</v>
      </c>
      <c r="R48" s="195">
        <f>ROUND(((B48/CE61)*R61),0)</f>
        <v>53565</v>
      </c>
      <c r="S48" s="195">
        <f>ROUND(((B48/CE61)*S61),0)</f>
        <v>37615</v>
      </c>
      <c r="T48" s="195">
        <f>ROUND(((B48/CE61)*T61),0)</f>
        <v>0</v>
      </c>
      <c r="U48" s="195">
        <f>ROUND(((B48/CE61)*U61),0)</f>
        <v>87383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95319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55677</v>
      </c>
      <c r="AC48" s="195">
        <f>ROUND(((B48/CE61)*AC61),0)</f>
        <v>38119</v>
      </c>
      <c r="AD48" s="195">
        <f>ROUND(((B48/CE61)*AD61),0)</f>
        <v>0</v>
      </c>
      <c r="AE48" s="195">
        <f>ROUND(((B48/CE61)*AE61),0)</f>
        <v>117961</v>
      </c>
      <c r="AF48" s="195">
        <f>ROUND(((B48/CE61)*AF61),0)</f>
        <v>0</v>
      </c>
      <c r="AG48" s="195">
        <f>ROUND(((B48/CE61)*AG61),0)</f>
        <v>232199</v>
      </c>
      <c r="AH48" s="195">
        <f>ROUND(((B48/CE61)*AH61),0)</f>
        <v>0</v>
      </c>
      <c r="AI48" s="195">
        <f>ROUND(((B48/CE61)*AI61),0)</f>
        <v>172</v>
      </c>
      <c r="AJ48" s="195">
        <f>ROUND(((B48/CE61)*AJ61),0)</f>
        <v>521758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62411</v>
      </c>
      <c r="AZ48" s="195">
        <f>ROUND(((B48/CE61)*AZ61),0)</f>
        <v>0</v>
      </c>
      <c r="BA48" s="195">
        <f>ROUND(((B48/CE61)*BA61),0)</f>
        <v>8791</v>
      </c>
      <c r="BB48" s="195">
        <f>ROUND(((B48/CE61)*BB61),0)</f>
        <v>0</v>
      </c>
      <c r="BC48" s="195">
        <f>ROUND(((B48/CE61)*BC61),0)</f>
        <v>4871</v>
      </c>
      <c r="BD48" s="195">
        <f>ROUND(((B48/CE61)*BD61),0)</f>
        <v>12845</v>
      </c>
      <c r="BE48" s="195">
        <f>ROUND(((B48/CE61)*BE61),0)</f>
        <v>59907</v>
      </c>
      <c r="BF48" s="195">
        <f>ROUND(((B48/CE61)*BF61),0)</f>
        <v>51284</v>
      </c>
      <c r="BG48" s="195">
        <f>ROUND(((B48/CE61)*BG61),0)</f>
        <v>9670</v>
      </c>
      <c r="BH48" s="195">
        <f>ROUND(((B48/CE61)*BH61),0)</f>
        <v>56149</v>
      </c>
      <c r="BI48" s="195">
        <f>ROUND(((B48/CE61)*BI61),0)</f>
        <v>0</v>
      </c>
      <c r="BJ48" s="195">
        <f>ROUND(((B48/CE61)*BJ61),0)</f>
        <v>30972</v>
      </c>
      <c r="BK48" s="195">
        <f>ROUND(((B48/CE61)*BK61),0)</f>
        <v>71830</v>
      </c>
      <c r="BL48" s="195">
        <f>ROUND(((B48/CE61)*BL61),0)</f>
        <v>55504</v>
      </c>
      <c r="BM48" s="195">
        <f>ROUND(((B48/CE61)*BM61),0)</f>
        <v>0</v>
      </c>
      <c r="BN48" s="195">
        <f>ROUND(((B48/CE61)*BN61),0)</f>
        <v>90038</v>
      </c>
      <c r="BO48" s="195">
        <f>ROUND(((B48/CE61)*BO61),0)</f>
        <v>7327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46890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19702</v>
      </c>
      <c r="BW48" s="195">
        <f>ROUND(((B48/CE61)*BW61),0)</f>
        <v>0</v>
      </c>
      <c r="BX48" s="195">
        <f>ROUND(((B48/CE61)*BX61),0)</f>
        <v>13456</v>
      </c>
      <c r="BY48" s="195">
        <f>ROUND(((B48/CE61)*BY61),0)</f>
        <v>61945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95968</v>
      </c>
      <c r="CD48" s="195"/>
      <c r="CE48" s="195">
        <f>SUM(C48:CD48)</f>
        <v>2397486</v>
      </c>
    </row>
    <row r="49" spans="1:84" ht="12.65" customHeight="1" x14ac:dyDescent="0.3">
      <c r="A49" s="175" t="s">
        <v>206</v>
      </c>
      <c r="B49" s="195">
        <f>B47+B48</f>
        <v>2397485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1256255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293612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20756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16864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39286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7976</v>
      </c>
      <c r="AC52" s="195">
        <f>ROUND((B52/(CE76+CF76)*AC76),0)</f>
        <v>15887</v>
      </c>
      <c r="AD52" s="195">
        <f>ROUND((B52/(CE76+CF76)*AD76),0)</f>
        <v>0</v>
      </c>
      <c r="AE52" s="195">
        <f>ROUND((B52/(CE76+CF76)*AE76),0)</f>
        <v>45260</v>
      </c>
      <c r="AF52" s="195">
        <f>ROUND((B52/(CE76+CF76)*AF76),0)</f>
        <v>0</v>
      </c>
      <c r="AG52" s="195">
        <f>ROUND((B52/(CE76+CF76)*AG76),0)</f>
        <v>56663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129277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53059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45100</v>
      </c>
      <c r="AZ52" s="195">
        <f>ROUND((B52/(CE76+CF76)*AZ76),0)</f>
        <v>0</v>
      </c>
      <c r="BA52" s="195">
        <f>ROUND((B52/(CE76+CF76)*BA76),0)</f>
        <v>10842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12076</v>
      </c>
      <c r="BE52" s="195">
        <f>ROUND((B52/(CE76+CF76)*BE76),0)</f>
        <v>388119</v>
      </c>
      <c r="BF52" s="195">
        <f>ROUND((B52/(CE76+CF76)*BF76),0)</f>
        <v>6390</v>
      </c>
      <c r="BG52" s="195">
        <f>ROUND((B52/(CE76+CF76)*BG76),0)</f>
        <v>7303</v>
      </c>
      <c r="BH52" s="195">
        <f>ROUND((B52/(CE76+CF76)*BH76),0)</f>
        <v>1281</v>
      </c>
      <c r="BI52" s="195">
        <f>ROUND((B52/(CE76+CF76)*BI76),0)</f>
        <v>0</v>
      </c>
      <c r="BJ52" s="195">
        <f>ROUND((B52/(CE76+CF76)*BJ76),0)</f>
        <v>21941</v>
      </c>
      <c r="BK52" s="195">
        <f>ROUND((B52/(CE76+CF76)*BK76),0)</f>
        <v>21941</v>
      </c>
      <c r="BL52" s="195">
        <f>ROUND((B52/(CE76+CF76)*BL76),0)</f>
        <v>9866</v>
      </c>
      <c r="BM52" s="195">
        <f>ROUND((B52/(CE76+CF76)*BM76),0)</f>
        <v>0</v>
      </c>
      <c r="BN52" s="195">
        <f>ROUND((B52/(CE76+CF76)*BN76),0)</f>
        <v>14270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9001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18162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11323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1256255</v>
      </c>
    </row>
    <row r="53" spans="1:84" ht="12.65" customHeight="1" x14ac:dyDescent="0.3">
      <c r="A53" s="175" t="s">
        <v>206</v>
      </c>
      <c r="B53" s="195">
        <f>B51+B52</f>
        <v>1256255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>
        <v>803</v>
      </c>
      <c r="F59" s="184"/>
      <c r="G59" s="184"/>
      <c r="H59" s="184"/>
      <c r="I59" s="184"/>
      <c r="J59" s="184"/>
      <c r="K59" s="184">
        <v>1343</v>
      </c>
      <c r="L59" s="184"/>
      <c r="M59" s="184"/>
      <c r="N59" s="184"/>
      <c r="O59" s="184"/>
      <c r="P59" s="185">
        <v>17360</v>
      </c>
      <c r="Q59" s="185"/>
      <c r="R59" s="185">
        <v>27138</v>
      </c>
      <c r="S59" s="248"/>
      <c r="T59" s="248"/>
      <c r="U59" s="224">
        <v>52248</v>
      </c>
      <c r="V59" s="185"/>
      <c r="W59" s="185">
        <v>357</v>
      </c>
      <c r="X59" s="185">
        <v>1811</v>
      </c>
      <c r="Y59" s="185">
        <v>6910</v>
      </c>
      <c r="Z59" s="185"/>
      <c r="AA59" s="185"/>
      <c r="AB59" s="248"/>
      <c r="AC59" s="185">
        <v>4481</v>
      </c>
      <c r="AD59" s="185"/>
      <c r="AE59" s="185">
        <v>19037</v>
      </c>
      <c r="AF59" s="185"/>
      <c r="AG59" s="185">
        <v>4950</v>
      </c>
      <c r="AH59" s="185"/>
      <c r="AI59" s="185"/>
      <c r="AJ59" s="185">
        <v>24096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25800</v>
      </c>
      <c r="AZ59" s="185"/>
      <c r="BA59" s="248"/>
      <c r="BB59" s="248"/>
      <c r="BC59" s="248"/>
      <c r="BD59" s="248"/>
      <c r="BE59" s="185">
        <v>78440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>
        <v>24</v>
      </c>
      <c r="F60" s="223"/>
      <c r="G60" s="187"/>
      <c r="H60" s="187"/>
      <c r="I60" s="187"/>
      <c r="J60" s="223"/>
      <c r="K60" s="187">
        <v>4</v>
      </c>
      <c r="L60" s="187"/>
      <c r="M60" s="187"/>
      <c r="N60" s="187"/>
      <c r="O60" s="187"/>
      <c r="P60" s="221">
        <v>4</v>
      </c>
      <c r="Q60" s="221"/>
      <c r="R60" s="221">
        <v>1</v>
      </c>
      <c r="S60" s="221"/>
      <c r="T60" s="221"/>
      <c r="U60" s="221">
        <v>8</v>
      </c>
      <c r="V60" s="221"/>
      <c r="W60" s="221"/>
      <c r="X60" s="221"/>
      <c r="Y60" s="221">
        <v>7</v>
      </c>
      <c r="Z60" s="221"/>
      <c r="AA60" s="221"/>
      <c r="AB60" s="221">
        <v>3</v>
      </c>
      <c r="AC60" s="221">
        <v>3</v>
      </c>
      <c r="AD60" s="221"/>
      <c r="AE60" s="221">
        <v>11</v>
      </c>
      <c r="AF60" s="221"/>
      <c r="AG60" s="221">
        <v>12</v>
      </c>
      <c r="AH60" s="221"/>
      <c r="AI60" s="221"/>
      <c r="AJ60" s="221">
        <v>40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10</v>
      </c>
      <c r="AZ60" s="221"/>
      <c r="BA60" s="221">
        <v>2</v>
      </c>
      <c r="BB60" s="221"/>
      <c r="BC60" s="221">
        <v>1</v>
      </c>
      <c r="BD60" s="221">
        <v>2</v>
      </c>
      <c r="BE60" s="221">
        <v>6</v>
      </c>
      <c r="BF60" s="221">
        <v>10</v>
      </c>
      <c r="BG60" s="221">
        <v>1</v>
      </c>
      <c r="BH60" s="221">
        <v>5</v>
      </c>
      <c r="BI60" s="221"/>
      <c r="BJ60" s="221">
        <v>3</v>
      </c>
      <c r="BK60" s="221">
        <v>11</v>
      </c>
      <c r="BL60" s="221">
        <v>11</v>
      </c>
      <c r="BM60" s="221"/>
      <c r="BN60" s="221">
        <v>4</v>
      </c>
      <c r="BO60" s="221">
        <v>1</v>
      </c>
      <c r="BP60" s="221"/>
      <c r="BQ60" s="221"/>
      <c r="BR60" s="221">
        <v>4</v>
      </c>
      <c r="BS60" s="221"/>
      <c r="BT60" s="221"/>
      <c r="BU60" s="221"/>
      <c r="BV60" s="221">
        <v>3</v>
      </c>
      <c r="BW60" s="221"/>
      <c r="BX60" s="221">
        <v>3</v>
      </c>
      <c r="BY60" s="221">
        <v>5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199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f>2469618+161790</f>
        <v>2631408</v>
      </c>
      <c r="F61" s="185"/>
      <c r="G61" s="184"/>
      <c r="H61" s="184"/>
      <c r="I61" s="185"/>
      <c r="J61" s="185"/>
      <c r="K61" s="185">
        <v>20897</v>
      </c>
      <c r="L61" s="185"/>
      <c r="M61" s="184"/>
      <c r="N61" s="184"/>
      <c r="O61" s="184"/>
      <c r="P61" s="185">
        <v>454555</v>
      </c>
      <c r="Q61" s="185"/>
      <c r="R61" s="185">
        <f>419880-1910</f>
        <v>417970</v>
      </c>
      <c r="S61" s="185">
        <f>40869+131459+121185</f>
        <v>293513</v>
      </c>
      <c r="T61" s="185"/>
      <c r="U61" s="185">
        <v>681854</v>
      </c>
      <c r="V61" s="185"/>
      <c r="W61" s="185"/>
      <c r="X61" s="185"/>
      <c r="Y61" s="185">
        <v>743785</v>
      </c>
      <c r="Z61" s="185"/>
      <c r="AA61" s="185"/>
      <c r="AB61" s="185">
        <v>434454</v>
      </c>
      <c r="AC61" s="185">
        <v>297449</v>
      </c>
      <c r="AD61" s="185"/>
      <c r="AE61" s="185">
        <v>920457</v>
      </c>
      <c r="AF61" s="185"/>
      <c r="AG61" s="185">
        <f>1109305+702561</f>
        <v>1811866</v>
      </c>
      <c r="AH61" s="185"/>
      <c r="AI61" s="185">
        <v>1339</v>
      </c>
      <c r="AJ61" s="185">
        <v>4071325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486995</v>
      </c>
      <c r="AZ61" s="185"/>
      <c r="BA61" s="185">
        <v>68599</v>
      </c>
      <c r="BB61" s="185"/>
      <c r="BC61" s="185">
        <v>38006</v>
      </c>
      <c r="BD61" s="185">
        <v>100232</v>
      </c>
      <c r="BE61" s="185">
        <v>467456</v>
      </c>
      <c r="BF61" s="185">
        <v>400172</v>
      </c>
      <c r="BG61" s="185">
        <v>75459</v>
      </c>
      <c r="BH61" s="185">
        <f>205482+232652</f>
        <v>438134</v>
      </c>
      <c r="BI61" s="185"/>
      <c r="BJ61" s="185">
        <v>241677</v>
      </c>
      <c r="BK61" s="185">
        <v>560499</v>
      </c>
      <c r="BL61" s="185">
        <v>433099</v>
      </c>
      <c r="BM61" s="185"/>
      <c r="BN61" s="185">
        <f>682279+960+19335</f>
        <v>702574</v>
      </c>
      <c r="BO61" s="185">
        <v>57176</v>
      </c>
      <c r="BP61" s="185"/>
      <c r="BQ61" s="185"/>
      <c r="BR61" s="185">
        <v>365890</v>
      </c>
      <c r="BS61" s="185"/>
      <c r="BT61" s="185"/>
      <c r="BU61" s="185"/>
      <c r="BV61" s="185">
        <v>153735</v>
      </c>
      <c r="BW61" s="185"/>
      <c r="BX61" s="185">
        <v>105001</v>
      </c>
      <c r="BY61" s="185">
        <v>483366</v>
      </c>
      <c r="BZ61" s="185"/>
      <c r="CA61" s="185"/>
      <c r="CB61" s="185"/>
      <c r="CC61" s="185">
        <f>29888+474768+5883+238275+30</f>
        <v>748844</v>
      </c>
      <c r="CD61" s="249" t="s">
        <v>221</v>
      </c>
      <c r="CE61" s="195">
        <f t="shared" si="0"/>
        <v>18707786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573305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6833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100375</v>
      </c>
      <c r="Q62" s="195">
        <f t="shared" si="1"/>
        <v>0</v>
      </c>
      <c r="R62" s="195">
        <f t="shared" si="1"/>
        <v>103442</v>
      </c>
      <c r="S62" s="195">
        <f t="shared" si="1"/>
        <v>57748</v>
      </c>
      <c r="T62" s="195">
        <f t="shared" si="1"/>
        <v>0</v>
      </c>
      <c r="U62" s="195">
        <f t="shared" si="1"/>
        <v>155117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168882</v>
      </c>
      <c r="Z62" s="195">
        <f t="shared" si="1"/>
        <v>0</v>
      </c>
      <c r="AA62" s="195">
        <f t="shared" si="1"/>
        <v>0</v>
      </c>
      <c r="AB62" s="195">
        <f t="shared" si="1"/>
        <v>71741</v>
      </c>
      <c r="AC62" s="195">
        <f t="shared" si="1"/>
        <v>65005</v>
      </c>
      <c r="AD62" s="195">
        <f t="shared" si="1"/>
        <v>0</v>
      </c>
      <c r="AE62" s="195">
        <f t="shared" si="1"/>
        <v>208158</v>
      </c>
      <c r="AF62" s="195">
        <f t="shared" si="1"/>
        <v>0</v>
      </c>
      <c r="AG62" s="195">
        <f t="shared" si="1"/>
        <v>384673</v>
      </c>
      <c r="AH62" s="195">
        <f t="shared" si="1"/>
        <v>0</v>
      </c>
      <c r="AI62" s="195">
        <f t="shared" si="1"/>
        <v>320</v>
      </c>
      <c r="AJ62" s="195">
        <f t="shared" si="1"/>
        <v>901177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114061</v>
      </c>
      <c r="AZ62" s="195">
        <f>ROUND(AZ47+AZ48,0)</f>
        <v>0</v>
      </c>
      <c r="BA62" s="195">
        <f>ROUND(BA47+BA48,0)</f>
        <v>15455</v>
      </c>
      <c r="BB62" s="195">
        <f t="shared" si="1"/>
        <v>0</v>
      </c>
      <c r="BC62" s="195">
        <f t="shared" si="1"/>
        <v>7799</v>
      </c>
      <c r="BD62" s="195">
        <f t="shared" si="1"/>
        <v>26394</v>
      </c>
      <c r="BE62" s="195">
        <f t="shared" si="1"/>
        <v>96205</v>
      </c>
      <c r="BF62" s="195">
        <f t="shared" si="1"/>
        <v>90998</v>
      </c>
      <c r="BG62" s="195">
        <f t="shared" si="1"/>
        <v>19264</v>
      </c>
      <c r="BH62" s="195">
        <f t="shared" si="1"/>
        <v>99458</v>
      </c>
      <c r="BI62" s="195">
        <f t="shared" si="1"/>
        <v>0</v>
      </c>
      <c r="BJ62" s="195">
        <f t="shared" si="1"/>
        <v>63501</v>
      </c>
      <c r="BK62" s="195">
        <f t="shared" si="1"/>
        <v>134108</v>
      </c>
      <c r="BL62" s="195">
        <f t="shared" si="1"/>
        <v>99934</v>
      </c>
      <c r="BM62" s="195">
        <f t="shared" si="1"/>
        <v>0</v>
      </c>
      <c r="BN62" s="195">
        <f t="shared" si="1"/>
        <v>167826</v>
      </c>
      <c r="BO62" s="195">
        <f t="shared" ref="BO62:CC62" si="2">ROUND(BO47+BO48,0)</f>
        <v>14228</v>
      </c>
      <c r="BP62" s="195">
        <f t="shared" si="2"/>
        <v>0</v>
      </c>
      <c r="BQ62" s="195">
        <f t="shared" si="2"/>
        <v>0</v>
      </c>
      <c r="BR62" s="195">
        <f t="shared" si="2"/>
        <v>98489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34609</v>
      </c>
      <c r="BW62" s="195">
        <f t="shared" si="2"/>
        <v>0</v>
      </c>
      <c r="BX62" s="195">
        <f t="shared" si="2"/>
        <v>26391</v>
      </c>
      <c r="BY62" s="195">
        <f t="shared" si="2"/>
        <v>115211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123057</v>
      </c>
      <c r="CD62" s="249" t="s">
        <v>221</v>
      </c>
      <c r="CE62" s="195">
        <f t="shared" si="0"/>
        <v>4143764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18617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6000</v>
      </c>
      <c r="S63" s="185">
        <v>11640</v>
      </c>
      <c r="T63" s="185"/>
      <c r="U63" s="185">
        <v>10106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f>29045+759790</f>
        <v>788835</v>
      </c>
      <c r="AH63" s="185"/>
      <c r="AI63" s="185"/>
      <c r="AJ63" s="185">
        <v>117037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>
        <v>510</v>
      </c>
      <c r="BE63" s="185"/>
      <c r="BF63" s="185"/>
      <c r="BG63" s="185"/>
      <c r="BH63" s="185">
        <v>3500</v>
      </c>
      <c r="BI63" s="185"/>
      <c r="BJ63" s="185">
        <v>48173</v>
      </c>
      <c r="BK63" s="185">
        <v>280380</v>
      </c>
      <c r="BL63" s="185"/>
      <c r="BM63" s="185"/>
      <c r="BN63" s="185">
        <f>52093+2988</f>
        <v>55081</v>
      </c>
      <c r="BO63" s="185">
        <v>5000</v>
      </c>
      <c r="BP63" s="185"/>
      <c r="BQ63" s="185"/>
      <c r="BR63" s="185">
        <v>7030</v>
      </c>
      <c r="BS63" s="185"/>
      <c r="BT63" s="185"/>
      <c r="BU63" s="185"/>
      <c r="BV63" s="185"/>
      <c r="BW63" s="185"/>
      <c r="BX63" s="185">
        <v>18925</v>
      </c>
      <c r="BY63" s="185"/>
      <c r="BZ63" s="185"/>
      <c r="CA63" s="185"/>
      <c r="CB63" s="185"/>
      <c r="CC63" s="185">
        <f>1950+7000+613</f>
        <v>9563</v>
      </c>
      <c r="CD63" s="249" t="s">
        <v>221</v>
      </c>
      <c r="CE63" s="195">
        <f t="shared" si="0"/>
        <v>1380397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>
        <v>106227</v>
      </c>
      <c r="F64" s="185"/>
      <c r="G64" s="184"/>
      <c r="H64" s="184"/>
      <c r="I64" s="185"/>
      <c r="J64" s="185"/>
      <c r="K64" s="185">
        <v>1405</v>
      </c>
      <c r="L64" s="185"/>
      <c r="M64" s="184"/>
      <c r="N64" s="184"/>
      <c r="O64" s="184"/>
      <c r="P64" s="185">
        <v>69735</v>
      </c>
      <c r="Q64" s="185"/>
      <c r="R64" s="185">
        <v>6065</v>
      </c>
      <c r="S64" s="185">
        <f>27143+175526</f>
        <v>202669</v>
      </c>
      <c r="T64" s="185"/>
      <c r="U64" s="185">
        <v>380564</v>
      </c>
      <c r="V64" s="185"/>
      <c r="W64" s="185"/>
      <c r="X64" s="185">
        <v>24884</v>
      </c>
      <c r="Y64" s="185">
        <f>3310+12026+789+601+5359</f>
        <v>22085</v>
      </c>
      <c r="Z64" s="185"/>
      <c r="AA64" s="185"/>
      <c r="AB64" s="185">
        <v>461280</v>
      </c>
      <c r="AC64" s="185">
        <f>33993+729</f>
        <v>34722</v>
      </c>
      <c r="AD64" s="185"/>
      <c r="AE64" s="185">
        <v>18410</v>
      </c>
      <c r="AF64" s="185"/>
      <c r="AG64" s="185">
        <f>136841+2250</f>
        <v>139091</v>
      </c>
      <c r="AH64" s="185"/>
      <c r="AI64" s="185">
        <v>19766</v>
      </c>
      <c r="AJ64" s="185">
        <v>224003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132067</v>
      </c>
      <c r="AZ64" s="185"/>
      <c r="BA64" s="185">
        <v>16643</v>
      </c>
      <c r="BB64" s="185"/>
      <c r="BC64" s="185">
        <v>75</v>
      </c>
      <c r="BD64" s="185">
        <v>1489</v>
      </c>
      <c r="BE64" s="185">
        <v>104955</v>
      </c>
      <c r="BF64" s="185">
        <v>55365</v>
      </c>
      <c r="BG64" s="185">
        <v>35391</v>
      </c>
      <c r="BH64" s="185">
        <f>22+90591</f>
        <v>90613</v>
      </c>
      <c r="BI64" s="185"/>
      <c r="BJ64" s="185">
        <v>1370</v>
      </c>
      <c r="BK64" s="185">
        <v>3682</v>
      </c>
      <c r="BL64" s="185">
        <v>7577</v>
      </c>
      <c r="BM64" s="185"/>
      <c r="BN64" s="185">
        <f>7129+84987+25</f>
        <v>92141</v>
      </c>
      <c r="BO64" s="185">
        <v>4969</v>
      </c>
      <c r="BP64" s="185"/>
      <c r="BQ64" s="185">
        <v>5460</v>
      </c>
      <c r="BR64" s="185">
        <v>3252</v>
      </c>
      <c r="BS64" s="185">
        <v>13215</v>
      </c>
      <c r="BT64" s="185"/>
      <c r="BU64" s="185"/>
      <c r="BV64" s="185">
        <v>3692</v>
      </c>
      <c r="BW64" s="185"/>
      <c r="BX64" s="185">
        <v>1655</v>
      </c>
      <c r="BY64" s="185">
        <v>692</v>
      </c>
      <c r="BZ64" s="185"/>
      <c r="CA64" s="185"/>
      <c r="CB64" s="185">
        <v>75</v>
      </c>
      <c r="CC64" s="185">
        <f>725+54291-9718</f>
        <v>45298</v>
      </c>
      <c r="CD64" s="249" t="s">
        <v>221</v>
      </c>
      <c r="CE64" s="195">
        <f t="shared" si="0"/>
        <v>2330582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37092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>
        <v>4609</v>
      </c>
      <c r="BD65" s="185"/>
      <c r="BE65" s="185">
        <v>285231</v>
      </c>
      <c r="BF65" s="185"/>
      <c r="BG65" s="185"/>
      <c r="BH65" s="185">
        <v>150263</v>
      </c>
      <c r="BI65" s="185"/>
      <c r="BJ65" s="185"/>
      <c r="BK65" s="185"/>
      <c r="BL65" s="185">
        <v>4361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385</v>
      </c>
      <c r="CD65" s="249" t="s">
        <v>221</v>
      </c>
      <c r="CE65" s="195">
        <f t="shared" si="0"/>
        <v>481941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>
        <v>57195</v>
      </c>
      <c r="F66" s="184"/>
      <c r="G66" s="184"/>
      <c r="H66" s="184"/>
      <c r="I66" s="184"/>
      <c r="J66" s="184"/>
      <c r="K66" s="185">
        <v>70000</v>
      </c>
      <c r="L66" s="185"/>
      <c r="M66" s="184"/>
      <c r="N66" s="184"/>
      <c r="O66" s="185"/>
      <c r="P66" s="185">
        <f>126110-100375</f>
        <v>25735</v>
      </c>
      <c r="Q66" s="185"/>
      <c r="R66" s="185">
        <v>2249</v>
      </c>
      <c r="S66" s="184">
        <f>21919+803</f>
        <v>22722</v>
      </c>
      <c r="T66" s="184"/>
      <c r="U66" s="185">
        <f>449310-38992</f>
        <v>410318</v>
      </c>
      <c r="V66" s="185"/>
      <c r="W66" s="185">
        <v>164618</v>
      </c>
      <c r="X66" s="185">
        <v>26932</v>
      </c>
      <c r="Y66" s="185">
        <f>50766+2596+15463+44730+105514</f>
        <v>219069</v>
      </c>
      <c r="Z66" s="185"/>
      <c r="AA66" s="185"/>
      <c r="AB66" s="185"/>
      <c r="AC66" s="185">
        <f>15674-12427</f>
        <v>3247</v>
      </c>
      <c r="AD66" s="185"/>
      <c r="AE66" s="185">
        <v>9935</v>
      </c>
      <c r="AF66" s="185"/>
      <c r="AG66" s="185">
        <v>12406</v>
      </c>
      <c r="AH66" s="185">
        <v>293527</v>
      </c>
      <c r="AI66" s="185">
        <v>803</v>
      </c>
      <c r="AJ66" s="185">
        <v>87389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10508</v>
      </c>
      <c r="AZ66" s="185"/>
      <c r="BA66" s="185">
        <v>3246</v>
      </c>
      <c r="BB66" s="185"/>
      <c r="BC66" s="185">
        <v>1379</v>
      </c>
      <c r="BD66" s="185">
        <v>16540</v>
      </c>
      <c r="BE66" s="185">
        <v>385390</v>
      </c>
      <c r="BF66" s="185">
        <v>5216</v>
      </c>
      <c r="BG66" s="185">
        <v>298539</v>
      </c>
      <c r="BH66" s="185">
        <f>94965+1118637-46696</f>
        <v>1166906</v>
      </c>
      <c r="BI66" s="185"/>
      <c r="BJ66" s="185">
        <v>3259</v>
      </c>
      <c r="BK66" s="185">
        <v>46563</v>
      </c>
      <c r="BL66" s="185">
        <v>2005</v>
      </c>
      <c r="BM66" s="185"/>
      <c r="BN66" s="185">
        <f>230995+8634+9698</f>
        <v>249327</v>
      </c>
      <c r="BO66" s="185">
        <v>6010</v>
      </c>
      <c r="BP66" s="185"/>
      <c r="BQ66" s="185">
        <v>391</v>
      </c>
      <c r="BR66" s="185">
        <v>33855</v>
      </c>
      <c r="BS66" s="185">
        <v>7726</v>
      </c>
      <c r="BT66" s="185"/>
      <c r="BU66" s="185"/>
      <c r="BV66" s="185">
        <v>24348</v>
      </c>
      <c r="BW66" s="185"/>
      <c r="BX66" s="185">
        <v>57916</v>
      </c>
      <c r="BY66" s="185">
        <v>38312</v>
      </c>
      <c r="BZ66" s="185"/>
      <c r="CA66" s="185"/>
      <c r="CB66" s="185">
        <v>540</v>
      </c>
      <c r="CC66" s="185">
        <f>73+9653+31717+18964+176669-10311-208801+417602</f>
        <v>435566</v>
      </c>
      <c r="CD66" s="249" t="s">
        <v>221</v>
      </c>
      <c r="CE66" s="195">
        <f t="shared" si="0"/>
        <v>4199687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293612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20756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16864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39286</v>
      </c>
      <c r="Z67" s="195">
        <f t="shared" si="3"/>
        <v>0</v>
      </c>
      <c r="AA67" s="195">
        <f t="shared" si="3"/>
        <v>0</v>
      </c>
      <c r="AB67" s="195">
        <f t="shared" si="3"/>
        <v>7976</v>
      </c>
      <c r="AC67" s="195">
        <f t="shared" si="3"/>
        <v>15887</v>
      </c>
      <c r="AD67" s="195">
        <f t="shared" si="3"/>
        <v>0</v>
      </c>
      <c r="AE67" s="195">
        <f t="shared" si="3"/>
        <v>45260</v>
      </c>
      <c r="AF67" s="195">
        <f t="shared" si="3"/>
        <v>0</v>
      </c>
      <c r="AG67" s="195">
        <f t="shared" si="3"/>
        <v>56663</v>
      </c>
      <c r="AH67" s="195">
        <f t="shared" si="3"/>
        <v>0</v>
      </c>
      <c r="AI67" s="195">
        <f t="shared" si="3"/>
        <v>0</v>
      </c>
      <c r="AJ67" s="195">
        <f t="shared" si="3"/>
        <v>129277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53059</v>
      </c>
      <c r="AW67" s="195">
        <f t="shared" si="3"/>
        <v>0</v>
      </c>
      <c r="AX67" s="195">
        <f t="shared" si="3"/>
        <v>0</v>
      </c>
      <c r="AY67" s="195">
        <f t="shared" si="3"/>
        <v>45100</v>
      </c>
      <c r="AZ67" s="195">
        <f>ROUND(AZ51+AZ52,0)</f>
        <v>0</v>
      </c>
      <c r="BA67" s="195">
        <f>ROUND(BA51+BA52,0)</f>
        <v>10842</v>
      </c>
      <c r="BB67" s="195">
        <f t="shared" si="3"/>
        <v>0</v>
      </c>
      <c r="BC67" s="195">
        <f t="shared" si="3"/>
        <v>0</v>
      </c>
      <c r="BD67" s="195">
        <f t="shared" si="3"/>
        <v>12076</v>
      </c>
      <c r="BE67" s="195">
        <f t="shared" si="3"/>
        <v>388119</v>
      </c>
      <c r="BF67" s="195">
        <f t="shared" si="3"/>
        <v>6390</v>
      </c>
      <c r="BG67" s="195">
        <f t="shared" si="3"/>
        <v>7303</v>
      </c>
      <c r="BH67" s="195">
        <f t="shared" si="3"/>
        <v>1281</v>
      </c>
      <c r="BI67" s="195">
        <f t="shared" si="3"/>
        <v>0</v>
      </c>
      <c r="BJ67" s="195">
        <f t="shared" si="3"/>
        <v>21941</v>
      </c>
      <c r="BK67" s="195">
        <f t="shared" si="3"/>
        <v>21941</v>
      </c>
      <c r="BL67" s="195">
        <f t="shared" si="3"/>
        <v>9866</v>
      </c>
      <c r="BM67" s="195">
        <f t="shared" si="3"/>
        <v>0</v>
      </c>
      <c r="BN67" s="195">
        <f t="shared" si="3"/>
        <v>14270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9001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18162</v>
      </c>
      <c r="BW67" s="195">
        <f t="shared" si="4"/>
        <v>0</v>
      </c>
      <c r="BX67" s="195">
        <f t="shared" si="4"/>
        <v>0</v>
      </c>
      <c r="BY67" s="195">
        <f t="shared" si="4"/>
        <v>11323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1256255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100375</v>
      </c>
      <c r="Q68" s="185"/>
      <c r="R68" s="185"/>
      <c r="S68" s="185"/>
      <c r="T68" s="185"/>
      <c r="U68" s="185">
        <v>38992</v>
      </c>
      <c r="V68" s="185"/>
      <c r="W68" s="185"/>
      <c r="X68" s="185"/>
      <c r="Y68" s="185"/>
      <c r="Z68" s="185"/>
      <c r="AA68" s="185"/>
      <c r="AB68" s="185">
        <v>44215</v>
      </c>
      <c r="AC68" s="185">
        <v>12427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>
        <v>46696</v>
      </c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10311</v>
      </c>
      <c r="CD68" s="249" t="s">
        <v>221</v>
      </c>
      <c r="CE68" s="195">
        <f t="shared" si="0"/>
        <v>253016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42317</v>
      </c>
      <c r="Q69" s="185"/>
      <c r="R69" s="224">
        <v>3052</v>
      </c>
      <c r="S69" s="185"/>
      <c r="T69" s="184"/>
      <c r="U69" s="185">
        <v>3281</v>
      </c>
      <c r="V69" s="185"/>
      <c r="W69" s="184"/>
      <c r="X69" s="185"/>
      <c r="Y69" s="185"/>
      <c r="Z69" s="185"/>
      <c r="AA69" s="185"/>
      <c r="AB69" s="185">
        <v>3612</v>
      </c>
      <c r="AC69" s="185"/>
      <c r="AD69" s="185"/>
      <c r="AE69" s="185">
        <v>500</v>
      </c>
      <c r="AF69" s="185"/>
      <c r="AG69" s="185">
        <v>150</v>
      </c>
      <c r="AH69" s="185"/>
      <c r="AI69" s="185"/>
      <c r="AJ69" s="185">
        <v>21544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7165</v>
      </c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>
        <f>225402+426765</f>
        <v>652167</v>
      </c>
      <c r="BO69" s="185">
        <v>30161</v>
      </c>
      <c r="BP69" s="185"/>
      <c r="BQ69" s="185"/>
      <c r="BR69" s="185">
        <v>53597</v>
      </c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>
        <f>414760-44215-199083</f>
        <v>171462</v>
      </c>
      <c r="CD69" s="188"/>
      <c r="CE69" s="195">
        <f t="shared" si="0"/>
        <v>989008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2286048</v>
      </c>
      <c r="CD70" s="188"/>
      <c r="CE70" s="195">
        <f t="shared" si="0"/>
        <v>2286048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3680364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99135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813848</v>
      </c>
      <c r="Q71" s="195">
        <f t="shared" si="5"/>
        <v>0</v>
      </c>
      <c r="R71" s="195">
        <f t="shared" si="5"/>
        <v>538778</v>
      </c>
      <c r="S71" s="195">
        <f t="shared" si="5"/>
        <v>588292</v>
      </c>
      <c r="T71" s="195">
        <f t="shared" si="5"/>
        <v>0</v>
      </c>
      <c r="U71" s="195">
        <f t="shared" si="5"/>
        <v>1697096</v>
      </c>
      <c r="V71" s="195">
        <f t="shared" si="5"/>
        <v>0</v>
      </c>
      <c r="W71" s="195">
        <f t="shared" si="5"/>
        <v>164618</v>
      </c>
      <c r="X71" s="195">
        <f t="shared" si="5"/>
        <v>51816</v>
      </c>
      <c r="Y71" s="195">
        <f t="shared" si="5"/>
        <v>1193107</v>
      </c>
      <c r="Z71" s="195">
        <f t="shared" si="5"/>
        <v>0</v>
      </c>
      <c r="AA71" s="195">
        <f t="shared" si="5"/>
        <v>0</v>
      </c>
      <c r="AB71" s="195">
        <f t="shared" si="5"/>
        <v>1023278</v>
      </c>
      <c r="AC71" s="195">
        <f t="shared" si="5"/>
        <v>428737</v>
      </c>
      <c r="AD71" s="195">
        <f t="shared" si="5"/>
        <v>0</v>
      </c>
      <c r="AE71" s="195">
        <f t="shared" si="5"/>
        <v>1202720</v>
      </c>
      <c r="AF71" s="195">
        <f t="shared" si="5"/>
        <v>0</v>
      </c>
      <c r="AG71" s="195">
        <f t="shared" si="5"/>
        <v>3193684</v>
      </c>
      <c r="AH71" s="195">
        <f t="shared" si="5"/>
        <v>293527</v>
      </c>
      <c r="AI71" s="195">
        <f t="shared" si="5"/>
        <v>22228</v>
      </c>
      <c r="AJ71" s="195">
        <f t="shared" ref="AJ71:BO71" si="6">SUM(AJ61:AJ69)-AJ70</f>
        <v>5588844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53059</v>
      </c>
      <c r="AW71" s="195">
        <f t="shared" si="6"/>
        <v>0</v>
      </c>
      <c r="AX71" s="195">
        <f t="shared" si="6"/>
        <v>0</v>
      </c>
      <c r="AY71" s="195">
        <f t="shared" si="6"/>
        <v>795896</v>
      </c>
      <c r="AZ71" s="195">
        <f t="shared" si="6"/>
        <v>0</v>
      </c>
      <c r="BA71" s="195">
        <f t="shared" si="6"/>
        <v>114785</v>
      </c>
      <c r="BB71" s="195">
        <f t="shared" si="6"/>
        <v>0</v>
      </c>
      <c r="BC71" s="195">
        <f t="shared" si="6"/>
        <v>51868</v>
      </c>
      <c r="BD71" s="195">
        <f t="shared" si="6"/>
        <v>157241</v>
      </c>
      <c r="BE71" s="195">
        <f t="shared" si="6"/>
        <v>1727356</v>
      </c>
      <c r="BF71" s="195">
        <f t="shared" si="6"/>
        <v>558141</v>
      </c>
      <c r="BG71" s="195">
        <f t="shared" si="6"/>
        <v>435956</v>
      </c>
      <c r="BH71" s="195">
        <f t="shared" si="6"/>
        <v>1996851</v>
      </c>
      <c r="BI71" s="195">
        <f t="shared" si="6"/>
        <v>0</v>
      </c>
      <c r="BJ71" s="195">
        <f t="shared" si="6"/>
        <v>379921</v>
      </c>
      <c r="BK71" s="195">
        <f t="shared" si="6"/>
        <v>1047173</v>
      </c>
      <c r="BL71" s="195">
        <f t="shared" si="6"/>
        <v>556842</v>
      </c>
      <c r="BM71" s="195">
        <f t="shared" si="6"/>
        <v>0</v>
      </c>
      <c r="BN71" s="195">
        <f t="shared" si="6"/>
        <v>1933386</v>
      </c>
      <c r="BO71" s="195">
        <f t="shared" si="6"/>
        <v>117544</v>
      </c>
      <c r="BP71" s="195">
        <f t="shared" ref="BP71:CC71" si="7">SUM(BP61:BP69)-BP70</f>
        <v>0</v>
      </c>
      <c r="BQ71" s="195">
        <f t="shared" si="7"/>
        <v>5851</v>
      </c>
      <c r="BR71" s="195">
        <f t="shared" si="7"/>
        <v>571114</v>
      </c>
      <c r="BS71" s="195">
        <f t="shared" si="7"/>
        <v>20941</v>
      </c>
      <c r="BT71" s="195">
        <f t="shared" si="7"/>
        <v>0</v>
      </c>
      <c r="BU71" s="195">
        <f t="shared" si="7"/>
        <v>0</v>
      </c>
      <c r="BV71" s="195">
        <f t="shared" si="7"/>
        <v>234546</v>
      </c>
      <c r="BW71" s="195">
        <f t="shared" si="7"/>
        <v>0</v>
      </c>
      <c r="BX71" s="195">
        <f t="shared" si="7"/>
        <v>209888</v>
      </c>
      <c r="BY71" s="195">
        <f t="shared" si="7"/>
        <v>648904</v>
      </c>
      <c r="BZ71" s="195">
        <f t="shared" si="7"/>
        <v>0</v>
      </c>
      <c r="CA71" s="195">
        <f t="shared" si="7"/>
        <v>0</v>
      </c>
      <c r="CB71" s="195">
        <f t="shared" si="7"/>
        <v>615</v>
      </c>
      <c r="CC71" s="195">
        <f t="shared" si="7"/>
        <v>-741562</v>
      </c>
      <c r="CD71" s="245">
        <f>CD69-CD70</f>
        <v>0</v>
      </c>
      <c r="CE71" s="195">
        <f>SUM(CE61:CE69)-CE70</f>
        <v>31456388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2161271</v>
      </c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>
        <f>3258864+207499+66338</f>
        <v>3532701</v>
      </c>
      <c r="F73" s="185"/>
      <c r="G73" s="184"/>
      <c r="H73" s="184"/>
      <c r="I73" s="185"/>
      <c r="J73" s="185"/>
      <c r="K73" s="185">
        <v>1400686</v>
      </c>
      <c r="L73" s="185"/>
      <c r="M73" s="184"/>
      <c r="N73" s="184"/>
      <c r="O73" s="184"/>
      <c r="P73" s="185">
        <v>259583</v>
      </c>
      <c r="Q73" s="185">
        <v>10116</v>
      </c>
      <c r="R73" s="185">
        <v>37337</v>
      </c>
      <c r="S73" s="185">
        <f>483+9624</f>
        <v>10107</v>
      </c>
      <c r="T73" s="185"/>
      <c r="U73" s="185">
        <v>562637</v>
      </c>
      <c r="V73" s="185"/>
      <c r="W73" s="185">
        <v>14727</v>
      </c>
      <c r="X73" s="185">
        <v>237218</v>
      </c>
      <c r="Y73" s="185">
        <f>79203+37806+19219</f>
        <v>136228</v>
      </c>
      <c r="Z73" s="185"/>
      <c r="AA73" s="185"/>
      <c r="AB73" s="185">
        <v>1267767</v>
      </c>
      <c r="AC73" s="185">
        <v>287121</v>
      </c>
      <c r="AD73" s="185"/>
      <c r="AE73" s="185">
        <v>494245</v>
      </c>
      <c r="AF73" s="185"/>
      <c r="AG73" s="185">
        <v>304592</v>
      </c>
      <c r="AH73" s="185"/>
      <c r="AI73" s="185">
        <v>17212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8572277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>
        <f>1780729+136657</f>
        <v>1917386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1822207</v>
      </c>
      <c r="Q74" s="185">
        <v>58831</v>
      </c>
      <c r="R74" s="185">
        <v>489368</v>
      </c>
      <c r="S74" s="185">
        <f>420304+408508+312300</f>
        <v>1141112</v>
      </c>
      <c r="T74" s="185"/>
      <c r="U74" s="185">
        <v>5366804</v>
      </c>
      <c r="V74" s="185"/>
      <c r="W74" s="185">
        <v>653752</v>
      </c>
      <c r="X74" s="185">
        <v>4195554</v>
      </c>
      <c r="Y74" s="185">
        <f>1767690+412807+485559+516711+177705</f>
        <v>3360472</v>
      </c>
      <c r="Z74" s="185"/>
      <c r="AA74" s="185"/>
      <c r="AB74" s="185">
        <v>1924932</v>
      </c>
      <c r="AC74" s="185">
        <v>676198</v>
      </c>
      <c r="AD74" s="185"/>
      <c r="AE74" s="185">
        <v>2380438</v>
      </c>
      <c r="AF74" s="185"/>
      <c r="AG74" s="185">
        <f>7702634+26400+1336490+331747</f>
        <v>9397271</v>
      </c>
      <c r="AH74" s="185"/>
      <c r="AI74" s="185">
        <v>66256</v>
      </c>
      <c r="AJ74" s="185">
        <v>4598582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38049163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5450087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1400686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2081790</v>
      </c>
      <c r="Q75" s="195">
        <f t="shared" si="9"/>
        <v>68947</v>
      </c>
      <c r="R75" s="195">
        <f t="shared" si="9"/>
        <v>526705</v>
      </c>
      <c r="S75" s="195">
        <f t="shared" si="9"/>
        <v>1151219</v>
      </c>
      <c r="T75" s="195">
        <f t="shared" si="9"/>
        <v>0</v>
      </c>
      <c r="U75" s="195">
        <f t="shared" si="9"/>
        <v>5929441</v>
      </c>
      <c r="V75" s="195">
        <f t="shared" si="9"/>
        <v>0</v>
      </c>
      <c r="W75" s="195">
        <f t="shared" si="9"/>
        <v>668479</v>
      </c>
      <c r="X75" s="195">
        <f t="shared" si="9"/>
        <v>4432772</v>
      </c>
      <c r="Y75" s="195">
        <f t="shared" si="9"/>
        <v>3496700</v>
      </c>
      <c r="Z75" s="195">
        <f t="shared" si="9"/>
        <v>0</v>
      </c>
      <c r="AA75" s="195">
        <f t="shared" si="9"/>
        <v>0</v>
      </c>
      <c r="AB75" s="195">
        <f t="shared" si="9"/>
        <v>3192699</v>
      </c>
      <c r="AC75" s="195">
        <f t="shared" si="9"/>
        <v>963319</v>
      </c>
      <c r="AD75" s="195">
        <f t="shared" si="9"/>
        <v>0</v>
      </c>
      <c r="AE75" s="195">
        <f t="shared" si="9"/>
        <v>2874683</v>
      </c>
      <c r="AF75" s="195">
        <f t="shared" si="9"/>
        <v>0</v>
      </c>
      <c r="AG75" s="195">
        <f t="shared" si="9"/>
        <v>9701863</v>
      </c>
      <c r="AH75" s="195">
        <f t="shared" si="9"/>
        <v>0</v>
      </c>
      <c r="AI75" s="195">
        <f t="shared" si="9"/>
        <v>83468</v>
      </c>
      <c r="AJ75" s="195">
        <f t="shared" si="9"/>
        <v>4598582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46621440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>
        <v>18333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v>8072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456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249" t="s">
        <v>221</v>
      </c>
      <c r="CE76" s="195">
        <f t="shared" si="8"/>
        <v>78440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7100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18700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25800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>
        <v>4000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1000</v>
      </c>
      <c r="Q78" s="184"/>
      <c r="R78" s="184"/>
      <c r="S78" s="184"/>
      <c r="T78" s="184"/>
      <c r="U78" s="184">
        <v>1000</v>
      </c>
      <c r="V78" s="184"/>
      <c r="W78" s="184"/>
      <c r="X78" s="184"/>
      <c r="Y78" s="184">
        <v>2000</v>
      </c>
      <c r="Z78" s="184"/>
      <c r="AA78" s="184"/>
      <c r="AB78" s="184">
        <v>1000</v>
      </c>
      <c r="AC78" s="184"/>
      <c r="AD78" s="184"/>
      <c r="AE78" s="184">
        <v>1000</v>
      </c>
      <c r="AF78" s="184"/>
      <c r="AG78" s="184">
        <v>2000</v>
      </c>
      <c r="AH78" s="184"/>
      <c r="AI78" s="184"/>
      <c r="AJ78" s="184">
        <v>2000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14000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>
        <v>46000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9000</v>
      </c>
      <c r="Q79" s="184"/>
      <c r="R79" s="184"/>
      <c r="S79" s="184"/>
      <c r="T79" s="184"/>
      <c r="U79" s="184"/>
      <c r="V79" s="184"/>
      <c r="W79" s="184"/>
      <c r="X79" s="184"/>
      <c r="Y79" s="184">
        <v>7000</v>
      </c>
      <c r="Z79" s="184"/>
      <c r="AA79" s="184"/>
      <c r="AB79" s="184"/>
      <c r="AC79" s="184"/>
      <c r="AD79" s="184"/>
      <c r="AE79" s="184"/>
      <c r="AF79" s="184"/>
      <c r="AG79" s="184">
        <v>31000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93000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v>24</v>
      </c>
      <c r="F80" s="187"/>
      <c r="G80" s="187"/>
      <c r="H80" s="187"/>
      <c r="I80" s="187"/>
      <c r="J80" s="187"/>
      <c r="K80" s="187">
        <v>4</v>
      </c>
      <c r="L80" s="187"/>
      <c r="M80" s="187"/>
      <c r="N80" s="187"/>
      <c r="O80" s="187"/>
      <c r="P80" s="187">
        <v>4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32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2" t="s">
        <v>1279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14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0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1280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315" t="s">
        <v>1278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195</v>
      </c>
      <c r="D111" s="174">
        <v>803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v>78</v>
      </c>
      <c r="D112" s="174">
        <v>1343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10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15</v>
      </c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1780729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135</v>
      </c>
      <c r="C138" s="189">
        <v>25</v>
      </c>
      <c r="D138" s="174">
        <v>35</v>
      </c>
      <c r="E138" s="175">
        <f>SUM(B138:D138)</f>
        <v>195</v>
      </c>
    </row>
    <row r="139" spans="1:6" ht="12.65" customHeight="1" x14ac:dyDescent="0.3">
      <c r="A139" s="173" t="s">
        <v>215</v>
      </c>
      <c r="B139" s="174">
        <v>532</v>
      </c>
      <c r="C139" s="189">
        <v>70</v>
      </c>
      <c r="D139" s="174">
        <v>201</v>
      </c>
      <c r="E139" s="175">
        <f>SUM(B139:D139)</f>
        <v>803</v>
      </c>
    </row>
    <row r="140" spans="1:6" ht="12.65" customHeight="1" x14ac:dyDescent="0.3">
      <c r="A140" s="173" t="s">
        <v>298</v>
      </c>
      <c r="B140" s="174">
        <v>10955</v>
      </c>
      <c r="C140" s="174">
        <v>4058</v>
      </c>
      <c r="D140" s="174">
        <v>5275</v>
      </c>
      <c r="E140" s="175">
        <f>SUM(B140:D140)</f>
        <v>20288</v>
      </c>
    </row>
    <row r="141" spans="1:6" ht="12.65" customHeight="1" x14ac:dyDescent="0.3">
      <c r="A141" s="173" t="s">
        <v>245</v>
      </c>
      <c r="B141" s="174">
        <v>3642250</v>
      </c>
      <c r="C141" s="189">
        <v>617903</v>
      </c>
      <c r="D141" s="174">
        <v>1510742</v>
      </c>
      <c r="E141" s="175">
        <f>SUM(B141:D141)</f>
        <v>5770895</v>
      </c>
      <c r="F141" s="199"/>
    </row>
    <row r="142" spans="1:6" ht="12.65" customHeight="1" x14ac:dyDescent="0.3">
      <c r="A142" s="173" t="s">
        <v>246</v>
      </c>
      <c r="B142" s="174">
        <v>20546548</v>
      </c>
      <c r="C142" s="189">
        <v>7609832</v>
      </c>
      <c r="D142" s="174">
        <f>8726266+1166516</f>
        <v>9892782</v>
      </c>
      <c r="E142" s="175">
        <f>SUM(B142:D142)</f>
        <v>38049162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63</v>
      </c>
      <c r="C144" s="189">
        <v>8</v>
      </c>
      <c r="D144" s="174">
        <v>7</v>
      </c>
      <c r="E144" s="175">
        <f>SUM(B144:D144)</f>
        <v>78</v>
      </c>
    </row>
    <row r="145" spans="1:5" ht="12.65" customHeight="1" x14ac:dyDescent="0.3">
      <c r="A145" s="173" t="s">
        <v>215</v>
      </c>
      <c r="B145" s="174">
        <v>979</v>
      </c>
      <c r="C145" s="189">
        <v>223</v>
      </c>
      <c r="D145" s="174">
        <v>141</v>
      </c>
      <c r="E145" s="175">
        <f>SUM(B145:D145)</f>
        <v>1343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v>1512746</v>
      </c>
      <c r="C147" s="189">
        <v>560276</v>
      </c>
      <c r="D147" s="174">
        <v>728360</v>
      </c>
      <c r="E147" s="175">
        <f>SUM(B147:D147)</f>
        <v>2801382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2233751</v>
      </c>
      <c r="C157" s="174">
        <v>2217222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1130272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-102884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277356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1966789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116318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571382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184530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4143763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253016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253016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110493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136454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246947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9793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282760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>
        <v>22744</v>
      </c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315297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426765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426765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998600</v>
      </c>
      <c r="C195" s="189"/>
      <c r="D195" s="174"/>
      <c r="E195" s="175">
        <f t="shared" ref="E195:E203" si="10">SUM(B195:C195)-D195</f>
        <v>998600</v>
      </c>
    </row>
    <row r="196" spans="1:8" ht="12.65" customHeight="1" x14ac:dyDescent="0.3">
      <c r="A196" s="173" t="s">
        <v>333</v>
      </c>
      <c r="B196" s="174">
        <v>1426739</v>
      </c>
      <c r="C196" s="189"/>
      <c r="D196" s="174"/>
      <c r="E196" s="175">
        <f t="shared" si="10"/>
        <v>1426739</v>
      </c>
    </row>
    <row r="197" spans="1:8" ht="12.65" customHeight="1" x14ac:dyDescent="0.3">
      <c r="A197" s="173" t="s">
        <v>334</v>
      </c>
      <c r="B197" s="174">
        <v>17436121</v>
      </c>
      <c r="C197" s="189">
        <v>3249854</v>
      </c>
      <c r="D197" s="174"/>
      <c r="E197" s="175">
        <f t="shared" si="10"/>
        <v>20685975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2677876</v>
      </c>
      <c r="C199" s="189"/>
      <c r="D199" s="174">
        <v>63456</v>
      </c>
      <c r="E199" s="175">
        <f t="shared" si="10"/>
        <v>2614420</v>
      </c>
    </row>
    <row r="200" spans="1:8" ht="12.65" customHeight="1" x14ac:dyDescent="0.3">
      <c r="A200" s="173" t="s">
        <v>337</v>
      </c>
      <c r="B200" s="174">
        <v>8189866</v>
      </c>
      <c r="C200" s="189">
        <v>659844</v>
      </c>
      <c r="D200" s="174"/>
      <c r="E200" s="175">
        <f t="shared" si="10"/>
        <v>8849710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492571</v>
      </c>
      <c r="C203" s="189"/>
      <c r="D203" s="174">
        <v>380237</v>
      </c>
      <c r="E203" s="175">
        <f t="shared" si="10"/>
        <v>112334</v>
      </c>
    </row>
    <row r="204" spans="1:8" ht="12.65" customHeight="1" x14ac:dyDescent="0.3">
      <c r="A204" s="173" t="s">
        <v>203</v>
      </c>
      <c r="B204" s="175">
        <f>SUM(B195:B203)</f>
        <v>31221773</v>
      </c>
      <c r="C204" s="191">
        <f>SUM(C195:C203)</f>
        <v>3909698</v>
      </c>
      <c r="D204" s="175">
        <f>SUM(D195:D203)</f>
        <v>443693</v>
      </c>
      <c r="E204" s="175">
        <f>SUM(E195:E203)</f>
        <v>34687778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1111492</v>
      </c>
      <c r="C209" s="189">
        <v>47904</v>
      </c>
      <c r="D209" s="174"/>
      <c r="E209" s="175">
        <f t="shared" ref="E209:E216" si="11">SUM(B209:C209)-D209</f>
        <v>1159396</v>
      </c>
      <c r="H209" s="259"/>
    </row>
    <row r="210" spans="1:8" ht="12.65" customHeight="1" x14ac:dyDescent="0.3">
      <c r="A210" s="173" t="s">
        <v>334</v>
      </c>
      <c r="B210" s="174">
        <v>12459420</v>
      </c>
      <c r="C210" s="189">
        <f>504298+84493</f>
        <v>588791</v>
      </c>
      <c r="D210" s="174"/>
      <c r="E210" s="175">
        <f t="shared" si="11"/>
        <v>13048211</v>
      </c>
      <c r="H210" s="259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1837991</v>
      </c>
      <c r="C212" s="189">
        <v>48966</v>
      </c>
      <c r="D212" s="174"/>
      <c r="E212" s="175">
        <f t="shared" si="11"/>
        <v>1886957</v>
      </c>
      <c r="H212" s="259"/>
    </row>
    <row r="213" spans="1:8" ht="12.65" customHeight="1" x14ac:dyDescent="0.3">
      <c r="A213" s="173" t="s">
        <v>337</v>
      </c>
      <c r="B213" s="174">
        <v>6896571</v>
      </c>
      <c r="C213" s="189">
        <v>191291</v>
      </c>
      <c r="D213" s="174"/>
      <c r="E213" s="175">
        <f t="shared" si="11"/>
        <v>7087862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22305474</v>
      </c>
      <c r="C217" s="191">
        <f>SUM(C208:C216)</f>
        <v>876952</v>
      </c>
      <c r="D217" s="175">
        <f>SUM(D208:D216)</f>
        <v>0</v>
      </c>
      <c r="E217" s="175">
        <f>SUM(E208:E216)</f>
        <v>23182426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0" t="s">
        <v>1254</v>
      </c>
      <c r="C220" s="340"/>
      <c r="D220" s="208"/>
      <c r="E220" s="208"/>
    </row>
    <row r="221" spans="1:8" ht="12.65" customHeight="1" x14ac:dyDescent="0.3">
      <c r="A221" s="271" t="s">
        <v>1254</v>
      </c>
      <c r="B221" s="208"/>
      <c r="C221" s="189">
        <v>653074</v>
      </c>
      <c r="D221" s="172">
        <f>C221</f>
        <v>653074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5684480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5132182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494176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4291010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15601848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417768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417768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598810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598810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17271500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11725277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6796889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2675536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>
        <v>74277</v>
      </c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44337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351873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299720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>
        <v>192811</v>
      </c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16809648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>
        <v>1593539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1593539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998600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1426739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f>16156743+4529232</f>
        <v>20685975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2614419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8849710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112334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34687777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23182426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11505351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29908538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 t="s">
        <v>1281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748429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f>1244266+784018</f>
        <v>2028284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5311870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f>1012150</f>
        <v>1012150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1366865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10467598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1566482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5029448+1366865</f>
        <v>6396313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7962795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1366865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6595930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12845010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29908538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29908538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8572277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33562562+4486601</f>
        <v>38049163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46621440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653074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16200658-598810</f>
        <v>15601848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417768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598810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17271500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29349940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2286048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2161271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4447319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33797259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18707786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4143763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1380397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f>2340300-9718</f>
        <v>2330582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481941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4199687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1256255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253016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246947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315297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426765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0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33742436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54823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2634456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2689279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2689279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Arbor Health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195</v>
      </c>
      <c r="C414" s="194">
        <f>E138</f>
        <v>195</v>
      </c>
      <c r="D414" s="179"/>
    </row>
    <row r="415" spans="1:5" ht="12.65" customHeight="1" x14ac:dyDescent="0.3">
      <c r="A415" s="179" t="s">
        <v>464</v>
      </c>
      <c r="B415" s="179">
        <f>D111</f>
        <v>803</v>
      </c>
      <c r="C415" s="179">
        <f>E139</f>
        <v>803</v>
      </c>
      <c r="D415" s="194">
        <f>SUM(C59:H59)+N59</f>
        <v>803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78</v>
      </c>
      <c r="C417" s="194">
        <f>E144</f>
        <v>78</v>
      </c>
      <c r="D417" s="179"/>
    </row>
    <row r="418" spans="1:7" ht="12.65" customHeight="1" x14ac:dyDescent="0.3">
      <c r="A418" s="179" t="s">
        <v>466</v>
      </c>
      <c r="B418" s="179">
        <f>D112</f>
        <v>1343</v>
      </c>
      <c r="C418" s="179">
        <f>E145</f>
        <v>1343</v>
      </c>
      <c r="D418" s="179">
        <f>K59+L59</f>
        <v>1343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18707786</v>
      </c>
      <c r="C427" s="179">
        <f t="shared" ref="C427:C434" si="13">CE61</f>
        <v>18707786</v>
      </c>
      <c r="D427" s="179"/>
    </row>
    <row r="428" spans="1:7" ht="12.65" customHeight="1" x14ac:dyDescent="0.3">
      <c r="A428" s="179" t="s">
        <v>3</v>
      </c>
      <c r="B428" s="179">
        <f t="shared" si="12"/>
        <v>4143763</v>
      </c>
      <c r="C428" s="179">
        <f t="shared" si="13"/>
        <v>4143764</v>
      </c>
      <c r="D428" s="179">
        <f>D173</f>
        <v>4143763</v>
      </c>
    </row>
    <row r="429" spans="1:7" ht="12.65" customHeight="1" x14ac:dyDescent="0.3">
      <c r="A429" s="179" t="s">
        <v>236</v>
      </c>
      <c r="B429" s="179">
        <f t="shared" si="12"/>
        <v>1380397</v>
      </c>
      <c r="C429" s="179">
        <f t="shared" si="13"/>
        <v>1380397</v>
      </c>
      <c r="D429" s="179"/>
    </row>
    <row r="430" spans="1:7" ht="12.65" customHeight="1" x14ac:dyDescent="0.3">
      <c r="A430" s="179" t="s">
        <v>237</v>
      </c>
      <c r="B430" s="179">
        <f t="shared" si="12"/>
        <v>2330582</v>
      </c>
      <c r="C430" s="179">
        <f t="shared" si="13"/>
        <v>2330582</v>
      </c>
      <c r="D430" s="179"/>
    </row>
    <row r="431" spans="1:7" ht="12.65" customHeight="1" x14ac:dyDescent="0.3">
      <c r="A431" s="179" t="s">
        <v>444</v>
      </c>
      <c r="B431" s="179">
        <f t="shared" si="12"/>
        <v>481941</v>
      </c>
      <c r="C431" s="179">
        <f t="shared" si="13"/>
        <v>481941</v>
      </c>
      <c r="D431" s="179"/>
    </row>
    <row r="432" spans="1:7" ht="12.65" customHeight="1" x14ac:dyDescent="0.3">
      <c r="A432" s="179" t="s">
        <v>445</v>
      </c>
      <c r="B432" s="179">
        <f t="shared" si="12"/>
        <v>4199687</v>
      </c>
      <c r="C432" s="179">
        <f t="shared" si="13"/>
        <v>4199687</v>
      </c>
      <c r="D432" s="179"/>
    </row>
    <row r="433" spans="1:7" ht="12.65" customHeight="1" x14ac:dyDescent="0.3">
      <c r="A433" s="179" t="s">
        <v>6</v>
      </c>
      <c r="B433" s="179">
        <f t="shared" si="12"/>
        <v>1256255</v>
      </c>
      <c r="C433" s="179">
        <f t="shared" si="13"/>
        <v>1256255</v>
      </c>
      <c r="D433" s="179">
        <f>C217</f>
        <v>876952</v>
      </c>
    </row>
    <row r="434" spans="1:7" ht="12.65" customHeight="1" x14ac:dyDescent="0.3">
      <c r="A434" s="179" t="s">
        <v>474</v>
      </c>
      <c r="B434" s="179">
        <f t="shared" si="12"/>
        <v>253016</v>
      </c>
      <c r="C434" s="179">
        <f t="shared" si="13"/>
        <v>253016</v>
      </c>
      <c r="D434" s="179">
        <f>D177</f>
        <v>253016</v>
      </c>
    </row>
    <row r="435" spans="1:7" ht="12.65" customHeight="1" x14ac:dyDescent="0.3">
      <c r="A435" s="179" t="s">
        <v>447</v>
      </c>
      <c r="B435" s="179">
        <f t="shared" si="12"/>
        <v>246947</v>
      </c>
      <c r="C435" s="179"/>
      <c r="D435" s="179">
        <f>D181</f>
        <v>246947</v>
      </c>
    </row>
    <row r="436" spans="1:7" ht="12.65" customHeight="1" x14ac:dyDescent="0.3">
      <c r="A436" s="179" t="s">
        <v>475</v>
      </c>
      <c r="B436" s="179">
        <f t="shared" si="12"/>
        <v>315297</v>
      </c>
      <c r="C436" s="179"/>
      <c r="D436" s="179">
        <f>D186</f>
        <v>315297</v>
      </c>
    </row>
    <row r="437" spans="1:7" ht="12.65" customHeight="1" x14ac:dyDescent="0.3">
      <c r="A437" s="194" t="s">
        <v>449</v>
      </c>
      <c r="B437" s="194">
        <f t="shared" si="12"/>
        <v>426765</v>
      </c>
      <c r="C437" s="194"/>
      <c r="D437" s="194">
        <f>D190</f>
        <v>426765</v>
      </c>
    </row>
    <row r="438" spans="1:7" ht="12.65" customHeight="1" x14ac:dyDescent="0.3">
      <c r="A438" s="194" t="s">
        <v>476</v>
      </c>
      <c r="B438" s="194">
        <f>C386+C387+C388</f>
        <v>989009</v>
      </c>
      <c r="C438" s="194">
        <f>CD69</f>
        <v>0</v>
      </c>
      <c r="D438" s="194">
        <f>D181+D186+D190</f>
        <v>989009</v>
      </c>
    </row>
    <row r="439" spans="1:7" ht="12.65" customHeight="1" x14ac:dyDescent="0.3">
      <c r="A439" s="179" t="s">
        <v>451</v>
      </c>
      <c r="B439" s="194">
        <f>C389</f>
        <v>0</v>
      </c>
      <c r="C439" s="194">
        <f>SUM(C69:CC69)</f>
        <v>989008</v>
      </c>
      <c r="D439" s="179"/>
    </row>
    <row r="440" spans="1:7" ht="12.65" customHeight="1" x14ac:dyDescent="0.3">
      <c r="A440" s="179" t="s">
        <v>477</v>
      </c>
      <c r="B440" s="194">
        <f>B438+B439</f>
        <v>989009</v>
      </c>
      <c r="C440" s="194">
        <f>CE69</f>
        <v>989008</v>
      </c>
      <c r="D440" s="179"/>
    </row>
    <row r="441" spans="1:7" ht="12.65" customHeight="1" x14ac:dyDescent="0.3">
      <c r="A441" s="179" t="s">
        <v>478</v>
      </c>
      <c r="B441" s="179">
        <f>D390</f>
        <v>33742436</v>
      </c>
      <c r="C441" s="179">
        <f>SUM(C427:C437)+C440</f>
        <v>33742436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653074</v>
      </c>
      <c r="C444" s="179">
        <f>C363</f>
        <v>653074</v>
      </c>
      <c r="D444" s="179"/>
    </row>
    <row r="445" spans="1:7" ht="12.65" customHeight="1" x14ac:dyDescent="0.3">
      <c r="A445" s="179" t="s">
        <v>343</v>
      </c>
      <c r="B445" s="179">
        <f>D229</f>
        <v>15601848</v>
      </c>
      <c r="C445" s="179">
        <f>C364</f>
        <v>15601848</v>
      </c>
      <c r="D445" s="179"/>
    </row>
    <row r="446" spans="1:7" ht="12.65" customHeight="1" x14ac:dyDescent="0.3">
      <c r="A446" s="179" t="s">
        <v>351</v>
      </c>
      <c r="B446" s="179">
        <f>D236</f>
        <v>417768</v>
      </c>
      <c r="C446" s="179">
        <f>C365</f>
        <v>417768</v>
      </c>
      <c r="D446" s="179"/>
    </row>
    <row r="447" spans="1:7" ht="12.65" customHeight="1" x14ac:dyDescent="0.3">
      <c r="A447" s="179" t="s">
        <v>356</v>
      </c>
      <c r="B447" s="179">
        <f>D240</f>
        <v>598810</v>
      </c>
      <c r="C447" s="179">
        <f>C366</f>
        <v>598810</v>
      </c>
      <c r="D447" s="179"/>
    </row>
    <row r="448" spans="1:7" ht="12.65" customHeight="1" x14ac:dyDescent="0.3">
      <c r="A448" s="179" t="s">
        <v>358</v>
      </c>
      <c r="B448" s="179">
        <f>D242</f>
        <v>17271500</v>
      </c>
      <c r="C448" s="179">
        <f>D367</f>
        <v>17271500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417768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2286048</v>
      </c>
      <c r="C458" s="194">
        <f>CE70</f>
        <v>2286048</v>
      </c>
      <c r="D458" s="194"/>
    </row>
    <row r="459" spans="1:7" ht="12.65" customHeight="1" x14ac:dyDescent="0.3">
      <c r="A459" s="179" t="s">
        <v>244</v>
      </c>
      <c r="B459" s="194">
        <f>C371</f>
        <v>2161271</v>
      </c>
      <c r="C459" s="194">
        <f>CE72</f>
        <v>2161271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8572277</v>
      </c>
      <c r="C463" s="194">
        <f>CE73</f>
        <v>8572277</v>
      </c>
      <c r="D463" s="194">
        <f>E141+E147+E153</f>
        <v>8572277</v>
      </c>
    </row>
    <row r="464" spans="1:7" ht="12.65" customHeight="1" x14ac:dyDescent="0.3">
      <c r="A464" s="179" t="s">
        <v>246</v>
      </c>
      <c r="B464" s="194">
        <f>C360</f>
        <v>38049163</v>
      </c>
      <c r="C464" s="194">
        <f>CE74</f>
        <v>38049163</v>
      </c>
      <c r="D464" s="194">
        <f>E142+E148+E154</f>
        <v>38049162</v>
      </c>
    </row>
    <row r="465" spans="1:7" ht="12.65" customHeight="1" x14ac:dyDescent="0.3">
      <c r="A465" s="179" t="s">
        <v>247</v>
      </c>
      <c r="B465" s="194">
        <f>D361</f>
        <v>46621440</v>
      </c>
      <c r="C465" s="194">
        <f>CE75</f>
        <v>46621440</v>
      </c>
      <c r="D465" s="194">
        <f>D463+D464</f>
        <v>46621439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998600</v>
      </c>
      <c r="C468" s="179">
        <f>E195</f>
        <v>998600</v>
      </c>
      <c r="D468" s="179"/>
    </row>
    <row r="469" spans="1:7" ht="12.65" customHeight="1" x14ac:dyDescent="0.3">
      <c r="A469" s="179" t="s">
        <v>333</v>
      </c>
      <c r="B469" s="179">
        <f t="shared" si="14"/>
        <v>1426739</v>
      </c>
      <c r="C469" s="179">
        <f>E196</f>
        <v>1426739</v>
      </c>
      <c r="D469" s="179"/>
    </row>
    <row r="470" spans="1:7" ht="12.65" customHeight="1" x14ac:dyDescent="0.3">
      <c r="A470" s="179" t="s">
        <v>334</v>
      </c>
      <c r="B470" s="179">
        <f t="shared" si="14"/>
        <v>20685975</v>
      </c>
      <c r="C470" s="179">
        <f>E197</f>
        <v>20685975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2614419</v>
      </c>
      <c r="C472" s="179">
        <f>E199</f>
        <v>2614420</v>
      </c>
      <c r="D472" s="179"/>
    </row>
    <row r="473" spans="1:7" ht="12.65" customHeight="1" x14ac:dyDescent="0.3">
      <c r="A473" s="179" t="s">
        <v>495</v>
      </c>
      <c r="B473" s="179">
        <f t="shared" si="14"/>
        <v>8849710</v>
      </c>
      <c r="C473" s="179">
        <f>SUM(E200:E201)</f>
        <v>8849710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112334</v>
      </c>
      <c r="C475" s="179">
        <f>E203</f>
        <v>112334</v>
      </c>
      <c r="D475" s="179"/>
    </row>
    <row r="476" spans="1:7" ht="12.65" customHeight="1" x14ac:dyDescent="0.3">
      <c r="A476" s="179" t="s">
        <v>203</v>
      </c>
      <c r="B476" s="179">
        <f>D275</f>
        <v>34687777</v>
      </c>
      <c r="C476" s="179">
        <f>E204</f>
        <v>34687778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23182426</v>
      </c>
      <c r="C478" s="179">
        <f>E217</f>
        <v>23182426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29908538</v>
      </c>
    </row>
    <row r="482" spans="1:12" ht="12.65" customHeight="1" x14ac:dyDescent="0.3">
      <c r="A482" s="180" t="s">
        <v>499</v>
      </c>
      <c r="C482" s="180">
        <f>D339</f>
        <v>29908538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173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3468317</v>
      </c>
      <c r="C498" s="240">
        <f>E71</f>
        <v>3680364</v>
      </c>
      <c r="D498" s="240">
        <f>'Prior Year'!E59</f>
        <v>517</v>
      </c>
      <c r="E498" s="180">
        <f>E59</f>
        <v>803</v>
      </c>
      <c r="F498" s="263">
        <f t="shared" si="15"/>
        <v>6708.5435203094776</v>
      </c>
      <c r="G498" s="263">
        <f t="shared" si="15"/>
        <v>4583.2677459526776</v>
      </c>
      <c r="H498" s="265">
        <f t="shared" si="16"/>
        <v>-0.31680136946607407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726343</v>
      </c>
      <c r="C504" s="240">
        <f>K71</f>
        <v>99135</v>
      </c>
      <c r="D504" s="240">
        <f>'Prior Year'!K59</f>
        <v>2467</v>
      </c>
      <c r="E504" s="180">
        <f>K59</f>
        <v>1343</v>
      </c>
      <c r="F504" s="263">
        <f t="shared" si="15"/>
        <v>294.42359140656669</v>
      </c>
      <c r="G504" s="263">
        <f t="shared" si="15"/>
        <v>73.816083395383473</v>
      </c>
      <c r="H504" s="265">
        <f t="shared" si="16"/>
        <v>-0.74928611174553761</v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716280</v>
      </c>
      <c r="C509" s="240">
        <f>P71</f>
        <v>813848</v>
      </c>
      <c r="D509" s="240">
        <f>'Prior Year'!P59</f>
        <v>15676</v>
      </c>
      <c r="E509" s="180">
        <f>P59</f>
        <v>17360</v>
      </c>
      <c r="F509" s="263">
        <f t="shared" si="15"/>
        <v>45.692778770094414</v>
      </c>
      <c r="G509" s="263">
        <f t="shared" si="15"/>
        <v>46.880645161290325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571292</v>
      </c>
      <c r="C511" s="240">
        <f>R71</f>
        <v>538778</v>
      </c>
      <c r="D511" s="240">
        <f>'Prior Year'!R59</f>
        <v>22263</v>
      </c>
      <c r="E511" s="180">
        <f>R59</f>
        <v>27138</v>
      </c>
      <c r="F511" s="263">
        <f t="shared" si="15"/>
        <v>25.661051969635718</v>
      </c>
      <c r="G511" s="263">
        <f t="shared" si="15"/>
        <v>19.85326847962267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0</v>
      </c>
      <c r="C512" s="240">
        <f>S71</f>
        <v>588292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1300660</v>
      </c>
      <c r="C514" s="240">
        <f>U71</f>
        <v>1697096</v>
      </c>
      <c r="D514" s="240">
        <f>'Prior Year'!U59</f>
        <v>44529</v>
      </c>
      <c r="E514" s="180">
        <f>U59</f>
        <v>52248</v>
      </c>
      <c r="F514" s="263">
        <f t="shared" si="17"/>
        <v>29.209279346044152</v>
      </c>
      <c r="G514" s="263">
        <f t="shared" si="17"/>
        <v>32.481549532996482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133706</v>
      </c>
      <c r="C516" s="240">
        <f>W71</f>
        <v>164618</v>
      </c>
      <c r="D516" s="240">
        <f>'Prior Year'!W59</f>
        <v>252</v>
      </c>
      <c r="E516" s="180">
        <f>W59</f>
        <v>357</v>
      </c>
      <c r="F516" s="263">
        <f t="shared" si="17"/>
        <v>530.57936507936506</v>
      </c>
      <c r="G516" s="263">
        <f t="shared" si="17"/>
        <v>461.11484593837537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235148</v>
      </c>
      <c r="C517" s="240">
        <f>X71</f>
        <v>51816</v>
      </c>
      <c r="D517" s="240">
        <f>'Prior Year'!X59</f>
        <v>1730</v>
      </c>
      <c r="E517" s="180">
        <f>X59</f>
        <v>1811</v>
      </c>
      <c r="F517" s="263">
        <f t="shared" si="17"/>
        <v>135.92369942196532</v>
      </c>
      <c r="G517" s="263">
        <f t="shared" si="17"/>
        <v>28.611816675869687</v>
      </c>
      <c r="H517" s="265">
        <f t="shared" si="16"/>
        <v>-0.78950089794829403</v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1177004</v>
      </c>
      <c r="C518" s="240">
        <f>Y71</f>
        <v>1193107</v>
      </c>
      <c r="D518" s="240">
        <f>'Prior Year'!Y59</f>
        <v>5620</v>
      </c>
      <c r="E518" s="180">
        <f>Y59</f>
        <v>6910</v>
      </c>
      <c r="F518" s="263">
        <f t="shared" si="17"/>
        <v>209.43131672597866</v>
      </c>
      <c r="G518" s="263">
        <f t="shared" si="17"/>
        <v>172.66382054992764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42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1044008</v>
      </c>
      <c r="C521" s="240">
        <f>AB71</f>
        <v>1023278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457919</v>
      </c>
      <c r="C522" s="240">
        <f>AC71</f>
        <v>428737</v>
      </c>
      <c r="D522" s="240">
        <f>'Prior Year'!AC59</f>
        <v>6699</v>
      </c>
      <c r="E522" s="180">
        <f>AC59</f>
        <v>4481</v>
      </c>
      <c r="F522" s="263">
        <f t="shared" si="17"/>
        <v>68.356321839080465</v>
      </c>
      <c r="G522" s="263">
        <f t="shared" si="17"/>
        <v>95.678866324481149</v>
      </c>
      <c r="H522" s="265">
        <f t="shared" si="16"/>
        <v>0.39970764591051955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1218199</v>
      </c>
      <c r="C524" s="240">
        <f>AE71</f>
        <v>1202720</v>
      </c>
      <c r="D524" s="240">
        <f>'Prior Year'!AE59</f>
        <v>18174</v>
      </c>
      <c r="E524" s="180">
        <f>AE59</f>
        <v>19037</v>
      </c>
      <c r="F524" s="263">
        <f t="shared" si="17"/>
        <v>67.029767800154062</v>
      </c>
      <c r="G524" s="263">
        <f t="shared" si="17"/>
        <v>63.178021747124021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2786654</v>
      </c>
      <c r="C526" s="240">
        <f>AG71</f>
        <v>3193684</v>
      </c>
      <c r="D526" s="240">
        <f>'Prior Year'!AG59</f>
        <v>4159</v>
      </c>
      <c r="E526" s="180">
        <f>AG59</f>
        <v>4950</v>
      </c>
      <c r="F526" s="263">
        <f t="shared" si="17"/>
        <v>670.02981485934117</v>
      </c>
      <c r="G526" s="263">
        <f t="shared" si="17"/>
        <v>645.18868686868689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293527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382927</v>
      </c>
      <c r="C528" s="240">
        <f>AI71</f>
        <v>22228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4862698</v>
      </c>
      <c r="C529" s="240">
        <f>AJ71</f>
        <v>5588844</v>
      </c>
      <c r="D529" s="240">
        <f>'Prior Year'!AJ59</f>
        <v>17479</v>
      </c>
      <c r="E529" s="180">
        <f>AJ59</f>
        <v>24096</v>
      </c>
      <c r="F529" s="263">
        <f t="shared" si="18"/>
        <v>278.20229990274044</v>
      </c>
      <c r="G529" s="263">
        <f t="shared" si="18"/>
        <v>231.94073705179284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72666</v>
      </c>
      <c r="C541" s="240">
        <f>AV71</f>
        <v>53059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836244</v>
      </c>
      <c r="C544" s="240">
        <f>AY71</f>
        <v>795896</v>
      </c>
      <c r="D544" s="240">
        <f>'Prior Year'!AY59</f>
        <v>33412</v>
      </c>
      <c r="E544" s="180">
        <f>AY59</f>
        <v>25800</v>
      </c>
      <c r="F544" s="263">
        <f t="shared" ref="F544:G550" si="19">IF(B544=0,"",IF(D544=0,"",B544/D544))</f>
        <v>25.028253322159703</v>
      </c>
      <c r="G544" s="263">
        <f t="shared" si="19"/>
        <v>30.848682170542634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160724</v>
      </c>
      <c r="C546" s="240">
        <f>BA71</f>
        <v>114785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41326</v>
      </c>
      <c r="C548" s="240">
        <f>BC71</f>
        <v>51868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148288</v>
      </c>
      <c r="C549" s="240">
        <f>BD71</f>
        <v>157241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1562415</v>
      </c>
      <c r="C550" s="240">
        <f>BE71</f>
        <v>1727356</v>
      </c>
      <c r="D550" s="240">
        <f>'Prior Year'!BE59</f>
        <v>78440</v>
      </c>
      <c r="E550" s="180">
        <f>BE59</f>
        <v>78440</v>
      </c>
      <c r="F550" s="263">
        <f t="shared" si="19"/>
        <v>19.918600203977562</v>
      </c>
      <c r="G550" s="263">
        <f t="shared" si="19"/>
        <v>22.021366649668536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463157</v>
      </c>
      <c r="C551" s="240">
        <f>BF71</f>
        <v>558141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324339</v>
      </c>
      <c r="C552" s="240">
        <f>BG71</f>
        <v>435956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1900541</v>
      </c>
      <c r="C553" s="240">
        <f>BH71</f>
        <v>1996851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393701</v>
      </c>
      <c r="C555" s="240">
        <f>BJ71</f>
        <v>379921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1001652</v>
      </c>
      <c r="C556" s="240">
        <f>BK71</f>
        <v>1047173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471638</v>
      </c>
      <c r="C557" s="240">
        <f>BL71</f>
        <v>556842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922651</v>
      </c>
      <c r="C559" s="240">
        <f>BN71</f>
        <v>1933386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113254</v>
      </c>
      <c r="C560" s="240">
        <f>BO71</f>
        <v>117544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5851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426795</v>
      </c>
      <c r="C563" s="240">
        <f>BR71</f>
        <v>571114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>
        <f>BS71</f>
        <v>20941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221738</v>
      </c>
      <c r="C567" s="240">
        <f>BV71</f>
        <v>234546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157588</v>
      </c>
      <c r="C569" s="240">
        <f>BX71</f>
        <v>209888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881639</v>
      </c>
      <c r="C570" s="240">
        <f>BY71</f>
        <v>648904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615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1875381</v>
      </c>
      <c r="C574" s="240">
        <f>CC71</f>
        <v>-741562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-4666742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54206</v>
      </c>
      <c r="E612" s="180">
        <f>SUM(C624:D647)+SUM(C668:D713)</f>
        <v>29355639.694388073</v>
      </c>
      <c r="F612" s="180">
        <f>CE64-(AX64+BD64+BE64+BG64+BJ64+BN64+BP64+BQ64+CB64+CC64+CD64)</f>
        <v>2044403</v>
      </c>
      <c r="G612" s="180">
        <f>CE77-(AX77+AY77+BD77+BE77+BG77+BJ77+BN77+BP77+BQ77+CB77+CC77+CD77)</f>
        <v>25800</v>
      </c>
      <c r="H612" s="197">
        <f>CE60-(AX60+AY60+AZ60+BD60+BE60+BG60+BJ60+BN60+BO60+BP60+BQ60+BR60+CB60+CC60+CD60)</f>
        <v>168</v>
      </c>
      <c r="I612" s="180">
        <f>CE78-(AX78+AY78+AZ78+BD78+BE78+BF78+BG78+BJ78+BN78+BO78+BP78+BQ78+BR78+CB78+CC78+CD78)</f>
        <v>14000</v>
      </c>
      <c r="J612" s="180">
        <f>CE79-(AX79+AY79+AZ79+BA79+BD79+BE79+BF79+BG79+BJ79+BN79+BO79+BP79+BQ79+BR79+CB79+CC79+CD79)</f>
        <v>93000</v>
      </c>
      <c r="K612" s="180">
        <f>CE75-(AW75+AX75+AY75+AZ75+BA75+BB75+BC75+BD75+BE75+BF75+BG75+BH75+BI75+BJ75+BK75+BL75+BM75+BN75+BO75+BP75+BQ75+BR75+BS75+BT75+BU75+BV75+BW75+BX75+CB75+CC75+CD75)</f>
        <v>46621440</v>
      </c>
      <c r="L612" s="197">
        <f>CE80-(AW80+AX80+AY80+AZ80+BA80+BB80+BC80+BD80+BE80+BF80+BG80+BH80+BI80+BJ80+BK80+BL80+BM80+BN80+BO80+BP80+BQ80+BR80+BS80+BT80+BU80+BV80+BW80+BX80+BY80+BZ80+CA80+CB80+CC80+CD80)</f>
        <v>32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1727356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2">
        <f>CD69-CD70</f>
        <v>0</v>
      </c>
      <c r="D615" s="266">
        <f>SUM(C614:C615)</f>
        <v>1727356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379921</v>
      </c>
      <c r="D617" s="180">
        <f>(D615/D612)*BJ76</f>
        <v>43657.11766225141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435956</v>
      </c>
      <c r="D618" s="180">
        <f>(D615/D612)*BG76</f>
        <v>14531.128214588791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1933386</v>
      </c>
      <c r="D619" s="180">
        <f>(D615/D612)*BN76</f>
        <v>28393.059735084677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-741562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615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5851</v>
      </c>
      <c r="D623" s="180">
        <f>(D615/D612)*BQ76</f>
        <v>0</v>
      </c>
      <c r="E623" s="180">
        <f>SUM(C616:D623)</f>
        <v>2100748.3056119252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157241</v>
      </c>
      <c r="D624" s="180">
        <f>(D615/D612)*BD76</f>
        <v>24027.347968859536</v>
      </c>
      <c r="E624" s="180">
        <f>(E623/E612)*SUM(C624:D624)</f>
        <v>12971.925627274</v>
      </c>
      <c r="F624" s="180">
        <f>SUM(C624:E624)</f>
        <v>194240.27359613354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795896</v>
      </c>
      <c r="D625" s="180">
        <f>(D615/D612)*AY76</f>
        <v>89736.090026934282</v>
      </c>
      <c r="E625" s="180">
        <f>(E623/E612)*SUM(C625:D625)</f>
        <v>63377.604163580902</v>
      </c>
      <c r="F625" s="180">
        <f>(F624/F612)*AY64</f>
        <v>12547.785447888977</v>
      </c>
      <c r="G625" s="180">
        <f>SUM(C625:F625)</f>
        <v>961557.47963840421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571114</v>
      </c>
      <c r="D626" s="180">
        <f>(D615/D612)*BR76</f>
        <v>17908.978194295836</v>
      </c>
      <c r="E626" s="180">
        <f>(E623/E612)*SUM(C626:D626)</f>
        <v>42151.662722741115</v>
      </c>
      <c r="F626" s="180">
        <f>(F624/F612)*BR64</f>
        <v>308.97497691728404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117544</v>
      </c>
      <c r="D627" s="180">
        <f>(D615/D612)*BO76</f>
        <v>0</v>
      </c>
      <c r="E627" s="180">
        <f>(E623/E612)*SUM(C627:D627)</f>
        <v>8411.6837992821493</v>
      </c>
      <c r="F627" s="180">
        <f>(F624/F612)*BO64</f>
        <v>472.10844412730154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696942.82438907598</v>
      </c>
      <c r="H628" s="180">
        <f>SUM(C626:G628)</f>
        <v>1454854.2325264397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558141</v>
      </c>
      <c r="D629" s="180">
        <f>(D615/D612)*BF76</f>
        <v>12714.737187765191</v>
      </c>
      <c r="E629" s="180">
        <f>(E623/E612)*SUM(C629:D629)</f>
        <v>40851.578610814613</v>
      </c>
      <c r="F629" s="180">
        <f>(F624/F612)*BF64</f>
        <v>5260.2704787901084</v>
      </c>
      <c r="G629" s="180">
        <f>(G625/G612)*BF77</f>
        <v>0</v>
      </c>
      <c r="H629" s="180">
        <f>(H628/H612)*BF60</f>
        <v>86598.46622181189</v>
      </c>
      <c r="I629" s="180">
        <f>SUM(C629:H629)</f>
        <v>703566.05249918182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114785</v>
      </c>
      <c r="D630" s="180">
        <f>(D615/D612)*BA76</f>
        <v>21573.62675718555</v>
      </c>
      <c r="E630" s="180">
        <f>(E623/E612)*SUM(C630:D630)</f>
        <v>9758.0961306896079</v>
      </c>
      <c r="F630" s="180">
        <f>(F624/F612)*BA64</f>
        <v>1581.2640039466048</v>
      </c>
      <c r="G630" s="180">
        <f>(G625/G612)*BA77</f>
        <v>0</v>
      </c>
      <c r="H630" s="180">
        <f>(H628/H612)*BA60</f>
        <v>17319.693244362377</v>
      </c>
      <c r="I630" s="180">
        <f>(I629/I612)*BA78</f>
        <v>0</v>
      </c>
      <c r="J630" s="180">
        <f>SUM(C630:I630)</f>
        <v>165017.68013618412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51868</v>
      </c>
      <c r="D633" s="180">
        <f>(D615/D612)*BC76</f>
        <v>0</v>
      </c>
      <c r="E633" s="180">
        <f>(E623/E612)*SUM(C633:D633)</f>
        <v>3711.7778474542856</v>
      </c>
      <c r="F633" s="180">
        <f>(F624/F612)*BC64</f>
        <v>7.1258066632214963</v>
      </c>
      <c r="G633" s="180">
        <f>(G625/G612)*BC77</f>
        <v>0</v>
      </c>
      <c r="H633" s="180">
        <f>(H628/H612)*BC60</f>
        <v>8659.8466221811886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1047173</v>
      </c>
      <c r="D635" s="180">
        <f>(D615/D612)*BK76</f>
        <v>43657.11766225141</v>
      </c>
      <c r="E635" s="180">
        <f>(E623/E612)*SUM(C635:D635)</f>
        <v>78061.985541657603</v>
      </c>
      <c r="F635" s="180">
        <f>(F624/F612)*BK64</f>
        <v>349.82960178642065</v>
      </c>
      <c r="G635" s="180">
        <f>(G625/G612)*BK77</f>
        <v>0</v>
      </c>
      <c r="H635" s="180">
        <f>(H628/H612)*BK60</f>
        <v>95258.312843993073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1996851</v>
      </c>
      <c r="D636" s="180">
        <f>(D615/D612)*BH76</f>
        <v>2549.3207394015421</v>
      </c>
      <c r="E636" s="180">
        <f>(E623/E612)*SUM(C636:D636)</f>
        <v>143081.0869652484</v>
      </c>
      <c r="F636" s="180">
        <f>(F624/F612)*BH64</f>
        <v>8609.2095889931916</v>
      </c>
      <c r="G636" s="180">
        <f>(G625/G612)*BH77</f>
        <v>0</v>
      </c>
      <c r="H636" s="180">
        <f>(H628/H612)*BH60</f>
        <v>43299.233110905945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556842</v>
      </c>
      <c r="D637" s="180">
        <f>(D615/D612)*BL76</f>
        <v>19629.769693391874</v>
      </c>
      <c r="E637" s="180">
        <f>(E623/E612)*SUM(C637:D637)</f>
        <v>41253.473132387997</v>
      </c>
      <c r="F637" s="180">
        <f>(F624/F612)*BL64</f>
        <v>719.89649449639035</v>
      </c>
      <c r="G637" s="180">
        <f>(G625/G612)*BL77</f>
        <v>0</v>
      </c>
      <c r="H637" s="180">
        <f>(H628/H612)*BL60</f>
        <v>95258.312843993073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20941</v>
      </c>
      <c r="D639" s="180">
        <f>(D615/D612)*BS76</f>
        <v>0</v>
      </c>
      <c r="E639" s="180">
        <f>(E623/E612)*SUM(C639:D639)</f>
        <v>1498.5798546992403</v>
      </c>
      <c r="F639" s="180">
        <f>(F624/F612)*BS64</f>
        <v>1255.5671340596275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234546</v>
      </c>
      <c r="D642" s="180">
        <f>(D615/D612)*BV76</f>
        <v>36136.62148101686</v>
      </c>
      <c r="E642" s="180">
        <f>(E623/E612)*SUM(C642:D642)</f>
        <v>19370.589922574458</v>
      </c>
      <c r="F642" s="180">
        <f>(F624/F612)*BV64</f>
        <v>350.77970934151682</v>
      </c>
      <c r="G642" s="180">
        <f>(G625/G612)*BV77</f>
        <v>0</v>
      </c>
      <c r="H642" s="180">
        <f>(H628/H612)*BV60</f>
        <v>25979.539866543564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209888</v>
      </c>
      <c r="D644" s="180">
        <f>(D615/D612)*BX76</f>
        <v>0</v>
      </c>
      <c r="E644" s="180">
        <f>(E623/E612)*SUM(C644:D644)</f>
        <v>15020.005183282276</v>
      </c>
      <c r="F644" s="180">
        <f>(F624/F612)*BX64</f>
        <v>157.242800368421</v>
      </c>
      <c r="G644" s="180">
        <f>(G625/G612)*BX77</f>
        <v>0</v>
      </c>
      <c r="H644" s="180">
        <f>(H628/H612)*BX60</f>
        <v>25979.539866543564</v>
      </c>
      <c r="I644" s="180">
        <f>(I629/I612)*BX78</f>
        <v>0</v>
      </c>
      <c r="J644" s="180">
        <f>(J630/J612)*BX79</f>
        <v>0</v>
      </c>
      <c r="K644" s="180">
        <f>SUM(C631:J644)</f>
        <v>4827963.7643132359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648904</v>
      </c>
      <c r="D645" s="180">
        <f>(D615/D612)*BY76</f>
        <v>22529.622034461128</v>
      </c>
      <c r="E645" s="180">
        <f>(E623/E612)*SUM(C645:D645)</f>
        <v>48049.133267207268</v>
      </c>
      <c r="F645" s="180">
        <f>(F624/F612)*BY64</f>
        <v>65.747442812656999</v>
      </c>
      <c r="G645" s="180">
        <f>(G625/G612)*BY77</f>
        <v>0</v>
      </c>
      <c r="H645" s="180">
        <f>(H628/H612)*BY60</f>
        <v>43299.233110905945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762847.73585538706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10823257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3680364</v>
      </c>
      <c r="D670" s="180">
        <f>(D615/D612)*E76</f>
        <v>584208.71394310589</v>
      </c>
      <c r="E670" s="180">
        <f>(E623/E612)*SUM(C670:D670)</f>
        <v>305181.35514135926</v>
      </c>
      <c r="F670" s="180">
        <f>(F624/F612)*E64</f>
        <v>10092.707525520398</v>
      </c>
      <c r="G670" s="180">
        <f>(G625/G612)*E77</f>
        <v>264614.65524932829</v>
      </c>
      <c r="H670" s="180">
        <f>(H628/H612)*E60</f>
        <v>207836.31893234851</v>
      </c>
      <c r="I670" s="180">
        <f>(I629/I612)*E78</f>
        <v>201018.87214262335</v>
      </c>
      <c r="J670" s="180">
        <f>(J630/J612)*E79</f>
        <v>81621.648239402901</v>
      </c>
      <c r="K670" s="180">
        <f>(K644/K612)*E75</f>
        <v>564393.17507899005</v>
      </c>
      <c r="L670" s="180">
        <f>(L647/L612)*E80</f>
        <v>572135.80189154029</v>
      </c>
      <c r="M670" s="180">
        <f t="shared" si="20"/>
        <v>2791103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99135</v>
      </c>
      <c r="D676" s="180">
        <f>(D615/D612)*K76</f>
        <v>0</v>
      </c>
      <c r="E676" s="180">
        <f>(E623/E612)*SUM(C676:D676)</f>
        <v>7094.2989301183889</v>
      </c>
      <c r="F676" s="180">
        <f>(F624/F612)*K64</f>
        <v>133.49011149101602</v>
      </c>
      <c r="G676" s="180">
        <f>(G625/G612)*K77</f>
        <v>0</v>
      </c>
      <c r="H676" s="180">
        <f>(H628/H612)*K60</f>
        <v>34639.386488724755</v>
      </c>
      <c r="I676" s="180">
        <f>(I629/I612)*K78</f>
        <v>0</v>
      </c>
      <c r="J676" s="180">
        <f>(J630/J612)*K79</f>
        <v>0</v>
      </c>
      <c r="K676" s="180">
        <f>(K644/K612)*K75</f>
        <v>145050.4586126222</v>
      </c>
      <c r="L676" s="180">
        <f>(L647/L612)*K80</f>
        <v>95355.966981923382</v>
      </c>
      <c r="M676" s="180">
        <f t="shared" si="20"/>
        <v>282274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813848</v>
      </c>
      <c r="D681" s="180">
        <f>(D615/D612)*P76</f>
        <v>41298.995978304985</v>
      </c>
      <c r="E681" s="180">
        <f>(E623/E612)*SUM(C681:D681)</f>
        <v>61196.029844785829</v>
      </c>
      <c r="F681" s="180">
        <f>(F624/F612)*P64</f>
        <v>6625.5750354633465</v>
      </c>
      <c r="G681" s="180">
        <f>(G625/G612)*P77</f>
        <v>0</v>
      </c>
      <c r="H681" s="180">
        <f>(H628/H612)*P60</f>
        <v>34639.386488724755</v>
      </c>
      <c r="I681" s="180">
        <f>(I629/I612)*P78</f>
        <v>50254.718035655838</v>
      </c>
      <c r="J681" s="180">
        <f>(J630/J612)*P79</f>
        <v>15969.452916404915</v>
      </c>
      <c r="K681" s="180">
        <f>(K644/K612)*P75</f>
        <v>215583.36003584729</v>
      </c>
      <c r="L681" s="180">
        <f>(L647/L612)*P80</f>
        <v>95355.966981923382</v>
      </c>
      <c r="M681" s="180">
        <f t="shared" si="20"/>
        <v>520923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7139.9257006670041</v>
      </c>
      <c r="L682" s="180">
        <f>(L647/L612)*Q80</f>
        <v>0</v>
      </c>
      <c r="M682" s="180">
        <f t="shared" si="20"/>
        <v>7140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538778</v>
      </c>
      <c r="D683" s="180">
        <f>(D615/D612)*R76</f>
        <v>0</v>
      </c>
      <c r="E683" s="180">
        <f>(E623/E612)*SUM(C683:D683)</f>
        <v>38556.031562730874</v>
      </c>
      <c r="F683" s="180">
        <f>(F624/F612)*R64</f>
        <v>576.24023216584499</v>
      </c>
      <c r="G683" s="180">
        <f>(G625/G612)*R77</f>
        <v>0</v>
      </c>
      <c r="H683" s="180">
        <f>(H628/H612)*R60</f>
        <v>8659.8466221811886</v>
      </c>
      <c r="I683" s="180">
        <f>(I629/I612)*R78</f>
        <v>0</v>
      </c>
      <c r="J683" s="180">
        <f>(J630/J612)*R79</f>
        <v>0</v>
      </c>
      <c r="K683" s="180">
        <f>(K644/K612)*R75</f>
        <v>54543.846232175645</v>
      </c>
      <c r="L683" s="180">
        <f>(L647/L612)*R80</f>
        <v>0</v>
      </c>
      <c r="M683" s="180">
        <f t="shared" si="20"/>
        <v>102336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588292</v>
      </c>
      <c r="D684" s="180">
        <f>(D615/D612)*S76</f>
        <v>0</v>
      </c>
      <c r="E684" s="180">
        <f>(E623/E612)*SUM(C684:D684)</f>
        <v>42099.352460757626</v>
      </c>
      <c r="F684" s="180">
        <f>(F624/F612)*S64</f>
        <v>19255.734808379166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119216.47243819409</v>
      </c>
      <c r="L684" s="180">
        <f>(L647/L612)*S80</f>
        <v>0</v>
      </c>
      <c r="M684" s="180">
        <f t="shared" si="20"/>
        <v>180572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1697096</v>
      </c>
      <c r="D686" s="180">
        <f>(D615/D612)*U76</f>
        <v>33555.434232372798</v>
      </c>
      <c r="E686" s="180">
        <f>(E623/E612)*SUM(C686:D686)</f>
        <v>123848.87898605515</v>
      </c>
      <c r="F686" s="180">
        <f>(F624/F612)*U64</f>
        <v>36157.673159763006</v>
      </c>
      <c r="G686" s="180">
        <f>(G625/G612)*U77</f>
        <v>0</v>
      </c>
      <c r="H686" s="180">
        <f>(H628/H612)*U60</f>
        <v>69278.772977449509</v>
      </c>
      <c r="I686" s="180">
        <f>(I629/I612)*U78</f>
        <v>50254.718035655838</v>
      </c>
      <c r="J686" s="180">
        <f>(J630/J612)*U79</f>
        <v>0</v>
      </c>
      <c r="K686" s="180">
        <f>(K644/K612)*U75</f>
        <v>614033.50670063472</v>
      </c>
      <c r="L686" s="180">
        <f>(L647/L612)*U80</f>
        <v>0</v>
      </c>
      <c r="M686" s="180">
        <f t="shared" si="20"/>
        <v>927129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164618</v>
      </c>
      <c r="D688" s="180">
        <f>(D615/D612)*W76</f>
        <v>0</v>
      </c>
      <c r="E688" s="180">
        <f>(E623/E612)*SUM(C688:D688)</f>
        <v>11780.393415829212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69225.497736756908</v>
      </c>
      <c r="L688" s="180">
        <f>(L647/L612)*W80</f>
        <v>0</v>
      </c>
      <c r="M688" s="180">
        <f t="shared" si="20"/>
        <v>81006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51816</v>
      </c>
      <c r="D689" s="180">
        <f>(D615/D612)*X76</f>
        <v>0</v>
      </c>
      <c r="E689" s="180">
        <f>(E623/E612)*SUM(C689:D689)</f>
        <v>3708.0566234227513</v>
      </c>
      <c r="F689" s="180">
        <f>(F624/F612)*X64</f>
        <v>2364.2476401013828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459043.36269884225</v>
      </c>
      <c r="L689" s="180">
        <f>(L647/L612)*X80</f>
        <v>0</v>
      </c>
      <c r="M689" s="180">
        <f t="shared" si="20"/>
        <v>465116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1193107</v>
      </c>
      <c r="D690" s="180">
        <f>(D615/D612)*Y76</f>
        <v>78168.547171899787</v>
      </c>
      <c r="E690" s="180">
        <f>(E623/E612)*SUM(C690:D690)</f>
        <v>90975.021477654489</v>
      </c>
      <c r="F690" s="180">
        <f>(F624/F612)*Y64</f>
        <v>2098.3125354299564</v>
      </c>
      <c r="G690" s="180">
        <f>(G625/G612)*Y77</f>
        <v>0</v>
      </c>
      <c r="H690" s="180">
        <f>(H628/H612)*Y60</f>
        <v>60618.926355268319</v>
      </c>
      <c r="I690" s="180">
        <f>(I629/I612)*Y78</f>
        <v>100509.43607131168</v>
      </c>
      <c r="J690" s="180">
        <f>(J630/J612)*Y79</f>
        <v>12420.685601648267</v>
      </c>
      <c r="K690" s="180">
        <f>(K644/K612)*Y75</f>
        <v>362106.80954243569</v>
      </c>
      <c r="L690" s="180">
        <f>(L647/L612)*Y80</f>
        <v>0</v>
      </c>
      <c r="M690" s="180">
        <f t="shared" si="20"/>
        <v>706898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1023278</v>
      </c>
      <c r="D693" s="180">
        <f>(D615/D612)*AB76</f>
        <v>15869.521602774601</v>
      </c>
      <c r="E693" s="180">
        <f>(E623/E612)*SUM(C693:D693)</f>
        <v>74363.475571107469</v>
      </c>
      <c r="F693" s="180">
        <f>(F624/F612)*AB64</f>
        <v>43826.561301477486</v>
      </c>
      <c r="G693" s="180">
        <f>(G625/G612)*AB77</f>
        <v>0</v>
      </c>
      <c r="H693" s="180">
        <f>(H628/H612)*AB60</f>
        <v>25979.539866543564</v>
      </c>
      <c r="I693" s="180">
        <f>(I629/I612)*AB78</f>
        <v>50254.718035655838</v>
      </c>
      <c r="J693" s="180">
        <f>(J630/J612)*AB79</f>
        <v>0</v>
      </c>
      <c r="K693" s="180">
        <f>(K644/K612)*AB75</f>
        <v>330625.46078283089</v>
      </c>
      <c r="L693" s="180">
        <f>(L647/L612)*AB80</f>
        <v>0</v>
      </c>
      <c r="M693" s="180">
        <f t="shared" si="20"/>
        <v>540919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428737</v>
      </c>
      <c r="D694" s="180">
        <f>(D615/D612)*AC76</f>
        <v>31611.577168579122</v>
      </c>
      <c r="E694" s="180">
        <f>(E623/E612)*SUM(C694:D694)</f>
        <v>32943.46515850682</v>
      </c>
      <c r="F694" s="180">
        <f>(F624/F612)*AC64</f>
        <v>3298.9634528050237</v>
      </c>
      <c r="G694" s="180">
        <f>(G625/G612)*AC77</f>
        <v>0</v>
      </c>
      <c r="H694" s="180">
        <f>(H628/H612)*AC60</f>
        <v>25979.539866543564</v>
      </c>
      <c r="I694" s="180">
        <f>(I629/I612)*AC78</f>
        <v>0</v>
      </c>
      <c r="J694" s="180">
        <f>(J630/J612)*AC79</f>
        <v>0</v>
      </c>
      <c r="K694" s="180">
        <f>(K644/K612)*AC75</f>
        <v>99758.163314442078</v>
      </c>
      <c r="L694" s="180">
        <f>(L647/L612)*AC80</f>
        <v>0</v>
      </c>
      <c r="M694" s="180">
        <f t="shared" si="20"/>
        <v>193592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1202720</v>
      </c>
      <c r="D696" s="180">
        <f>(D615/D612)*AE76</f>
        <v>90054.755119359485</v>
      </c>
      <c r="E696" s="180">
        <f>(E623/E612)*SUM(C696:D696)</f>
        <v>92513.547809828364</v>
      </c>
      <c r="F696" s="180">
        <f>(F624/F612)*AE64</f>
        <v>1749.1480089321033</v>
      </c>
      <c r="G696" s="180">
        <f>(G625/G612)*AE77</f>
        <v>0</v>
      </c>
      <c r="H696" s="180">
        <f>(H628/H612)*AE60</f>
        <v>95258.312843993073</v>
      </c>
      <c r="I696" s="180">
        <f>(I629/I612)*AE78</f>
        <v>50254.718035655838</v>
      </c>
      <c r="J696" s="180">
        <f>(J630/J612)*AE79</f>
        <v>0</v>
      </c>
      <c r="K696" s="180">
        <f>(K644/K612)*AE75</f>
        <v>297692.7644853369</v>
      </c>
      <c r="L696" s="180">
        <f>(L647/L612)*AE80</f>
        <v>0</v>
      </c>
      <c r="M696" s="180">
        <f t="shared" si="20"/>
        <v>627523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3193684</v>
      </c>
      <c r="D698" s="180">
        <f>(D615/D612)*AG76</f>
        <v>112743.7097000332</v>
      </c>
      <c r="E698" s="180">
        <f>(E623/E612)*SUM(C698:D698)</f>
        <v>236614.58176666909</v>
      </c>
      <c r="F698" s="180">
        <f>(F624/F612)*AG64</f>
        <v>13215.140994588548</v>
      </c>
      <c r="G698" s="180">
        <f>(G625/G612)*AG77</f>
        <v>0</v>
      </c>
      <c r="H698" s="180">
        <f>(H628/H612)*AG60</f>
        <v>103918.15946617426</v>
      </c>
      <c r="I698" s="180">
        <f>(I629/I612)*AG78</f>
        <v>100509.43607131168</v>
      </c>
      <c r="J698" s="180">
        <f>(J630/J612)*AG79</f>
        <v>55005.89337872804</v>
      </c>
      <c r="K698" s="180">
        <f>(K644/K612)*AG75</f>
        <v>1004693.1843017141</v>
      </c>
      <c r="L698" s="180">
        <f>(L647/L612)*AG80</f>
        <v>0</v>
      </c>
      <c r="M698" s="180">
        <f t="shared" si="20"/>
        <v>1626700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293527</v>
      </c>
      <c r="D699" s="180">
        <f>(D615/D612)*AH76</f>
        <v>0</v>
      </c>
      <c r="E699" s="180">
        <f>(E623/E612)*SUM(C699:D699)</f>
        <v>21005.379352003434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21005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22228</v>
      </c>
      <c r="D700" s="180">
        <f>(D615/D612)*AI76</f>
        <v>0</v>
      </c>
      <c r="E700" s="180">
        <f>(E623/E612)*SUM(C700:D700)</f>
        <v>1590.6801494797151</v>
      </c>
      <c r="F700" s="180">
        <f>(F624/F612)*AI64</f>
        <v>1877.9825934031478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8643.6729427425926</v>
      </c>
      <c r="L700" s="180">
        <f>(L647/L612)*AI80</f>
        <v>0</v>
      </c>
      <c r="M700" s="180">
        <f t="shared" si="20"/>
        <v>12112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5588844</v>
      </c>
      <c r="D701" s="180">
        <f>(D615/D612)*AJ76</f>
        <v>257226.46260561561</v>
      </c>
      <c r="E701" s="180">
        <f>(E623/E612)*SUM(C701:D701)</f>
        <v>418356.49799021269</v>
      </c>
      <c r="F701" s="180">
        <f>(F624/F612)*AJ64</f>
        <v>21282.694266421397</v>
      </c>
      <c r="G701" s="180">
        <f>(G625/G612)*AJ77</f>
        <v>0</v>
      </c>
      <c r="H701" s="180">
        <f>(H628/H612)*AJ60</f>
        <v>346393.86488724756</v>
      </c>
      <c r="I701" s="180">
        <f>(I629/I612)*AJ78</f>
        <v>100509.43607131168</v>
      </c>
      <c r="J701" s="180">
        <f>(J630/J612)*AJ79</f>
        <v>0</v>
      </c>
      <c r="K701" s="180">
        <f>(K644/K612)*AJ75</f>
        <v>476214.1037090036</v>
      </c>
      <c r="L701" s="180">
        <f>(L647/L612)*AJ80</f>
        <v>0</v>
      </c>
      <c r="M701" s="180">
        <f t="shared" si="20"/>
        <v>1619983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53059</v>
      </c>
      <c r="D713" s="180">
        <f>(D615/D612)*AV76</f>
        <v>105573.74512046637</v>
      </c>
      <c r="E713" s="180">
        <f>(E623/E612)*SUM(C713:D713)</f>
        <v>11352.076602510391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116926</v>
      </c>
      <c r="N713" s="199" t="s">
        <v>741</v>
      </c>
    </row>
    <row r="715" spans="1:83" ht="12.65" customHeight="1" x14ac:dyDescent="0.3">
      <c r="C715" s="180">
        <f>SUM(C614:C647)+SUM(C668:C713)</f>
        <v>31456388</v>
      </c>
      <c r="D715" s="180">
        <f>SUM(D616:D647)+SUM(D668:D713)</f>
        <v>1727356.0000000002</v>
      </c>
      <c r="E715" s="180">
        <f>SUM(E624:E647)+SUM(E668:E713)</f>
        <v>2100748.3056119252</v>
      </c>
      <c r="F715" s="180">
        <f>SUM(F625:F648)+SUM(F668:F713)</f>
        <v>194240.27359613351</v>
      </c>
      <c r="G715" s="180">
        <f>SUM(G626:G647)+SUM(G668:G713)</f>
        <v>961557.47963840421</v>
      </c>
      <c r="H715" s="180">
        <f>SUM(H629:H647)+SUM(H668:H713)</f>
        <v>1454854.2325264397</v>
      </c>
      <c r="I715" s="180">
        <f>SUM(I630:I647)+SUM(I668:I713)</f>
        <v>703566.05249918182</v>
      </c>
      <c r="J715" s="180">
        <f>SUM(J631:J647)+SUM(J668:J713)</f>
        <v>165017.68013618412</v>
      </c>
      <c r="K715" s="180">
        <f>SUM(K668:K713)</f>
        <v>4827963.7643132368</v>
      </c>
      <c r="L715" s="180">
        <f>SUM(L668:L713)</f>
        <v>762847.73585538706</v>
      </c>
      <c r="M715" s="180">
        <f>SUM(M668:M713)</f>
        <v>10823257</v>
      </c>
      <c r="N715" s="198" t="s">
        <v>742</v>
      </c>
    </row>
    <row r="716" spans="1:83" ht="12.65" customHeight="1" x14ac:dyDescent="0.3">
      <c r="C716" s="180">
        <f>CE71</f>
        <v>31456388</v>
      </c>
      <c r="D716" s="180">
        <f>D615</f>
        <v>1727356</v>
      </c>
      <c r="E716" s="180">
        <f>E623</f>
        <v>2100748.3056119252</v>
      </c>
      <c r="F716" s="180">
        <f>F624</f>
        <v>194240.27359613354</v>
      </c>
      <c r="G716" s="180">
        <f>G625</f>
        <v>961557.47963840421</v>
      </c>
      <c r="H716" s="180">
        <f>H628</f>
        <v>1454854.2325264397</v>
      </c>
      <c r="I716" s="180">
        <f>I629</f>
        <v>703566.05249918182</v>
      </c>
      <c r="J716" s="180">
        <f>J630</f>
        <v>165017.68013618412</v>
      </c>
      <c r="K716" s="180">
        <f>K644</f>
        <v>4827963.7643132359</v>
      </c>
      <c r="L716" s="180">
        <f>L647</f>
        <v>762847.73585538706</v>
      </c>
      <c r="M716" s="180">
        <f>C648</f>
        <v>10823257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173*2021*A</v>
      </c>
      <c r="B722" s="275">
        <f>ROUND(C165,0)</f>
        <v>1130272</v>
      </c>
      <c r="C722" s="275">
        <f>ROUND(C166,0)</f>
        <v>-102884</v>
      </c>
      <c r="D722" s="275">
        <f>ROUND(C167,0)</f>
        <v>277356</v>
      </c>
      <c r="E722" s="275">
        <f>ROUND(C168,0)</f>
        <v>1966789</v>
      </c>
      <c r="F722" s="275">
        <f>ROUND(C169,0)</f>
        <v>116318</v>
      </c>
      <c r="G722" s="275">
        <f>ROUND(C170,0)</f>
        <v>571382</v>
      </c>
      <c r="H722" s="275">
        <f>ROUND(C171+C172,0)</f>
        <v>184530</v>
      </c>
      <c r="I722" s="275">
        <f>ROUND(C175,0)</f>
        <v>0</v>
      </c>
      <c r="J722" s="275">
        <f>ROUND(C176,0)</f>
        <v>253016</v>
      </c>
      <c r="K722" s="275">
        <f>ROUND(C179,0)</f>
        <v>110493</v>
      </c>
      <c r="L722" s="275">
        <f>ROUND(C180,0)</f>
        <v>136454</v>
      </c>
      <c r="M722" s="275">
        <f>ROUND(C183,0)</f>
        <v>9793</v>
      </c>
      <c r="N722" s="275">
        <f>ROUND(C184,0)</f>
        <v>282760</v>
      </c>
      <c r="O722" s="275">
        <f>ROUND(C185,0)</f>
        <v>22744</v>
      </c>
      <c r="P722" s="275">
        <f>ROUND(C188,0)</f>
        <v>0</v>
      </c>
      <c r="Q722" s="275">
        <f>ROUND(C189,0)</f>
        <v>426765</v>
      </c>
      <c r="R722" s="275">
        <f>ROUND(B195,0)</f>
        <v>998600</v>
      </c>
      <c r="S722" s="275">
        <f>ROUND(C195,0)</f>
        <v>0</v>
      </c>
      <c r="T722" s="275">
        <f>ROUND(D195,0)</f>
        <v>0</v>
      </c>
      <c r="U722" s="275">
        <f>ROUND(B196,0)</f>
        <v>1426739</v>
      </c>
      <c r="V722" s="275">
        <f>ROUND(C196,0)</f>
        <v>0</v>
      </c>
      <c r="W722" s="275">
        <f>ROUND(D196,0)</f>
        <v>0</v>
      </c>
      <c r="X722" s="275">
        <f>ROUND(B197,0)</f>
        <v>17436121</v>
      </c>
      <c r="Y722" s="275">
        <f>ROUND(C197,0)</f>
        <v>3249854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2677876</v>
      </c>
      <c r="AE722" s="275">
        <f>ROUND(C199,0)</f>
        <v>0</v>
      </c>
      <c r="AF722" s="275">
        <f>ROUND(D199,0)</f>
        <v>63456</v>
      </c>
      <c r="AG722" s="275">
        <f>ROUND(B200,0)</f>
        <v>8189866</v>
      </c>
      <c r="AH722" s="275">
        <f>ROUND(C200,0)</f>
        <v>659844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492571</v>
      </c>
      <c r="AQ722" s="275">
        <f>ROUND(C203,0)</f>
        <v>0</v>
      </c>
      <c r="AR722" s="275">
        <f>ROUND(D203,0)</f>
        <v>380237</v>
      </c>
      <c r="AS722" s="275"/>
      <c r="AT722" s="275"/>
      <c r="AU722" s="275"/>
      <c r="AV722" s="275">
        <f>ROUND(B209,0)</f>
        <v>1111492</v>
      </c>
      <c r="AW722" s="275">
        <f>ROUND(C209,0)</f>
        <v>47904</v>
      </c>
      <c r="AX722" s="275">
        <f>ROUND(D209,0)</f>
        <v>0</v>
      </c>
      <c r="AY722" s="275">
        <f>ROUND(B210,0)</f>
        <v>12459420</v>
      </c>
      <c r="AZ722" s="275">
        <f>ROUND(C210,0)</f>
        <v>588791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1837991</v>
      </c>
      <c r="BF722" s="275">
        <f>ROUND(C212,0)</f>
        <v>48966</v>
      </c>
      <c r="BG722" s="275">
        <f>ROUND(D212,0)</f>
        <v>0</v>
      </c>
      <c r="BH722" s="275">
        <f>ROUND(B213,0)</f>
        <v>6896571</v>
      </c>
      <c r="BI722" s="275">
        <f>ROUND(C213,0)</f>
        <v>191291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5684480</v>
      </c>
      <c r="BU722" s="275">
        <f>ROUND(C224,0)</f>
        <v>5132182</v>
      </c>
      <c r="BV722" s="275">
        <f>ROUND(C225,0)</f>
        <v>494176</v>
      </c>
      <c r="BW722" s="275">
        <f>ROUND(C226,0)</f>
        <v>0</v>
      </c>
      <c r="BX722" s="275">
        <f>ROUND(C227,0)</f>
        <v>0</v>
      </c>
      <c r="BY722" s="275">
        <f>ROUND(C228,0)</f>
        <v>4291010</v>
      </c>
      <c r="BZ722" s="275">
        <f>ROUND(C231,0)</f>
        <v>0</v>
      </c>
      <c r="CA722" s="275">
        <f>ROUND(C233,0)</f>
        <v>0</v>
      </c>
      <c r="CB722" s="275">
        <f>ROUND(C234,0)</f>
        <v>417768</v>
      </c>
      <c r="CC722" s="275">
        <f>ROUND(C238+C239,0)</f>
        <v>598810</v>
      </c>
      <c r="CD722" s="275">
        <f>D221</f>
        <v>653074</v>
      </c>
      <c r="CE722" s="275"/>
    </row>
    <row r="723" spans="1:84" ht="12.65" customHeight="1" x14ac:dyDescent="0.3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173*2021*A</v>
      </c>
      <c r="B726" s="275">
        <f>ROUND(C111,0)</f>
        <v>195</v>
      </c>
      <c r="C726" s="275">
        <f>ROUND(C112,0)</f>
        <v>78</v>
      </c>
      <c r="D726" s="275">
        <f>ROUND(C113,0)</f>
        <v>0</v>
      </c>
      <c r="E726" s="275">
        <f>ROUND(C114,0)</f>
        <v>0</v>
      </c>
      <c r="F726" s="275">
        <f>ROUND(D111,0)</f>
        <v>803</v>
      </c>
      <c r="G726" s="275">
        <f>ROUND(D112,0)</f>
        <v>1343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10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15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135</v>
      </c>
      <c r="Y726" s="275">
        <f>ROUND(B139,0)</f>
        <v>532</v>
      </c>
      <c r="Z726" s="275">
        <f>ROUND(B140,0)</f>
        <v>10955</v>
      </c>
      <c r="AA726" s="275">
        <f>ROUND(B141,0)</f>
        <v>3642250</v>
      </c>
      <c r="AB726" s="275">
        <f>ROUND(B142,0)</f>
        <v>20546548</v>
      </c>
      <c r="AC726" s="275">
        <f>ROUND(C138,0)</f>
        <v>25</v>
      </c>
      <c r="AD726" s="275">
        <f>ROUND(C139,0)</f>
        <v>70</v>
      </c>
      <c r="AE726" s="275">
        <f>ROUND(C140,0)</f>
        <v>4058</v>
      </c>
      <c r="AF726" s="275">
        <f>ROUND(C141,0)</f>
        <v>617903</v>
      </c>
      <c r="AG726" s="275">
        <f>ROUND(C142,0)</f>
        <v>7609832</v>
      </c>
      <c r="AH726" s="275">
        <f>ROUND(D138,0)</f>
        <v>35</v>
      </c>
      <c r="AI726" s="275">
        <f>ROUND(D139,0)</f>
        <v>201</v>
      </c>
      <c r="AJ726" s="275">
        <f>ROUND(D140,0)</f>
        <v>5275</v>
      </c>
      <c r="AK726" s="275">
        <f>ROUND(D141,0)</f>
        <v>1510742</v>
      </c>
      <c r="AL726" s="275">
        <f>ROUND(D142,0)</f>
        <v>9892782</v>
      </c>
      <c r="AM726" s="275">
        <f>ROUND(B144,0)</f>
        <v>63</v>
      </c>
      <c r="AN726" s="275">
        <f>ROUND(B145,0)</f>
        <v>979</v>
      </c>
      <c r="AO726" s="275">
        <f>ROUND(B146,0)</f>
        <v>0</v>
      </c>
      <c r="AP726" s="275">
        <f>ROUND(B147,0)</f>
        <v>1512746</v>
      </c>
      <c r="AQ726" s="275">
        <f>ROUND(B148,0)</f>
        <v>0</v>
      </c>
      <c r="AR726" s="275">
        <f>ROUND(C144,0)</f>
        <v>8</v>
      </c>
      <c r="AS726" s="275">
        <f>ROUND(C145,0)</f>
        <v>223</v>
      </c>
      <c r="AT726" s="275">
        <f>ROUND(C146,0)</f>
        <v>0</v>
      </c>
      <c r="AU726" s="275">
        <f>ROUND(C147,0)</f>
        <v>560276</v>
      </c>
      <c r="AV726" s="275">
        <f>ROUND(C148,0)</f>
        <v>0</v>
      </c>
      <c r="AW726" s="275">
        <f>ROUND(D144,0)</f>
        <v>7</v>
      </c>
      <c r="AX726" s="275">
        <f>ROUND(D145,0)</f>
        <v>141</v>
      </c>
      <c r="AY726" s="275">
        <f>ROUND(D146,0)</f>
        <v>0</v>
      </c>
      <c r="AZ726" s="275">
        <f>ROUND(D147,0)</f>
        <v>728360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2233751</v>
      </c>
      <c r="BR726" s="275">
        <f>ROUND(C157,0)</f>
        <v>2217222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173*2021*A</v>
      </c>
      <c r="B730" s="275">
        <f>ROUND(C250,0)</f>
        <v>11725277</v>
      </c>
      <c r="C730" s="275">
        <f>ROUND(C251,0)</f>
        <v>0</v>
      </c>
      <c r="D730" s="275">
        <f>ROUND(C252,0)</f>
        <v>6796889</v>
      </c>
      <c r="E730" s="275">
        <f>ROUND(C253,0)</f>
        <v>2675536</v>
      </c>
      <c r="F730" s="275">
        <f>ROUND(C254,0)</f>
        <v>74277</v>
      </c>
      <c r="G730" s="275">
        <f>ROUND(C255,0)</f>
        <v>44337</v>
      </c>
      <c r="H730" s="275">
        <f>ROUND(C256,0)</f>
        <v>0</v>
      </c>
      <c r="I730" s="275">
        <f>ROUND(C257,0)</f>
        <v>351873</v>
      </c>
      <c r="J730" s="275">
        <f>ROUND(C258,0)</f>
        <v>299720</v>
      </c>
      <c r="K730" s="275">
        <f>ROUND(C259,0)</f>
        <v>192811</v>
      </c>
      <c r="L730" s="275">
        <f>ROUND(C262,0)</f>
        <v>1593539</v>
      </c>
      <c r="M730" s="275">
        <f>ROUND(C263,0)</f>
        <v>0</v>
      </c>
      <c r="N730" s="275">
        <f>ROUND(C264,0)</f>
        <v>0</v>
      </c>
      <c r="O730" s="275">
        <f>ROUND(C267,0)</f>
        <v>998600</v>
      </c>
      <c r="P730" s="275">
        <f>ROUND(C268,0)</f>
        <v>1426739</v>
      </c>
      <c r="Q730" s="275">
        <f>ROUND(C269,0)</f>
        <v>20685975</v>
      </c>
      <c r="R730" s="275">
        <f>ROUND(C270,0)</f>
        <v>0</v>
      </c>
      <c r="S730" s="275">
        <f>ROUND(C271,0)</f>
        <v>2614419</v>
      </c>
      <c r="T730" s="275">
        <f>ROUND(C272,0)</f>
        <v>8849710</v>
      </c>
      <c r="U730" s="275">
        <f>ROUND(C273,0)</f>
        <v>0</v>
      </c>
      <c r="V730" s="275">
        <f>ROUND(C274,0)</f>
        <v>112334</v>
      </c>
      <c r="W730" s="275">
        <f>ROUND(C275,0)</f>
        <v>0</v>
      </c>
      <c r="X730" s="275">
        <f>ROUND(C276,0)</f>
        <v>23182426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748429</v>
      </c>
      <c r="AI730" s="275">
        <f>ROUND(C306,0)</f>
        <v>2028284</v>
      </c>
      <c r="AJ730" s="275">
        <f>ROUND(C307,0)</f>
        <v>0</v>
      </c>
      <c r="AK730" s="275">
        <f>ROUND(C308,0)</f>
        <v>0</v>
      </c>
      <c r="AL730" s="275">
        <f>ROUND(C309,0)</f>
        <v>5311870</v>
      </c>
      <c r="AM730" s="275">
        <f>ROUND(C310,0)</f>
        <v>0</v>
      </c>
      <c r="AN730" s="275">
        <f>ROUND(C311,0)</f>
        <v>0</v>
      </c>
      <c r="AO730" s="275">
        <f>ROUND(C312,0)</f>
        <v>1012150</v>
      </c>
      <c r="AP730" s="275">
        <f>ROUND(C313,0)</f>
        <v>1366865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1566482</v>
      </c>
      <c r="AW730" s="275">
        <f>ROUND(C324,0)</f>
        <v>0</v>
      </c>
      <c r="AX730" s="275">
        <f>ROUND(C325,0)</f>
        <v>6396313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12845010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199</v>
      </c>
      <c r="BJ730" s="275">
        <f>ROUND(C359,0)</f>
        <v>8572277</v>
      </c>
      <c r="BK730" s="275">
        <f>ROUND(C360,0)</f>
        <v>38049163</v>
      </c>
      <c r="BL730" s="275">
        <f>ROUND(C364,0)</f>
        <v>15601848</v>
      </c>
      <c r="BM730" s="275">
        <f>ROUND(C365,0)</f>
        <v>417768</v>
      </c>
      <c r="BN730" s="275">
        <f>ROUND(C366,0)</f>
        <v>598810</v>
      </c>
      <c r="BO730" s="275">
        <f>ROUND(C370,0)</f>
        <v>2286048</v>
      </c>
      <c r="BP730" s="275">
        <f>ROUND(C371,0)</f>
        <v>2161271</v>
      </c>
      <c r="BQ730" s="275">
        <f>ROUND(C378,0)</f>
        <v>18707786</v>
      </c>
      <c r="BR730" s="275">
        <f>ROUND(C379,0)</f>
        <v>4143763</v>
      </c>
      <c r="BS730" s="275">
        <f>ROUND(C380,0)</f>
        <v>1380397</v>
      </c>
      <c r="BT730" s="275">
        <f>ROUND(C381,0)</f>
        <v>2330582</v>
      </c>
      <c r="BU730" s="275">
        <f>ROUND(C382,0)</f>
        <v>481941</v>
      </c>
      <c r="BV730" s="275">
        <f>ROUND(C383,0)</f>
        <v>4199687</v>
      </c>
      <c r="BW730" s="275">
        <f>ROUND(C384,0)</f>
        <v>1256255</v>
      </c>
      <c r="BX730" s="275">
        <f>ROUND(C385,0)</f>
        <v>253016</v>
      </c>
      <c r="BY730" s="275">
        <f>ROUND(C386,0)</f>
        <v>246947</v>
      </c>
      <c r="BZ730" s="275">
        <f>ROUND(C387,0)</f>
        <v>315297</v>
      </c>
      <c r="CA730" s="275">
        <f>ROUND(C388,0)</f>
        <v>426765</v>
      </c>
      <c r="CB730" s="275">
        <f>C363</f>
        <v>653074</v>
      </c>
      <c r="CC730" s="275">
        <f>ROUND(C389,0)</f>
        <v>0</v>
      </c>
      <c r="CD730" s="275">
        <f>ROUND(C392,0)</f>
        <v>2634456</v>
      </c>
      <c r="CE730" s="275">
        <f>ROUND(C394,0)</f>
        <v>0</v>
      </c>
      <c r="CF730" s="201">
        <f>ROUND(C395,0)</f>
        <v>0</v>
      </c>
    </row>
    <row r="731" spans="1:84" ht="12.65" customHeight="1" x14ac:dyDescent="0.3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173*2021*6010*A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">
      <c r="A735" s="209" t="str">
        <f>RIGHT($C$83,3)&amp;"*"&amp;RIGHT($C$82,4)&amp;"*"&amp;D$55&amp;"*"&amp;"A"</f>
        <v>173*2021*6030*A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">
      <c r="A736" s="209" t="str">
        <f>RIGHT($C$83,3)&amp;"*"&amp;RIGHT($C$82,4)&amp;"*"&amp;E$55&amp;"*"&amp;"A"</f>
        <v>173*2021*6070*A</v>
      </c>
      <c r="B736" s="275">
        <f>ROUND(E59,0)</f>
        <v>803</v>
      </c>
      <c r="C736" s="277">
        <f>ROUND(E60,2)</f>
        <v>24</v>
      </c>
      <c r="D736" s="275">
        <f>ROUND(E61,0)</f>
        <v>2631408</v>
      </c>
      <c r="E736" s="275">
        <f>ROUND(E62,0)</f>
        <v>573305</v>
      </c>
      <c r="F736" s="275">
        <f>ROUND(E63,0)</f>
        <v>18617</v>
      </c>
      <c r="G736" s="275">
        <f>ROUND(E64,0)</f>
        <v>106227</v>
      </c>
      <c r="H736" s="275">
        <f>ROUND(E65,0)</f>
        <v>0</v>
      </c>
      <c r="I736" s="275">
        <f>ROUND(E66,0)</f>
        <v>57195</v>
      </c>
      <c r="J736" s="275">
        <f>ROUND(E67,0)</f>
        <v>293612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5450087</v>
      </c>
      <c r="O736" s="275">
        <f>ROUND(E73,0)</f>
        <v>3532701</v>
      </c>
      <c r="P736" s="275">
        <f>IF(E76&gt;0,ROUND(E76,0),0)</f>
        <v>18333</v>
      </c>
      <c r="Q736" s="275">
        <f>IF(E77&gt;0,ROUND(E77,0),0)</f>
        <v>7100</v>
      </c>
      <c r="R736" s="275">
        <f>IF(E78&gt;0,ROUND(E78,0),0)</f>
        <v>4000</v>
      </c>
      <c r="S736" s="275">
        <f>IF(E79&gt;0,ROUND(E79,0),0)</f>
        <v>46000</v>
      </c>
      <c r="T736" s="277">
        <f>IF(E80&gt;0,ROUND(E80,2),0)</f>
        <v>24</v>
      </c>
      <c r="U736" s="275"/>
      <c r="V736" s="276"/>
      <c r="W736" s="275"/>
      <c r="X736" s="275"/>
      <c r="Y736" s="275">
        <f t="shared" si="21"/>
        <v>2791103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">
      <c r="A737" s="209" t="str">
        <f>RIGHT($C$83,3)&amp;"*"&amp;RIGHT($C$82,4)&amp;"*"&amp;F$55&amp;"*"&amp;"A"</f>
        <v>173*2021*6100*A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">
      <c r="A738" s="209" t="str">
        <f>RIGHT($C$83,3)&amp;"*"&amp;RIGHT($C$82,4)&amp;"*"&amp;G$55&amp;"*"&amp;"A"</f>
        <v>173*2021*6120*A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">
      <c r="A739" s="209" t="str">
        <f>RIGHT($C$83,3)&amp;"*"&amp;RIGHT($C$82,4)&amp;"*"&amp;H$55&amp;"*"&amp;"A"</f>
        <v>173*2021*6140*A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">
      <c r="A740" s="209" t="str">
        <f>RIGHT($C$83,3)&amp;"*"&amp;RIGHT($C$82,4)&amp;"*"&amp;I$55&amp;"*"&amp;"A"</f>
        <v>173*2021*6150*A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">
      <c r="A741" s="209" t="str">
        <f>RIGHT($C$83,3)&amp;"*"&amp;RIGHT($C$82,4)&amp;"*"&amp;J$55&amp;"*"&amp;"A"</f>
        <v>173*2021*6170*A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">
      <c r="A742" s="209" t="str">
        <f>RIGHT($C$83,3)&amp;"*"&amp;RIGHT($C$82,4)&amp;"*"&amp;K$55&amp;"*"&amp;"A"</f>
        <v>173*2021*6200*A</v>
      </c>
      <c r="B742" s="275">
        <f>ROUND(K59,0)</f>
        <v>1343</v>
      </c>
      <c r="C742" s="277">
        <f>ROUND(K60,2)</f>
        <v>4</v>
      </c>
      <c r="D742" s="275">
        <f>ROUND(K61,0)</f>
        <v>20897</v>
      </c>
      <c r="E742" s="275">
        <f>ROUND(K62,0)</f>
        <v>6833</v>
      </c>
      <c r="F742" s="275">
        <f>ROUND(K63,0)</f>
        <v>0</v>
      </c>
      <c r="G742" s="275">
        <f>ROUND(K64,0)</f>
        <v>1405</v>
      </c>
      <c r="H742" s="275">
        <f>ROUND(K65,0)</f>
        <v>0</v>
      </c>
      <c r="I742" s="275">
        <f>ROUND(K66,0)</f>
        <v>70000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1400686</v>
      </c>
      <c r="O742" s="275">
        <f>ROUND(K73,0)</f>
        <v>1400686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4</v>
      </c>
      <c r="U742" s="275"/>
      <c r="V742" s="276"/>
      <c r="W742" s="275"/>
      <c r="X742" s="275"/>
      <c r="Y742" s="275">
        <f t="shared" si="21"/>
        <v>282274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">
      <c r="A743" s="209" t="str">
        <f>RIGHT($C$83,3)&amp;"*"&amp;RIGHT($C$82,4)&amp;"*"&amp;L$55&amp;"*"&amp;"A"</f>
        <v>173*2021*6210*A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">
      <c r="A744" s="209" t="str">
        <f>RIGHT($C$83,3)&amp;"*"&amp;RIGHT($C$82,4)&amp;"*"&amp;M$55&amp;"*"&amp;"A"</f>
        <v>173*2021*6330*A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">
      <c r="A745" s="209" t="str">
        <f>RIGHT($C$83,3)&amp;"*"&amp;RIGHT($C$82,4)&amp;"*"&amp;N$55&amp;"*"&amp;"A"</f>
        <v>173*2021*6400*A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">
      <c r="A746" s="209" t="str">
        <f>RIGHT($C$83,3)&amp;"*"&amp;RIGHT($C$82,4)&amp;"*"&amp;O$55&amp;"*"&amp;"A"</f>
        <v>173*2021*7010*A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">
      <c r="A747" s="209" t="str">
        <f>RIGHT($C$83,3)&amp;"*"&amp;RIGHT($C$82,4)&amp;"*"&amp;P$55&amp;"*"&amp;"A"</f>
        <v>173*2021*7020*A</v>
      </c>
      <c r="B747" s="275">
        <f>ROUND(P59,0)</f>
        <v>17360</v>
      </c>
      <c r="C747" s="277">
        <f>ROUND(P60,2)</f>
        <v>4</v>
      </c>
      <c r="D747" s="275">
        <f>ROUND(P61,0)</f>
        <v>454555</v>
      </c>
      <c r="E747" s="275">
        <f>ROUND(P62,0)</f>
        <v>100375</v>
      </c>
      <c r="F747" s="275">
        <f>ROUND(P63,0)</f>
        <v>0</v>
      </c>
      <c r="G747" s="275">
        <f>ROUND(P64,0)</f>
        <v>69735</v>
      </c>
      <c r="H747" s="275">
        <f>ROUND(P65,0)</f>
        <v>0</v>
      </c>
      <c r="I747" s="275">
        <f>ROUND(P66,0)</f>
        <v>25735</v>
      </c>
      <c r="J747" s="275">
        <f>ROUND(P67,0)</f>
        <v>20756</v>
      </c>
      <c r="K747" s="275">
        <f>ROUND(P68,0)</f>
        <v>100375</v>
      </c>
      <c r="L747" s="275">
        <f>ROUND(P69,0)</f>
        <v>42317</v>
      </c>
      <c r="M747" s="275">
        <f>ROUND(P70,0)</f>
        <v>0</v>
      </c>
      <c r="N747" s="275">
        <f>ROUND(P75,0)</f>
        <v>2081790</v>
      </c>
      <c r="O747" s="275">
        <f>ROUND(P73,0)</f>
        <v>259583</v>
      </c>
      <c r="P747" s="275">
        <f>IF(P76&gt;0,ROUND(P76,0),0)</f>
        <v>1296</v>
      </c>
      <c r="Q747" s="275">
        <f>IF(P77&gt;0,ROUND(P77,0),0)</f>
        <v>0</v>
      </c>
      <c r="R747" s="275">
        <f>IF(P78&gt;0,ROUND(P78,0),0)</f>
        <v>1000</v>
      </c>
      <c r="S747" s="275">
        <f>IF(P79&gt;0,ROUND(P79,0),0)</f>
        <v>9000</v>
      </c>
      <c r="T747" s="277">
        <f>IF(P80&gt;0,ROUND(P80,2),0)</f>
        <v>4</v>
      </c>
      <c r="U747" s="275"/>
      <c r="V747" s="276"/>
      <c r="W747" s="275"/>
      <c r="X747" s="275"/>
      <c r="Y747" s="275">
        <f t="shared" si="21"/>
        <v>520923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">
      <c r="A748" s="209" t="str">
        <f>RIGHT($C$83,3)&amp;"*"&amp;RIGHT($C$82,4)&amp;"*"&amp;Q$55&amp;"*"&amp;"A"</f>
        <v>173*2021*7030*A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68947</v>
      </c>
      <c r="O748" s="275">
        <f>ROUND(Q73,0)</f>
        <v>10116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7140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">
      <c r="A749" s="209" t="str">
        <f>RIGHT($C$83,3)&amp;"*"&amp;RIGHT($C$82,4)&amp;"*"&amp;R$55&amp;"*"&amp;"A"</f>
        <v>173*2021*7040*A</v>
      </c>
      <c r="B749" s="275">
        <f>ROUND(R59,0)</f>
        <v>27138</v>
      </c>
      <c r="C749" s="277">
        <f>ROUND(R60,2)</f>
        <v>1</v>
      </c>
      <c r="D749" s="275">
        <f>ROUND(R61,0)</f>
        <v>417970</v>
      </c>
      <c r="E749" s="275">
        <f>ROUND(R62,0)</f>
        <v>103442</v>
      </c>
      <c r="F749" s="275">
        <f>ROUND(R63,0)</f>
        <v>6000</v>
      </c>
      <c r="G749" s="275">
        <f>ROUND(R64,0)</f>
        <v>6065</v>
      </c>
      <c r="H749" s="275">
        <f>ROUND(R65,0)</f>
        <v>0</v>
      </c>
      <c r="I749" s="275">
        <f>ROUND(R66,0)</f>
        <v>2249</v>
      </c>
      <c r="J749" s="275">
        <f>ROUND(R67,0)</f>
        <v>0</v>
      </c>
      <c r="K749" s="275">
        <f>ROUND(R68,0)</f>
        <v>0</v>
      </c>
      <c r="L749" s="275">
        <f>ROUND(R69,0)</f>
        <v>3052</v>
      </c>
      <c r="M749" s="275">
        <f>ROUND(R70,0)</f>
        <v>0</v>
      </c>
      <c r="N749" s="275">
        <f>ROUND(R75,0)</f>
        <v>526705</v>
      </c>
      <c r="O749" s="275">
        <f>ROUND(R73,0)</f>
        <v>37337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102336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">
      <c r="A750" s="209" t="str">
        <f>RIGHT($C$83,3)&amp;"*"&amp;RIGHT($C$82,4)&amp;"*"&amp;S$55&amp;"*"&amp;"A"</f>
        <v>173*2021*7050*A</v>
      </c>
      <c r="B750" s="275"/>
      <c r="C750" s="277">
        <f>ROUND(S60,2)</f>
        <v>0</v>
      </c>
      <c r="D750" s="275">
        <f>ROUND(S61,0)</f>
        <v>293513</v>
      </c>
      <c r="E750" s="275">
        <f>ROUND(S62,0)</f>
        <v>57748</v>
      </c>
      <c r="F750" s="275">
        <f>ROUND(S63,0)</f>
        <v>11640</v>
      </c>
      <c r="G750" s="275">
        <f>ROUND(S64,0)</f>
        <v>202669</v>
      </c>
      <c r="H750" s="275">
        <f>ROUND(S65,0)</f>
        <v>0</v>
      </c>
      <c r="I750" s="275">
        <f>ROUND(S66,0)</f>
        <v>22722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1151219</v>
      </c>
      <c r="O750" s="275">
        <f>ROUND(S73,0)</f>
        <v>10107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180572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">
      <c r="A751" s="209" t="str">
        <f>RIGHT($C$83,3)&amp;"*"&amp;RIGHT($C$82,4)&amp;"*"&amp;T$55&amp;"*"&amp;"A"</f>
        <v>173*2021*7060*A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">
      <c r="A752" s="209" t="str">
        <f>RIGHT($C$83,3)&amp;"*"&amp;RIGHT($C$82,4)&amp;"*"&amp;U$55&amp;"*"&amp;"A"</f>
        <v>173*2021*7070*A</v>
      </c>
      <c r="B752" s="275">
        <f>ROUND(U59,0)</f>
        <v>52248</v>
      </c>
      <c r="C752" s="277">
        <f>ROUND(U60,2)</f>
        <v>8</v>
      </c>
      <c r="D752" s="275">
        <f>ROUND(U61,0)</f>
        <v>681854</v>
      </c>
      <c r="E752" s="275">
        <f>ROUND(U62,0)</f>
        <v>155117</v>
      </c>
      <c r="F752" s="275">
        <f>ROUND(U63,0)</f>
        <v>10106</v>
      </c>
      <c r="G752" s="275">
        <f>ROUND(U64,0)</f>
        <v>380564</v>
      </c>
      <c r="H752" s="275">
        <f>ROUND(U65,0)</f>
        <v>0</v>
      </c>
      <c r="I752" s="275">
        <f>ROUND(U66,0)</f>
        <v>410318</v>
      </c>
      <c r="J752" s="275">
        <f>ROUND(U67,0)</f>
        <v>16864</v>
      </c>
      <c r="K752" s="275">
        <f>ROUND(U68,0)</f>
        <v>38992</v>
      </c>
      <c r="L752" s="275">
        <f>ROUND(U69,0)</f>
        <v>3281</v>
      </c>
      <c r="M752" s="275">
        <f>ROUND(U70,0)</f>
        <v>0</v>
      </c>
      <c r="N752" s="275">
        <f>ROUND(U75,0)</f>
        <v>5929441</v>
      </c>
      <c r="O752" s="275">
        <f>ROUND(U73,0)</f>
        <v>562637</v>
      </c>
      <c r="P752" s="275">
        <f>IF(U76&gt;0,ROUND(U76,0),0)</f>
        <v>1053</v>
      </c>
      <c r="Q752" s="275">
        <f>IF(U77&gt;0,ROUND(U77,0),0)</f>
        <v>0</v>
      </c>
      <c r="R752" s="275">
        <f>IF(U78&gt;0,ROUND(U78,0),0)</f>
        <v>1000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927129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">
      <c r="A753" s="209" t="str">
        <f>RIGHT($C$83,3)&amp;"*"&amp;RIGHT($C$82,4)&amp;"*"&amp;V$55&amp;"*"&amp;"A"</f>
        <v>173*2021*7110*A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">
      <c r="A754" s="209" t="str">
        <f>RIGHT($C$83,3)&amp;"*"&amp;RIGHT($C$82,4)&amp;"*"&amp;W$55&amp;"*"&amp;"A"</f>
        <v>173*2021*7120*A</v>
      </c>
      <c r="B754" s="275">
        <f>ROUND(W59,0)</f>
        <v>357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164618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668479</v>
      </c>
      <c r="O754" s="275">
        <f>ROUND(W73,0)</f>
        <v>14727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81006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">
      <c r="A755" s="209" t="str">
        <f>RIGHT($C$83,3)&amp;"*"&amp;RIGHT($C$82,4)&amp;"*"&amp;X$55&amp;"*"&amp;"A"</f>
        <v>173*2021*7130*A</v>
      </c>
      <c r="B755" s="275">
        <f>ROUND(X59,0)</f>
        <v>1811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24884</v>
      </c>
      <c r="H755" s="275">
        <f>ROUND(X65,0)</f>
        <v>0</v>
      </c>
      <c r="I755" s="275">
        <f>ROUND(X66,0)</f>
        <v>26932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4432772</v>
      </c>
      <c r="O755" s="275">
        <f>ROUND(X73,0)</f>
        <v>237218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465116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">
      <c r="A756" s="209" t="str">
        <f>RIGHT($C$83,3)&amp;"*"&amp;RIGHT($C$82,4)&amp;"*"&amp;Y$55&amp;"*"&amp;"A"</f>
        <v>173*2021*7140*A</v>
      </c>
      <c r="B756" s="275">
        <f>ROUND(Y59,0)</f>
        <v>6910</v>
      </c>
      <c r="C756" s="277">
        <f>ROUND(Y60,2)</f>
        <v>7</v>
      </c>
      <c r="D756" s="275">
        <f>ROUND(Y61,0)</f>
        <v>743785</v>
      </c>
      <c r="E756" s="275">
        <f>ROUND(Y62,0)</f>
        <v>168882</v>
      </c>
      <c r="F756" s="275">
        <f>ROUND(Y63,0)</f>
        <v>0</v>
      </c>
      <c r="G756" s="275">
        <f>ROUND(Y64,0)</f>
        <v>22085</v>
      </c>
      <c r="H756" s="275">
        <f>ROUND(Y65,0)</f>
        <v>0</v>
      </c>
      <c r="I756" s="275">
        <f>ROUND(Y66,0)</f>
        <v>219069</v>
      </c>
      <c r="J756" s="275">
        <f>ROUND(Y67,0)</f>
        <v>39286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3496700</v>
      </c>
      <c r="O756" s="275">
        <f>ROUND(Y73,0)</f>
        <v>136228</v>
      </c>
      <c r="P756" s="275">
        <f>IF(Y76&gt;0,ROUND(Y76,0),0)</f>
        <v>2453</v>
      </c>
      <c r="Q756" s="275">
        <f>IF(Y77&gt;0,ROUND(Y77,0),0)</f>
        <v>0</v>
      </c>
      <c r="R756" s="275">
        <f>IF(Y78&gt;0,ROUND(Y78,0),0)</f>
        <v>2000</v>
      </c>
      <c r="S756" s="275">
        <f>IF(Y79&gt;0,ROUND(Y79,0),0)</f>
        <v>7000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706898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">
      <c r="A757" s="209" t="str">
        <f>RIGHT($C$83,3)&amp;"*"&amp;RIGHT($C$82,4)&amp;"*"&amp;Z$55&amp;"*"&amp;"A"</f>
        <v>173*2021*7150*A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">
      <c r="A758" s="209" t="str">
        <f>RIGHT($C$83,3)&amp;"*"&amp;RIGHT($C$82,4)&amp;"*"&amp;AA$55&amp;"*"&amp;"A"</f>
        <v>173*2021*7160*A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">
      <c r="A759" s="209" t="str">
        <f>RIGHT($C$83,3)&amp;"*"&amp;RIGHT($C$82,4)&amp;"*"&amp;AB$55&amp;"*"&amp;"A"</f>
        <v>173*2021*7170*A</v>
      </c>
      <c r="B759" s="275"/>
      <c r="C759" s="277">
        <f>ROUND(AB60,2)</f>
        <v>3</v>
      </c>
      <c r="D759" s="275">
        <f>ROUND(AB61,0)</f>
        <v>434454</v>
      </c>
      <c r="E759" s="275">
        <f>ROUND(AB62,0)</f>
        <v>71741</v>
      </c>
      <c r="F759" s="275">
        <f>ROUND(AB63,0)</f>
        <v>0</v>
      </c>
      <c r="G759" s="275">
        <f>ROUND(AB64,0)</f>
        <v>461280</v>
      </c>
      <c r="H759" s="275">
        <f>ROUND(AB65,0)</f>
        <v>0</v>
      </c>
      <c r="I759" s="275">
        <f>ROUND(AB66,0)</f>
        <v>0</v>
      </c>
      <c r="J759" s="275">
        <f>ROUND(AB67,0)</f>
        <v>7976</v>
      </c>
      <c r="K759" s="275">
        <f>ROUND(AB68,0)</f>
        <v>44215</v>
      </c>
      <c r="L759" s="275">
        <f>ROUND(AB69,0)</f>
        <v>3612</v>
      </c>
      <c r="M759" s="275">
        <f>ROUND(AB70,0)</f>
        <v>0</v>
      </c>
      <c r="N759" s="275">
        <f>ROUND(AB75,0)</f>
        <v>3192699</v>
      </c>
      <c r="O759" s="275">
        <f>ROUND(AB73,0)</f>
        <v>1267767</v>
      </c>
      <c r="P759" s="275">
        <f>IF(AB76&gt;0,ROUND(AB76,0),0)</f>
        <v>498</v>
      </c>
      <c r="Q759" s="275">
        <f>IF(AB77&gt;0,ROUND(AB77,0),0)</f>
        <v>0</v>
      </c>
      <c r="R759" s="275">
        <f>IF(AB78&gt;0,ROUND(AB78,0),0)</f>
        <v>1000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540919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">
      <c r="A760" s="209" t="str">
        <f>RIGHT($C$83,3)&amp;"*"&amp;RIGHT($C$82,4)&amp;"*"&amp;AC$55&amp;"*"&amp;"A"</f>
        <v>173*2021*7180*A</v>
      </c>
      <c r="B760" s="275">
        <f>ROUND(AC59,0)</f>
        <v>4481</v>
      </c>
      <c r="C760" s="277">
        <f>ROUND(AC60,2)</f>
        <v>3</v>
      </c>
      <c r="D760" s="275">
        <f>ROUND(AC61,0)</f>
        <v>297449</v>
      </c>
      <c r="E760" s="275">
        <f>ROUND(AC62,0)</f>
        <v>65005</v>
      </c>
      <c r="F760" s="275">
        <f>ROUND(AC63,0)</f>
        <v>0</v>
      </c>
      <c r="G760" s="275">
        <f>ROUND(AC64,0)</f>
        <v>34722</v>
      </c>
      <c r="H760" s="275">
        <f>ROUND(AC65,0)</f>
        <v>0</v>
      </c>
      <c r="I760" s="275">
        <f>ROUND(AC66,0)</f>
        <v>3247</v>
      </c>
      <c r="J760" s="275">
        <f>ROUND(AC67,0)</f>
        <v>15887</v>
      </c>
      <c r="K760" s="275">
        <f>ROUND(AC68,0)</f>
        <v>12427</v>
      </c>
      <c r="L760" s="275">
        <f>ROUND(AC69,0)</f>
        <v>0</v>
      </c>
      <c r="M760" s="275">
        <f>ROUND(AC70,0)</f>
        <v>0</v>
      </c>
      <c r="N760" s="275">
        <f>ROUND(AC75,0)</f>
        <v>963319</v>
      </c>
      <c r="O760" s="275">
        <f>ROUND(AC73,0)</f>
        <v>287121</v>
      </c>
      <c r="P760" s="275">
        <f>IF(AC76&gt;0,ROUND(AC76,0),0)</f>
        <v>992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193592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">
      <c r="A761" s="209" t="str">
        <f>RIGHT($C$83,3)&amp;"*"&amp;RIGHT($C$82,4)&amp;"*"&amp;AD$55&amp;"*"&amp;"A"</f>
        <v>173*2021*7190*A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">
      <c r="A762" s="209" t="str">
        <f>RIGHT($C$83,3)&amp;"*"&amp;RIGHT($C$82,4)&amp;"*"&amp;AE$55&amp;"*"&amp;"A"</f>
        <v>173*2021*7200*A</v>
      </c>
      <c r="B762" s="275">
        <f>ROUND(AE59,0)</f>
        <v>19037</v>
      </c>
      <c r="C762" s="277">
        <f>ROUND(AE60,2)</f>
        <v>11</v>
      </c>
      <c r="D762" s="275">
        <f>ROUND(AE61,0)</f>
        <v>920457</v>
      </c>
      <c r="E762" s="275">
        <f>ROUND(AE62,0)</f>
        <v>208158</v>
      </c>
      <c r="F762" s="275">
        <f>ROUND(AE63,0)</f>
        <v>0</v>
      </c>
      <c r="G762" s="275">
        <f>ROUND(AE64,0)</f>
        <v>18410</v>
      </c>
      <c r="H762" s="275">
        <f>ROUND(AE65,0)</f>
        <v>0</v>
      </c>
      <c r="I762" s="275">
        <f>ROUND(AE66,0)</f>
        <v>9935</v>
      </c>
      <c r="J762" s="275">
        <f>ROUND(AE67,0)</f>
        <v>45260</v>
      </c>
      <c r="K762" s="275">
        <f>ROUND(AE68,0)</f>
        <v>0</v>
      </c>
      <c r="L762" s="275">
        <f>ROUND(AE69,0)</f>
        <v>500</v>
      </c>
      <c r="M762" s="275">
        <f>ROUND(AE70,0)</f>
        <v>0</v>
      </c>
      <c r="N762" s="275">
        <f>ROUND(AE75,0)</f>
        <v>2874683</v>
      </c>
      <c r="O762" s="275">
        <f>ROUND(AE73,0)</f>
        <v>494245</v>
      </c>
      <c r="P762" s="275">
        <f>IF(AE76&gt;0,ROUND(AE76,0),0)</f>
        <v>2826</v>
      </c>
      <c r="Q762" s="275">
        <f>IF(AE77&gt;0,ROUND(AE77,0),0)</f>
        <v>0</v>
      </c>
      <c r="R762" s="275">
        <f>IF(AE78&gt;0,ROUND(AE78,0),0)</f>
        <v>1000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627523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">
      <c r="A763" s="209" t="str">
        <f>RIGHT($C$83,3)&amp;"*"&amp;RIGHT($C$82,4)&amp;"*"&amp;AF$55&amp;"*"&amp;"A"</f>
        <v>173*2021*7220*A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">
      <c r="A764" s="209" t="str">
        <f>RIGHT($C$83,3)&amp;"*"&amp;RIGHT($C$82,4)&amp;"*"&amp;AG$55&amp;"*"&amp;"A"</f>
        <v>173*2021*7230*A</v>
      </c>
      <c r="B764" s="275">
        <f>ROUND(AG59,0)</f>
        <v>4950</v>
      </c>
      <c r="C764" s="277">
        <f>ROUND(AG60,2)</f>
        <v>12</v>
      </c>
      <c r="D764" s="275">
        <f>ROUND(AG61,0)</f>
        <v>1811866</v>
      </c>
      <c r="E764" s="275">
        <f>ROUND(AG62,0)</f>
        <v>384673</v>
      </c>
      <c r="F764" s="275">
        <f>ROUND(AG63,0)</f>
        <v>788835</v>
      </c>
      <c r="G764" s="275">
        <f>ROUND(AG64,0)</f>
        <v>139091</v>
      </c>
      <c r="H764" s="275">
        <f>ROUND(AG65,0)</f>
        <v>0</v>
      </c>
      <c r="I764" s="275">
        <f>ROUND(AG66,0)</f>
        <v>12406</v>
      </c>
      <c r="J764" s="275">
        <f>ROUND(AG67,0)</f>
        <v>56663</v>
      </c>
      <c r="K764" s="275">
        <f>ROUND(AG68,0)</f>
        <v>0</v>
      </c>
      <c r="L764" s="275">
        <f>ROUND(AG69,0)</f>
        <v>150</v>
      </c>
      <c r="M764" s="275">
        <f>ROUND(AG70,0)</f>
        <v>0</v>
      </c>
      <c r="N764" s="275">
        <f>ROUND(AG75,0)</f>
        <v>9701863</v>
      </c>
      <c r="O764" s="275">
        <f>ROUND(AG73,0)</f>
        <v>304592</v>
      </c>
      <c r="P764" s="275">
        <f>IF(AG76&gt;0,ROUND(AG76,0),0)</f>
        <v>3538</v>
      </c>
      <c r="Q764" s="275">
        <f>IF(AG77&gt;0,ROUND(AG77,0),0)</f>
        <v>0</v>
      </c>
      <c r="R764" s="275">
        <f>IF(AG78&gt;0,ROUND(AG78,0),0)</f>
        <v>2000</v>
      </c>
      <c r="S764" s="275">
        <f>IF(AG79&gt;0,ROUND(AG79,0),0)</f>
        <v>31000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1626700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">
      <c r="A765" s="209" t="str">
        <f>RIGHT($C$83,3)&amp;"*"&amp;RIGHT($C$82,4)&amp;"*"&amp;AH$55&amp;"*"&amp;"A"</f>
        <v>173*2021*7240*A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293527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21005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">
      <c r="A766" s="209" t="str">
        <f>RIGHT($C$83,3)&amp;"*"&amp;RIGHT($C$82,4)&amp;"*"&amp;AI$55&amp;"*"&amp;"A"</f>
        <v>173*2021*7250*A</v>
      </c>
      <c r="B766" s="275">
        <f>ROUND(AI59,0)</f>
        <v>0</v>
      </c>
      <c r="C766" s="277">
        <f>ROUND(AI60,2)</f>
        <v>0</v>
      </c>
      <c r="D766" s="275">
        <f>ROUND(AI61,0)</f>
        <v>1339</v>
      </c>
      <c r="E766" s="275">
        <f>ROUND(AI62,0)</f>
        <v>320</v>
      </c>
      <c r="F766" s="275">
        <f>ROUND(AI63,0)</f>
        <v>0</v>
      </c>
      <c r="G766" s="275">
        <f>ROUND(AI64,0)</f>
        <v>19766</v>
      </c>
      <c r="H766" s="275">
        <f>ROUND(AI65,0)</f>
        <v>0</v>
      </c>
      <c r="I766" s="275">
        <f>ROUND(AI66,0)</f>
        <v>803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83468</v>
      </c>
      <c r="O766" s="275">
        <f>ROUND(AI73,0)</f>
        <v>17212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12112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">
      <c r="A767" s="209" t="str">
        <f>RIGHT($C$83,3)&amp;"*"&amp;RIGHT($C$82,4)&amp;"*"&amp;AJ$55&amp;"*"&amp;"A"</f>
        <v>173*2021*7260*A</v>
      </c>
      <c r="B767" s="275">
        <f>ROUND(AJ59,0)</f>
        <v>24096</v>
      </c>
      <c r="C767" s="277">
        <f>ROUND(AJ60,2)</f>
        <v>40</v>
      </c>
      <c r="D767" s="275">
        <f>ROUND(AJ61,0)</f>
        <v>4071325</v>
      </c>
      <c r="E767" s="275">
        <f>ROUND(AJ62,0)</f>
        <v>901177</v>
      </c>
      <c r="F767" s="275">
        <f>ROUND(AJ63,0)</f>
        <v>117037</v>
      </c>
      <c r="G767" s="275">
        <f>ROUND(AJ64,0)</f>
        <v>224003</v>
      </c>
      <c r="H767" s="275">
        <f>ROUND(AJ65,0)</f>
        <v>37092</v>
      </c>
      <c r="I767" s="275">
        <f>ROUND(AJ66,0)</f>
        <v>87389</v>
      </c>
      <c r="J767" s="275">
        <f>ROUND(AJ67,0)</f>
        <v>129277</v>
      </c>
      <c r="K767" s="275">
        <f>ROUND(AJ68,0)</f>
        <v>0</v>
      </c>
      <c r="L767" s="275">
        <f>ROUND(AJ69,0)</f>
        <v>21544</v>
      </c>
      <c r="M767" s="275">
        <f>ROUND(AJ70,0)</f>
        <v>0</v>
      </c>
      <c r="N767" s="275">
        <f>ROUND(AJ75,0)</f>
        <v>4598582</v>
      </c>
      <c r="O767" s="275">
        <f>ROUND(AJ73,0)</f>
        <v>0</v>
      </c>
      <c r="P767" s="275">
        <f>IF(AJ76&gt;0,ROUND(AJ76,0),0)</f>
        <v>8072</v>
      </c>
      <c r="Q767" s="275">
        <f>IF(AJ77&gt;0,ROUND(AJ77,0),0)</f>
        <v>0</v>
      </c>
      <c r="R767" s="275">
        <f>IF(AJ78&gt;0,ROUND(AJ78,0),0)</f>
        <v>2000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1619983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">
      <c r="A768" s="209" t="str">
        <f>RIGHT($C$83,3)&amp;"*"&amp;RIGHT($C$82,4)&amp;"*"&amp;AK$55&amp;"*"&amp;"A"</f>
        <v>173*2021*7310*A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">
      <c r="A769" s="209" t="str">
        <f>RIGHT($C$83,3)&amp;"*"&amp;RIGHT($C$82,4)&amp;"*"&amp;AL$55&amp;"*"&amp;"A"</f>
        <v>173*2021*7320*A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">
      <c r="A770" s="209" t="str">
        <f>RIGHT($C$83,3)&amp;"*"&amp;RIGHT($C$82,4)&amp;"*"&amp;AM$55&amp;"*"&amp;"A"</f>
        <v>173*2021*7330*A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">
      <c r="A771" s="209" t="str">
        <f>RIGHT($C$83,3)&amp;"*"&amp;RIGHT($C$82,4)&amp;"*"&amp;AN$55&amp;"*"&amp;"A"</f>
        <v>173*2021*7340*A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">
      <c r="A772" s="209" t="str">
        <f>RIGHT($C$83,3)&amp;"*"&amp;RIGHT($C$82,4)&amp;"*"&amp;AO$55&amp;"*"&amp;"A"</f>
        <v>173*2021*7350*A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">
      <c r="A773" s="209" t="str">
        <f>RIGHT($C$83,3)&amp;"*"&amp;RIGHT($C$82,4)&amp;"*"&amp;AP$55&amp;"*"&amp;"A"</f>
        <v>173*2021*7380*A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">
      <c r="A774" s="209" t="str">
        <f>RIGHT($C$83,3)&amp;"*"&amp;RIGHT($C$82,4)&amp;"*"&amp;AQ$55&amp;"*"&amp;"A"</f>
        <v>173*2021*7390*A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">
      <c r="A775" s="209" t="str">
        <f>RIGHT($C$83,3)&amp;"*"&amp;RIGHT($C$82,4)&amp;"*"&amp;AR$55&amp;"*"&amp;"A"</f>
        <v>173*2021*7400*A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">
      <c r="A776" s="209" t="str">
        <f>RIGHT($C$83,3)&amp;"*"&amp;RIGHT($C$82,4)&amp;"*"&amp;AS$55&amp;"*"&amp;"A"</f>
        <v>173*2021*7410*A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">
      <c r="A777" s="209" t="str">
        <f>RIGHT($C$83,3)&amp;"*"&amp;RIGHT($C$82,4)&amp;"*"&amp;AT$55&amp;"*"&amp;"A"</f>
        <v>173*2021*7420*A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">
      <c r="A778" s="209" t="str">
        <f>RIGHT($C$83,3)&amp;"*"&amp;RIGHT($C$82,4)&amp;"*"&amp;AU$55&amp;"*"&amp;"A"</f>
        <v>173*2021*7430*A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">
      <c r="A779" s="209" t="str">
        <f>RIGHT($C$83,3)&amp;"*"&amp;RIGHT($C$82,4)&amp;"*"&amp;AV$55&amp;"*"&amp;"A"</f>
        <v>173*2021*7490*A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53059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3313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116926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">
      <c r="A780" s="209" t="str">
        <f>RIGHT($C$83,3)&amp;"*"&amp;RIGHT($C$82,4)&amp;"*"&amp;AW$55&amp;"*"&amp;"A"</f>
        <v>173*2021*8200*A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">
      <c r="A781" s="209" t="str">
        <f>RIGHT($C$83,3)&amp;"*"&amp;RIGHT($C$82,4)&amp;"*"&amp;AX$55&amp;"*"&amp;"A"</f>
        <v>173*2021*8310*A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">
      <c r="A782" s="209" t="str">
        <f>RIGHT($C$83,3)&amp;"*"&amp;RIGHT($C$82,4)&amp;"*"&amp;AY$55&amp;"*"&amp;"A"</f>
        <v>173*2021*8320*A</v>
      </c>
      <c r="B782" s="275">
        <f>ROUND(AY59,0)</f>
        <v>25800</v>
      </c>
      <c r="C782" s="277">
        <f>ROUND(AY60,2)</f>
        <v>10</v>
      </c>
      <c r="D782" s="275">
        <f>ROUND(AY61,0)</f>
        <v>486995</v>
      </c>
      <c r="E782" s="275">
        <f>ROUND(AY62,0)</f>
        <v>114061</v>
      </c>
      <c r="F782" s="275">
        <f>ROUND(AY63,0)</f>
        <v>0</v>
      </c>
      <c r="G782" s="275">
        <f>ROUND(AY64,0)</f>
        <v>132067</v>
      </c>
      <c r="H782" s="275">
        <f>ROUND(AY65,0)</f>
        <v>0</v>
      </c>
      <c r="I782" s="275">
        <f>ROUND(AY66,0)</f>
        <v>10508</v>
      </c>
      <c r="J782" s="275">
        <f>ROUND(AY67,0)</f>
        <v>45100</v>
      </c>
      <c r="K782" s="275">
        <f>ROUND(AY68,0)</f>
        <v>0</v>
      </c>
      <c r="L782" s="275">
        <f>ROUND(AY69,0)</f>
        <v>7165</v>
      </c>
      <c r="M782" s="275">
        <f>ROUND(AY70,0)</f>
        <v>0</v>
      </c>
      <c r="N782" s="275"/>
      <c r="O782" s="275"/>
      <c r="P782" s="275">
        <f>IF(AY76&gt;0,ROUND(AY76,0),0)</f>
        <v>2816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">
      <c r="A783" s="209" t="str">
        <f>RIGHT($C$83,3)&amp;"*"&amp;RIGHT($C$82,4)&amp;"*"&amp;AZ$55&amp;"*"&amp;"A"</f>
        <v>173*2021*8330*A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18700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">
      <c r="A784" s="209" t="str">
        <f>RIGHT($C$83,3)&amp;"*"&amp;RIGHT($C$82,4)&amp;"*"&amp;BA$55&amp;"*"&amp;"A"</f>
        <v>173*2021*8350*A</v>
      </c>
      <c r="B784" s="275">
        <f>ROUND(BA59,0)</f>
        <v>0</v>
      </c>
      <c r="C784" s="277">
        <f>ROUND(BA60,2)</f>
        <v>2</v>
      </c>
      <c r="D784" s="275">
        <f>ROUND(BA61,0)</f>
        <v>68599</v>
      </c>
      <c r="E784" s="275">
        <f>ROUND(BA62,0)</f>
        <v>15455</v>
      </c>
      <c r="F784" s="275">
        <f>ROUND(BA63,0)</f>
        <v>0</v>
      </c>
      <c r="G784" s="275">
        <f>ROUND(BA64,0)</f>
        <v>16643</v>
      </c>
      <c r="H784" s="275">
        <f>ROUND(BA65,0)</f>
        <v>0</v>
      </c>
      <c r="I784" s="275">
        <f>ROUND(BA66,0)</f>
        <v>3246</v>
      </c>
      <c r="J784" s="275">
        <f>ROUND(BA67,0)</f>
        <v>10842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677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">
      <c r="A785" s="209" t="str">
        <f>RIGHT($C$83,3)&amp;"*"&amp;RIGHT($C$82,4)&amp;"*"&amp;BB$55&amp;"*"&amp;"A"</f>
        <v>173*2021*8360*A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">
      <c r="A786" s="209" t="str">
        <f>RIGHT($C$83,3)&amp;"*"&amp;RIGHT($C$82,4)&amp;"*"&amp;BC$55&amp;"*"&amp;"A"</f>
        <v>173*2021*8370*A</v>
      </c>
      <c r="B786" s="275"/>
      <c r="C786" s="277">
        <f>ROUND(BC60,2)</f>
        <v>1</v>
      </c>
      <c r="D786" s="275">
        <f>ROUND(BC61,0)</f>
        <v>38006</v>
      </c>
      <c r="E786" s="275">
        <f>ROUND(BC62,0)</f>
        <v>7799</v>
      </c>
      <c r="F786" s="275">
        <f>ROUND(BC63,0)</f>
        <v>0</v>
      </c>
      <c r="G786" s="275">
        <f>ROUND(BC64,0)</f>
        <v>75</v>
      </c>
      <c r="H786" s="275">
        <f>ROUND(BC65,0)</f>
        <v>4609</v>
      </c>
      <c r="I786" s="275">
        <f>ROUND(BC66,0)</f>
        <v>1379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">
      <c r="A787" s="209" t="str">
        <f>RIGHT($C$83,3)&amp;"*"&amp;RIGHT($C$82,4)&amp;"*"&amp;BD$55&amp;"*"&amp;"A"</f>
        <v>173*2021*8420*A</v>
      </c>
      <c r="B787" s="275"/>
      <c r="C787" s="277">
        <f>ROUND(BD60,2)</f>
        <v>2</v>
      </c>
      <c r="D787" s="275">
        <f>ROUND(BD61,0)</f>
        <v>100232</v>
      </c>
      <c r="E787" s="275">
        <f>ROUND(BD62,0)</f>
        <v>26394</v>
      </c>
      <c r="F787" s="275">
        <f>ROUND(BD63,0)</f>
        <v>510</v>
      </c>
      <c r="G787" s="275">
        <f>ROUND(BD64,0)</f>
        <v>1489</v>
      </c>
      <c r="H787" s="275">
        <f>ROUND(BD65,0)</f>
        <v>0</v>
      </c>
      <c r="I787" s="275">
        <f>ROUND(BD66,0)</f>
        <v>16540</v>
      </c>
      <c r="J787" s="275">
        <f>ROUND(BD67,0)</f>
        <v>12076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754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">
      <c r="A788" s="209" t="str">
        <f>RIGHT($C$83,3)&amp;"*"&amp;RIGHT($C$82,4)&amp;"*"&amp;BE$55&amp;"*"&amp;"A"</f>
        <v>173*2021*8430*A</v>
      </c>
      <c r="B788" s="275">
        <f>ROUND(BE59,0)</f>
        <v>78440</v>
      </c>
      <c r="C788" s="277">
        <f>ROUND(BE60,2)</f>
        <v>6</v>
      </c>
      <c r="D788" s="275">
        <f>ROUND(BE61,0)</f>
        <v>467456</v>
      </c>
      <c r="E788" s="275">
        <f>ROUND(BE62,0)</f>
        <v>96205</v>
      </c>
      <c r="F788" s="275">
        <f>ROUND(BE63,0)</f>
        <v>0</v>
      </c>
      <c r="G788" s="275">
        <f>ROUND(BE64,0)</f>
        <v>104955</v>
      </c>
      <c r="H788" s="275">
        <f>ROUND(BE65,0)</f>
        <v>285231</v>
      </c>
      <c r="I788" s="275">
        <f>ROUND(BE66,0)</f>
        <v>385390</v>
      </c>
      <c r="J788" s="275">
        <f>ROUND(BE67,0)</f>
        <v>388119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24234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">
      <c r="A789" s="209" t="str">
        <f>RIGHT($C$83,3)&amp;"*"&amp;RIGHT($C$82,4)&amp;"*"&amp;BF$55&amp;"*"&amp;"A"</f>
        <v>173*2021*8460*A</v>
      </c>
      <c r="B789" s="275"/>
      <c r="C789" s="277">
        <f>ROUND(BF60,2)</f>
        <v>10</v>
      </c>
      <c r="D789" s="275">
        <f>ROUND(BF61,0)</f>
        <v>400172</v>
      </c>
      <c r="E789" s="275">
        <f>ROUND(BF62,0)</f>
        <v>90998</v>
      </c>
      <c r="F789" s="275">
        <f>ROUND(BF63,0)</f>
        <v>0</v>
      </c>
      <c r="G789" s="275">
        <f>ROUND(BF64,0)</f>
        <v>55365</v>
      </c>
      <c r="H789" s="275">
        <f>ROUND(BF65,0)</f>
        <v>0</v>
      </c>
      <c r="I789" s="275">
        <f>ROUND(BF66,0)</f>
        <v>5216</v>
      </c>
      <c r="J789" s="275">
        <f>ROUND(BF67,0)</f>
        <v>6390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399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">
      <c r="A790" s="209" t="str">
        <f>RIGHT($C$83,3)&amp;"*"&amp;RIGHT($C$82,4)&amp;"*"&amp;BG$55&amp;"*"&amp;"A"</f>
        <v>173*2021*8470*A</v>
      </c>
      <c r="B790" s="275"/>
      <c r="C790" s="277">
        <f>ROUND(BG60,2)</f>
        <v>1</v>
      </c>
      <c r="D790" s="275">
        <f>ROUND(BG61,0)</f>
        <v>75459</v>
      </c>
      <c r="E790" s="275">
        <f>ROUND(BG62,0)</f>
        <v>19264</v>
      </c>
      <c r="F790" s="275">
        <f>ROUND(BG63,0)</f>
        <v>0</v>
      </c>
      <c r="G790" s="275">
        <f>ROUND(BG64,0)</f>
        <v>35391</v>
      </c>
      <c r="H790" s="275">
        <f>ROUND(BG65,0)</f>
        <v>0</v>
      </c>
      <c r="I790" s="275">
        <f>ROUND(BG66,0)</f>
        <v>298539</v>
      </c>
      <c r="J790" s="275">
        <f>ROUND(BG67,0)</f>
        <v>7303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456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">
      <c r="A791" s="209" t="str">
        <f>RIGHT($C$83,3)&amp;"*"&amp;RIGHT($C$82,4)&amp;"*"&amp;BH$55&amp;"*"&amp;"A"</f>
        <v>173*2021*8480*A</v>
      </c>
      <c r="B791" s="275"/>
      <c r="C791" s="277">
        <f>ROUND(BH60,2)</f>
        <v>5</v>
      </c>
      <c r="D791" s="275">
        <f>ROUND(BH61,0)</f>
        <v>438134</v>
      </c>
      <c r="E791" s="275">
        <f>ROUND(BH62,0)</f>
        <v>99458</v>
      </c>
      <c r="F791" s="275">
        <f>ROUND(BH63,0)</f>
        <v>3500</v>
      </c>
      <c r="G791" s="275">
        <f>ROUND(BH64,0)</f>
        <v>90613</v>
      </c>
      <c r="H791" s="275">
        <f>ROUND(BH65,0)</f>
        <v>150263</v>
      </c>
      <c r="I791" s="275">
        <f>ROUND(BH66,0)</f>
        <v>1166906</v>
      </c>
      <c r="J791" s="275">
        <f>ROUND(BH67,0)</f>
        <v>1281</v>
      </c>
      <c r="K791" s="275">
        <f>ROUND(BH68,0)</f>
        <v>46696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80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">
      <c r="A792" s="209" t="str">
        <f>RIGHT($C$83,3)&amp;"*"&amp;RIGHT($C$82,4)&amp;"*"&amp;BI$55&amp;"*"&amp;"A"</f>
        <v>173*2021*8490*A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">
      <c r="A793" s="209" t="str">
        <f>RIGHT($C$83,3)&amp;"*"&amp;RIGHT($C$82,4)&amp;"*"&amp;BJ$55&amp;"*"&amp;"A"</f>
        <v>173*2021*8510*A</v>
      </c>
      <c r="B793" s="275"/>
      <c r="C793" s="277">
        <f>ROUND(BJ60,2)</f>
        <v>3</v>
      </c>
      <c r="D793" s="275">
        <f>ROUND(BJ61,0)</f>
        <v>241677</v>
      </c>
      <c r="E793" s="275">
        <f>ROUND(BJ62,0)</f>
        <v>63501</v>
      </c>
      <c r="F793" s="275">
        <f>ROUND(BJ63,0)</f>
        <v>48173</v>
      </c>
      <c r="G793" s="275">
        <f>ROUND(BJ64,0)</f>
        <v>1370</v>
      </c>
      <c r="H793" s="275">
        <f>ROUND(BJ65,0)</f>
        <v>0</v>
      </c>
      <c r="I793" s="275">
        <f>ROUND(BJ66,0)</f>
        <v>3259</v>
      </c>
      <c r="J793" s="275">
        <f>ROUND(BJ67,0)</f>
        <v>21941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1370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">
      <c r="A794" s="209" t="str">
        <f>RIGHT($C$83,3)&amp;"*"&amp;RIGHT($C$82,4)&amp;"*"&amp;BK$55&amp;"*"&amp;"A"</f>
        <v>173*2021*8530*A</v>
      </c>
      <c r="B794" s="275"/>
      <c r="C794" s="277">
        <f>ROUND(BK60,2)</f>
        <v>11</v>
      </c>
      <c r="D794" s="275">
        <f>ROUND(BK61,0)</f>
        <v>560499</v>
      </c>
      <c r="E794" s="275">
        <f>ROUND(BK62,0)</f>
        <v>134108</v>
      </c>
      <c r="F794" s="275">
        <f>ROUND(BK63,0)</f>
        <v>280380</v>
      </c>
      <c r="G794" s="275">
        <f>ROUND(BK64,0)</f>
        <v>3682</v>
      </c>
      <c r="H794" s="275">
        <f>ROUND(BK65,0)</f>
        <v>0</v>
      </c>
      <c r="I794" s="275">
        <f>ROUND(BK66,0)</f>
        <v>46563</v>
      </c>
      <c r="J794" s="275">
        <f>ROUND(BK67,0)</f>
        <v>21941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1370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">
      <c r="A795" s="209" t="str">
        <f>RIGHT($C$83,3)&amp;"*"&amp;RIGHT($C$82,4)&amp;"*"&amp;BL$55&amp;"*"&amp;"A"</f>
        <v>173*2021*8560*A</v>
      </c>
      <c r="B795" s="275"/>
      <c r="C795" s="277">
        <f>ROUND(BL60,2)</f>
        <v>11</v>
      </c>
      <c r="D795" s="275">
        <f>ROUND(BL61,0)</f>
        <v>433099</v>
      </c>
      <c r="E795" s="275">
        <f>ROUND(BL62,0)</f>
        <v>99934</v>
      </c>
      <c r="F795" s="275">
        <f>ROUND(BL63,0)</f>
        <v>0</v>
      </c>
      <c r="G795" s="275">
        <f>ROUND(BL64,0)</f>
        <v>7577</v>
      </c>
      <c r="H795" s="275">
        <f>ROUND(BL65,0)</f>
        <v>4361</v>
      </c>
      <c r="I795" s="275">
        <f>ROUND(BL66,0)</f>
        <v>2005</v>
      </c>
      <c r="J795" s="275">
        <f>ROUND(BL67,0)</f>
        <v>9866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616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">
      <c r="A796" s="209" t="str">
        <f>RIGHT($C$83,3)&amp;"*"&amp;RIGHT($C$82,4)&amp;"*"&amp;BM$55&amp;"*"&amp;"A"</f>
        <v>173*2021*8590*A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">
      <c r="A797" s="209" t="str">
        <f>RIGHT($C$83,3)&amp;"*"&amp;RIGHT($C$82,4)&amp;"*"&amp;BN$55&amp;"*"&amp;"A"</f>
        <v>173*2021*8610*A</v>
      </c>
      <c r="B797" s="275"/>
      <c r="C797" s="277">
        <f>ROUND(BN60,2)</f>
        <v>4</v>
      </c>
      <c r="D797" s="275">
        <f>ROUND(BN61,0)</f>
        <v>702574</v>
      </c>
      <c r="E797" s="275">
        <f>ROUND(BN62,0)</f>
        <v>167826</v>
      </c>
      <c r="F797" s="275">
        <f>ROUND(BN63,0)</f>
        <v>55081</v>
      </c>
      <c r="G797" s="275">
        <f>ROUND(BN64,0)</f>
        <v>92141</v>
      </c>
      <c r="H797" s="275">
        <f>ROUND(BN65,0)</f>
        <v>0</v>
      </c>
      <c r="I797" s="275">
        <f>ROUND(BN66,0)</f>
        <v>249327</v>
      </c>
      <c r="J797" s="275">
        <f>ROUND(BN67,0)</f>
        <v>14270</v>
      </c>
      <c r="K797" s="275">
        <f>ROUND(BN68,0)</f>
        <v>0</v>
      </c>
      <c r="L797" s="275">
        <f>ROUND(BN69,0)</f>
        <v>652167</v>
      </c>
      <c r="M797" s="275">
        <f>ROUND(BN70,0)</f>
        <v>0</v>
      </c>
      <c r="N797" s="275"/>
      <c r="O797" s="275"/>
      <c r="P797" s="275">
        <f>IF(BN76&gt;0,ROUND(BN76,0),0)</f>
        <v>891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">
      <c r="A798" s="209" t="str">
        <f>RIGHT($C$83,3)&amp;"*"&amp;RIGHT($C$82,4)&amp;"*"&amp;BO$55&amp;"*"&amp;"A"</f>
        <v>173*2021*8620*A</v>
      </c>
      <c r="B798" s="275"/>
      <c r="C798" s="277">
        <f>ROUND(BO60,2)</f>
        <v>1</v>
      </c>
      <c r="D798" s="275">
        <f>ROUND(BO61,0)</f>
        <v>57176</v>
      </c>
      <c r="E798" s="275">
        <f>ROUND(BO62,0)</f>
        <v>14228</v>
      </c>
      <c r="F798" s="275">
        <f>ROUND(BO63,0)</f>
        <v>5000</v>
      </c>
      <c r="G798" s="275">
        <f>ROUND(BO64,0)</f>
        <v>4969</v>
      </c>
      <c r="H798" s="275">
        <f>ROUND(BO65,0)</f>
        <v>0</v>
      </c>
      <c r="I798" s="275">
        <f>ROUND(BO66,0)</f>
        <v>6010</v>
      </c>
      <c r="J798" s="275">
        <f>ROUND(BO67,0)</f>
        <v>0</v>
      </c>
      <c r="K798" s="275">
        <f>ROUND(BO68,0)</f>
        <v>0</v>
      </c>
      <c r="L798" s="275">
        <f>ROUND(BO69,0)</f>
        <v>30161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">
      <c r="A799" s="209" t="str">
        <f>RIGHT($C$83,3)&amp;"*"&amp;RIGHT($C$82,4)&amp;"*"&amp;BP$55&amp;"*"&amp;"A"</f>
        <v>173*2021*8630*A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">
      <c r="A800" s="209" t="str">
        <f>RIGHT($C$83,3)&amp;"*"&amp;RIGHT($C$82,4)&amp;"*"&amp;BQ$55&amp;"*"&amp;"A"</f>
        <v>173*2021*8640*A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5460</v>
      </c>
      <c r="H800" s="275">
        <f>ROUND(BQ65,0)</f>
        <v>0</v>
      </c>
      <c r="I800" s="275">
        <f>ROUND(BQ66,0)</f>
        <v>391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">
      <c r="A801" s="209" t="str">
        <f>RIGHT($C$83,3)&amp;"*"&amp;RIGHT($C$82,4)&amp;"*"&amp;BR$55&amp;"*"&amp;"A"</f>
        <v>173*2021*8650*A</v>
      </c>
      <c r="B801" s="275"/>
      <c r="C801" s="277">
        <f>ROUND(BR60,2)</f>
        <v>4</v>
      </c>
      <c r="D801" s="275">
        <f>ROUND(BR61,0)</f>
        <v>365890</v>
      </c>
      <c r="E801" s="275">
        <f>ROUND(BR62,0)</f>
        <v>98489</v>
      </c>
      <c r="F801" s="275">
        <f>ROUND(BR63,0)</f>
        <v>7030</v>
      </c>
      <c r="G801" s="275">
        <f>ROUND(BR64,0)</f>
        <v>3252</v>
      </c>
      <c r="H801" s="275">
        <f>ROUND(BR65,0)</f>
        <v>0</v>
      </c>
      <c r="I801" s="275">
        <f>ROUND(BR66,0)</f>
        <v>33855</v>
      </c>
      <c r="J801" s="275">
        <f>ROUND(BR67,0)</f>
        <v>9001</v>
      </c>
      <c r="K801" s="275">
        <f>ROUND(BR68,0)</f>
        <v>0</v>
      </c>
      <c r="L801" s="275">
        <f>ROUND(BR69,0)</f>
        <v>53597</v>
      </c>
      <c r="M801" s="275">
        <f>ROUND(BR70,0)</f>
        <v>0</v>
      </c>
      <c r="N801" s="275"/>
      <c r="O801" s="275"/>
      <c r="P801" s="275">
        <f>IF(BR76&gt;0,ROUND(BR76,0),0)</f>
        <v>562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">
      <c r="A802" s="209" t="str">
        <f>RIGHT($C$83,3)&amp;"*"&amp;RIGHT($C$82,4)&amp;"*"&amp;BS$55&amp;"*"&amp;"A"</f>
        <v>173*2021*8660*A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13215</v>
      </c>
      <c r="H802" s="275">
        <f>ROUND(BS65,0)</f>
        <v>0</v>
      </c>
      <c r="I802" s="275">
        <f>ROUND(BS66,0)</f>
        <v>7726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">
      <c r="A803" s="209" t="str">
        <f>RIGHT($C$83,3)&amp;"*"&amp;RIGHT($C$82,4)&amp;"*"&amp;BT$55&amp;"*"&amp;"A"</f>
        <v>173*2021*8670*A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">
      <c r="A804" s="209" t="str">
        <f>RIGHT($C$83,3)&amp;"*"&amp;RIGHT($C$82,4)&amp;"*"&amp;BU$55&amp;"*"&amp;"A"</f>
        <v>173*2021*8680*A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">
      <c r="A805" s="209" t="str">
        <f>RIGHT($C$83,3)&amp;"*"&amp;RIGHT($C$82,4)&amp;"*"&amp;BV$55&amp;"*"&amp;"A"</f>
        <v>173*2021*8690*A</v>
      </c>
      <c r="B805" s="275"/>
      <c r="C805" s="277">
        <f>ROUND(BV60,2)</f>
        <v>3</v>
      </c>
      <c r="D805" s="275">
        <f>ROUND(BV61,0)</f>
        <v>153735</v>
      </c>
      <c r="E805" s="275">
        <f>ROUND(BV62,0)</f>
        <v>34609</v>
      </c>
      <c r="F805" s="275">
        <f>ROUND(BV63,0)</f>
        <v>0</v>
      </c>
      <c r="G805" s="275">
        <f>ROUND(BV64,0)</f>
        <v>3692</v>
      </c>
      <c r="H805" s="275">
        <f>ROUND(BV65,0)</f>
        <v>0</v>
      </c>
      <c r="I805" s="275">
        <f>ROUND(BV66,0)</f>
        <v>24348</v>
      </c>
      <c r="J805" s="275">
        <f>ROUND(BV67,0)</f>
        <v>18162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1134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">
      <c r="A806" s="209" t="str">
        <f>RIGHT($C$83,3)&amp;"*"&amp;RIGHT($C$82,4)&amp;"*"&amp;BW$55&amp;"*"&amp;"A"</f>
        <v>173*2021*8700*A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">
      <c r="A807" s="209" t="str">
        <f>RIGHT($C$83,3)&amp;"*"&amp;RIGHT($C$82,4)&amp;"*"&amp;BX$55&amp;"*"&amp;"A"</f>
        <v>173*2021*8710*A</v>
      </c>
      <c r="B807" s="275"/>
      <c r="C807" s="277">
        <f>ROUND(BX60,2)</f>
        <v>3</v>
      </c>
      <c r="D807" s="275">
        <f>ROUND(BX61,0)</f>
        <v>105001</v>
      </c>
      <c r="E807" s="275">
        <f>ROUND(BX62,0)</f>
        <v>26391</v>
      </c>
      <c r="F807" s="275">
        <f>ROUND(BX63,0)</f>
        <v>18925</v>
      </c>
      <c r="G807" s="275">
        <f>ROUND(BX64,0)</f>
        <v>1655</v>
      </c>
      <c r="H807" s="275">
        <f>ROUND(BX65,0)</f>
        <v>0</v>
      </c>
      <c r="I807" s="275">
        <f>ROUND(BX66,0)</f>
        <v>57916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">
      <c r="A808" s="209" t="str">
        <f>RIGHT($C$83,3)&amp;"*"&amp;RIGHT($C$82,4)&amp;"*"&amp;BY$55&amp;"*"&amp;"A"</f>
        <v>173*2021*8720*A</v>
      </c>
      <c r="B808" s="275"/>
      <c r="C808" s="277">
        <f>ROUND(BY60,2)</f>
        <v>5</v>
      </c>
      <c r="D808" s="275">
        <f>ROUND(BY61,0)</f>
        <v>483366</v>
      </c>
      <c r="E808" s="275">
        <f>ROUND(BY62,0)</f>
        <v>115211</v>
      </c>
      <c r="F808" s="275">
        <f>ROUND(BY63,0)</f>
        <v>0</v>
      </c>
      <c r="G808" s="275">
        <f>ROUND(BY64,0)</f>
        <v>692</v>
      </c>
      <c r="H808" s="275">
        <f>ROUND(BY65,0)</f>
        <v>0</v>
      </c>
      <c r="I808" s="275">
        <f>ROUND(BY66,0)</f>
        <v>38312</v>
      </c>
      <c r="J808" s="275">
        <f>ROUND(BY67,0)</f>
        <v>11323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707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">
      <c r="A809" s="209" t="str">
        <f>RIGHT($C$83,3)&amp;"*"&amp;RIGHT($C$82,4)&amp;"*"&amp;BZ$55&amp;"*"&amp;"A"</f>
        <v>173*2021*8730*A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">
      <c r="A810" s="209" t="str">
        <f>RIGHT($C$83,3)&amp;"*"&amp;RIGHT($C$82,4)&amp;"*"&amp;CA$55&amp;"*"&amp;"A"</f>
        <v>173*2021*8740*A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">
      <c r="A811" s="209" t="str">
        <f>RIGHT($C$83,3)&amp;"*"&amp;RIGHT($C$82,4)&amp;"*"&amp;CB$55&amp;"*"&amp;"A"</f>
        <v>173*2021*8770*A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75</v>
      </c>
      <c r="H811" s="275">
        <f>ROUND(CB65,0)</f>
        <v>0</v>
      </c>
      <c r="I811" s="275">
        <f>ROUND(CB66,0)</f>
        <v>540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">
      <c r="A812" s="209" t="str">
        <f>RIGHT($C$83,3)&amp;"*"&amp;RIGHT($C$82,4)&amp;"*"&amp;CC$55&amp;"*"&amp;"A"</f>
        <v>173*2021*8790*A</v>
      </c>
      <c r="B812" s="275"/>
      <c r="C812" s="277">
        <f>ROUND(CC60,2)</f>
        <v>0</v>
      </c>
      <c r="D812" s="275">
        <f>ROUND(CC61,0)</f>
        <v>748844</v>
      </c>
      <c r="E812" s="275">
        <f>ROUND(CC62,0)</f>
        <v>123057</v>
      </c>
      <c r="F812" s="275">
        <f>ROUND(CC63,0)</f>
        <v>9563</v>
      </c>
      <c r="G812" s="275">
        <f>ROUND(CC64,0)</f>
        <v>45298</v>
      </c>
      <c r="H812" s="275">
        <f>ROUND(CC65,0)</f>
        <v>385</v>
      </c>
      <c r="I812" s="275">
        <f>ROUND(CC66,0)</f>
        <v>435566</v>
      </c>
      <c r="J812" s="275">
        <f>ROUND(CC67,0)</f>
        <v>0</v>
      </c>
      <c r="K812" s="275">
        <f>ROUND(CC68,0)</f>
        <v>10311</v>
      </c>
      <c r="L812" s="275">
        <f>ROUND(CC69,0)</f>
        <v>171462</v>
      </c>
      <c r="M812" s="275">
        <f>ROUND(CC70,0)</f>
        <v>2286048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">
      <c r="A813" s="209" t="str">
        <f>RIGHT($C$83,3)&amp;"*"&amp;RIGHT($C$82,4)&amp;"*"&amp;"9000"&amp;"*"&amp;"A"</f>
        <v>173*2021*9000*A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2161271</v>
      </c>
      <c r="X813" s="275">
        <f>ROUND(C131,0)</f>
        <v>1780729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">
      <c r="B815" s="279" t="s">
        <v>1004</v>
      </c>
      <c r="C815" s="280">
        <f t="shared" ref="C815:K815" si="22">SUM(C734:C813)</f>
        <v>199</v>
      </c>
      <c r="D815" s="276">
        <f t="shared" si="22"/>
        <v>18707786</v>
      </c>
      <c r="E815" s="276">
        <f t="shared" si="22"/>
        <v>4143764</v>
      </c>
      <c r="F815" s="276">
        <f t="shared" si="22"/>
        <v>1380397</v>
      </c>
      <c r="G815" s="276">
        <f t="shared" si="22"/>
        <v>2330582</v>
      </c>
      <c r="H815" s="276">
        <f t="shared" si="22"/>
        <v>481941</v>
      </c>
      <c r="I815" s="276">
        <f t="shared" si="22"/>
        <v>4199687</v>
      </c>
      <c r="J815" s="276">
        <f t="shared" si="22"/>
        <v>1256255</v>
      </c>
      <c r="K815" s="276">
        <f t="shared" si="22"/>
        <v>253016</v>
      </c>
      <c r="L815" s="276">
        <f>SUM(L734:L813)+SUM(U734:U813)</f>
        <v>989008</v>
      </c>
      <c r="M815" s="276">
        <f>SUM(M734:M813)+SUM(V734:V813)</f>
        <v>2286048</v>
      </c>
      <c r="N815" s="276">
        <f t="shared" ref="N815:Y815" si="23">SUM(N734:N813)</f>
        <v>46621440</v>
      </c>
      <c r="O815" s="276">
        <f t="shared" si="23"/>
        <v>8572277</v>
      </c>
      <c r="P815" s="276">
        <f t="shared" si="23"/>
        <v>78440</v>
      </c>
      <c r="Q815" s="276">
        <f t="shared" si="23"/>
        <v>25800</v>
      </c>
      <c r="R815" s="276">
        <f t="shared" si="23"/>
        <v>14000</v>
      </c>
      <c r="S815" s="276">
        <f t="shared" si="23"/>
        <v>93000</v>
      </c>
      <c r="T815" s="280">
        <f t="shared" si="23"/>
        <v>32</v>
      </c>
      <c r="U815" s="276">
        <f t="shared" si="23"/>
        <v>0</v>
      </c>
      <c r="V815" s="276">
        <f t="shared" si="23"/>
        <v>0</v>
      </c>
      <c r="W815" s="276">
        <f t="shared" si="23"/>
        <v>2161271</v>
      </c>
      <c r="X815" s="276">
        <f t="shared" si="23"/>
        <v>1780729</v>
      </c>
      <c r="Y815" s="276">
        <f t="shared" si="23"/>
        <v>10823257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">
      <c r="B816" s="276" t="s">
        <v>1005</v>
      </c>
      <c r="C816" s="280">
        <f>CE60</f>
        <v>199</v>
      </c>
      <c r="D816" s="276">
        <f>CE61</f>
        <v>18707786</v>
      </c>
      <c r="E816" s="276">
        <f>CE62</f>
        <v>4143764</v>
      </c>
      <c r="F816" s="276">
        <f>CE63</f>
        <v>1380397</v>
      </c>
      <c r="G816" s="276">
        <f>CE64</f>
        <v>2330582</v>
      </c>
      <c r="H816" s="279">
        <f>CE65</f>
        <v>481941</v>
      </c>
      <c r="I816" s="279">
        <f>CE66</f>
        <v>4199687</v>
      </c>
      <c r="J816" s="279">
        <f>CE67</f>
        <v>1256255</v>
      </c>
      <c r="K816" s="279">
        <f>CE68</f>
        <v>253016</v>
      </c>
      <c r="L816" s="279">
        <f>CE69</f>
        <v>989008</v>
      </c>
      <c r="M816" s="279">
        <f>CE70</f>
        <v>2286048</v>
      </c>
      <c r="N816" s="276">
        <f>CE75</f>
        <v>46621440</v>
      </c>
      <c r="O816" s="276">
        <f>CE73</f>
        <v>8572277</v>
      </c>
      <c r="P816" s="276">
        <f>CE76</f>
        <v>78440</v>
      </c>
      <c r="Q816" s="276">
        <f>CE77</f>
        <v>25800</v>
      </c>
      <c r="R816" s="276">
        <f>CE78</f>
        <v>14000</v>
      </c>
      <c r="S816" s="276">
        <f>CE79</f>
        <v>93000</v>
      </c>
      <c r="T816" s="280">
        <f>CE80</f>
        <v>32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10823257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18707786</v>
      </c>
      <c r="E817" s="180">
        <f>C379</f>
        <v>4143763</v>
      </c>
      <c r="F817" s="180">
        <f>C380</f>
        <v>1380397</v>
      </c>
      <c r="G817" s="240">
        <f>C381</f>
        <v>2330582</v>
      </c>
      <c r="H817" s="240">
        <f>C382</f>
        <v>481941</v>
      </c>
      <c r="I817" s="240">
        <f>C383</f>
        <v>4199687</v>
      </c>
      <c r="J817" s="240">
        <f>C384</f>
        <v>1256255</v>
      </c>
      <c r="K817" s="240">
        <f>C385</f>
        <v>253016</v>
      </c>
      <c r="L817" s="240">
        <f>C386+C387+C388+C389</f>
        <v>989009</v>
      </c>
      <c r="M817" s="240">
        <f>C370</f>
        <v>2286048</v>
      </c>
      <c r="N817" s="180">
        <f>D361</f>
        <v>46621440</v>
      </c>
      <c r="O817" s="180">
        <f>C359</f>
        <v>8572277</v>
      </c>
    </row>
  </sheetData>
  <sheetProtection algorithmName="SHA-512" hashValue="8/liBAZ6Kf5Id9SDzSi98YbafFZfmCsICMtozWtahRiGEUcnr7RxRlStOw4PXlxFU3LWQ5Eeb/NoDaAvCZy4/w==" saltValue="hhN6mlB3EPerZ87aQvHthw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7" transitionEvaluation="1" transitionEntry="1" codeName="Sheet10">
    <pageSetUpPr autoPageBreaks="0" fitToPage="1"/>
  </sheetPr>
  <dimension ref="A1:CF816"/>
  <sheetViews>
    <sheetView showGridLines="0" topLeftCell="A67" zoomScale="75" workbookViewId="0">
      <selection activeCell="C82" sqref="C82:C8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1" t="s">
        <v>1265</v>
      </c>
      <c r="C16" s="235"/>
    </row>
    <row r="17" spans="1:7" ht="12.75" customHeight="1" x14ac:dyDescent="0.3">
      <c r="A17" s="291" t="s">
        <v>1264</v>
      </c>
      <c r="C17" s="286"/>
      <c r="F17" s="236"/>
    </row>
    <row r="18" spans="1:7" ht="12.75" customHeight="1" x14ac:dyDescent="0.3">
      <c r="A18" s="289"/>
      <c r="C18" s="235"/>
    </row>
    <row r="19" spans="1:7" ht="12.75" customHeight="1" x14ac:dyDescent="0.3">
      <c r="C19" s="235"/>
    </row>
    <row r="20" spans="1:7" ht="12.75" customHeight="1" x14ac:dyDescent="0.3">
      <c r="A20" s="272" t="s">
        <v>1233</v>
      </c>
      <c r="B20" s="272"/>
      <c r="C20" s="287"/>
      <c r="D20" s="272"/>
      <c r="E20" s="272"/>
      <c r="F20" s="272"/>
      <c r="G20" s="272"/>
    </row>
    <row r="21" spans="1:7" ht="22.5" customHeight="1" x14ac:dyDescent="0.3">
      <c r="A21" s="199"/>
      <c r="C21" s="235"/>
    </row>
    <row r="22" spans="1:7" ht="12.65" customHeight="1" x14ac:dyDescent="0.3">
      <c r="A22" s="272" t="s">
        <v>1253</v>
      </c>
      <c r="B22" s="290"/>
      <c r="C22" s="287"/>
      <c r="D22" s="272"/>
      <c r="E22" s="272"/>
      <c r="F22" s="272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">
      <c r="A47" s="294" t="s">
        <v>204</v>
      </c>
      <c r="B47" s="298"/>
      <c r="C47" s="299"/>
      <c r="D47" s="299"/>
      <c r="E47" s="299">
        <v>172237</v>
      </c>
      <c r="F47" s="299"/>
      <c r="G47" s="299"/>
      <c r="H47" s="299"/>
      <c r="I47" s="299"/>
      <c r="J47" s="299"/>
      <c r="K47" s="299">
        <v>58811</v>
      </c>
      <c r="L47" s="299"/>
      <c r="M47" s="299"/>
      <c r="N47" s="299"/>
      <c r="O47" s="299"/>
      <c r="P47" s="299">
        <v>40296</v>
      </c>
      <c r="Q47" s="299"/>
      <c r="R47" s="299">
        <v>49946</v>
      </c>
      <c r="S47" s="299"/>
      <c r="T47" s="299"/>
      <c r="U47" s="299">
        <v>63086</v>
      </c>
      <c r="V47" s="299"/>
      <c r="W47" s="299"/>
      <c r="X47" s="299"/>
      <c r="Y47" s="299">
        <v>69156</v>
      </c>
      <c r="Z47" s="299"/>
      <c r="AA47" s="299"/>
      <c r="AB47" s="299"/>
      <c r="AC47" s="299">
        <v>35307</v>
      </c>
      <c r="AD47" s="299"/>
      <c r="AE47" s="299">
        <v>83027</v>
      </c>
      <c r="AF47" s="299"/>
      <c r="AG47" s="299">
        <f>78384+48938</f>
        <v>127322</v>
      </c>
      <c r="AH47" s="299"/>
      <c r="AI47" s="299">
        <v>792</v>
      </c>
      <c r="AJ47" s="299">
        <v>297201</v>
      </c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>
        <v>44150</v>
      </c>
      <c r="AZ47" s="299"/>
      <c r="BA47" s="299">
        <v>10690</v>
      </c>
      <c r="BB47" s="299"/>
      <c r="BC47" s="299">
        <v>2523</v>
      </c>
      <c r="BD47" s="299">
        <v>11988</v>
      </c>
      <c r="BE47" s="299">
        <v>33144</v>
      </c>
      <c r="BF47" s="299">
        <v>28487</v>
      </c>
      <c r="BG47" s="299">
        <v>7660</v>
      </c>
      <c r="BH47" s="299">
        <f>26682+24785</f>
        <v>51467</v>
      </c>
      <c r="BI47" s="299"/>
      <c r="BJ47" s="299">
        <v>31769</v>
      </c>
      <c r="BK47" s="299">
        <v>59268</v>
      </c>
      <c r="BL47" s="299">
        <v>38259</v>
      </c>
      <c r="BM47" s="299"/>
      <c r="BN47" s="299">
        <v>59383</v>
      </c>
      <c r="BO47" s="299">
        <v>9459</v>
      </c>
      <c r="BP47" s="299"/>
      <c r="BQ47" s="299"/>
      <c r="BR47" s="299">
        <v>40690</v>
      </c>
      <c r="BS47" s="299"/>
      <c r="BT47" s="299"/>
      <c r="BU47" s="299"/>
      <c r="BV47" s="299">
        <v>13182</v>
      </c>
      <c r="BW47" s="299"/>
      <c r="BX47" s="299">
        <v>14656</v>
      </c>
      <c r="BY47" s="299">
        <v>75511</v>
      </c>
      <c r="BZ47" s="299"/>
      <c r="CA47" s="299"/>
      <c r="CB47" s="299"/>
      <c r="CC47" s="299"/>
      <c r="CD47" s="294"/>
      <c r="CE47" s="294">
        <f>SUM(C47:CC47)</f>
        <v>1529467</v>
      </c>
      <c r="CF47" s="2"/>
    </row>
    <row r="48" spans="1:84" ht="12.65" customHeight="1" x14ac:dyDescent="0.3">
      <c r="A48" s="294" t="s">
        <v>205</v>
      </c>
      <c r="B48" s="298">
        <v>2400039</v>
      </c>
      <c r="C48" s="300">
        <f>ROUND(((B48/CE61)*C61),0)</f>
        <v>0</v>
      </c>
      <c r="D48" s="300">
        <f>ROUND(((B48/CE61)*D61),0)</f>
        <v>0</v>
      </c>
      <c r="E48" s="294">
        <f>ROUND(((B48/CE61)*E61),0)</f>
        <v>325778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0</v>
      </c>
      <c r="I48" s="294">
        <f>ROUND(((B48/CE61)*I61),0)</f>
        <v>0</v>
      </c>
      <c r="J48" s="294">
        <f>ROUND(((B48/CE61)*J61),0)</f>
        <v>0</v>
      </c>
      <c r="K48" s="294">
        <f>ROUND(((B48/CE61)*K61),0)</f>
        <v>78886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0</v>
      </c>
      <c r="P48" s="294">
        <f>ROUND(((B48/CE61)*P61),0)</f>
        <v>62000</v>
      </c>
      <c r="Q48" s="294">
        <f>ROUND(((B48/CE61)*Q61),0)</f>
        <v>0</v>
      </c>
      <c r="R48" s="294">
        <f>ROUND(((B48/CE61)*R61),0)</f>
        <v>61249</v>
      </c>
      <c r="S48" s="294">
        <f>ROUND(((B48/CE61)*S61),0)</f>
        <v>0</v>
      </c>
      <c r="T48" s="294">
        <f>ROUND(((B48/CE61)*T61),0)</f>
        <v>0</v>
      </c>
      <c r="U48" s="294">
        <f>ROUND(((B48/CE61)*U61),0)</f>
        <v>88622</v>
      </c>
      <c r="V48" s="294">
        <f>ROUND(((B48/CE61)*V61),0)</f>
        <v>0</v>
      </c>
      <c r="W48" s="294">
        <f>ROUND(((B48/CE61)*W61),0)</f>
        <v>0</v>
      </c>
      <c r="X48" s="294">
        <f>ROUND(((B48/CE61)*X61),0)</f>
        <v>0</v>
      </c>
      <c r="Y48" s="294">
        <f>ROUND(((B48/CE61)*Y61),0)</f>
        <v>99453</v>
      </c>
      <c r="Z48" s="294">
        <f>ROUND(((B48/CE61)*Z61),0)</f>
        <v>0</v>
      </c>
      <c r="AA48" s="294">
        <f>ROUND(((B48/CE61)*AA61),0)</f>
        <v>0</v>
      </c>
      <c r="AB48" s="294">
        <f>ROUND(((B48/CE61)*AB61),0)</f>
        <v>36502</v>
      </c>
      <c r="AC48" s="294">
        <f>ROUND(((B48/CE61)*AC61),0)</f>
        <v>41046</v>
      </c>
      <c r="AD48" s="294">
        <f>ROUND(((B48/CE61)*AD61),0)</f>
        <v>0</v>
      </c>
      <c r="AE48" s="294">
        <f>ROUND(((B48/CE61)*AE61),0)</f>
        <v>128563</v>
      </c>
      <c r="AF48" s="294">
        <f>ROUND(((B48/CE61)*AF61),0)</f>
        <v>0</v>
      </c>
      <c r="AG48" s="294">
        <f>ROUND(((B48/CE61)*AG61),0)</f>
        <v>201626</v>
      </c>
      <c r="AH48" s="294">
        <f>ROUND(((B48/CE61)*AH61),0)</f>
        <v>0</v>
      </c>
      <c r="AI48" s="294">
        <f>ROUND(((B48/CE61)*AI61),0)</f>
        <v>873</v>
      </c>
      <c r="AJ48" s="294">
        <f>ROUND(((B48/CE61)*AJ61),0)</f>
        <v>486818</v>
      </c>
      <c r="AK48" s="294">
        <f>ROUND(((B48/CE61)*AK61),0)</f>
        <v>0</v>
      </c>
      <c r="AL48" s="294">
        <f>ROUND(((B48/CE61)*AL61),0)</f>
        <v>0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56456</v>
      </c>
      <c r="AZ48" s="294">
        <f>ROUND(((B48/CE61)*AZ61),0)</f>
        <v>0</v>
      </c>
      <c r="BA48" s="294">
        <f>ROUND(((B48/CE61)*BA61),0)</f>
        <v>13119</v>
      </c>
      <c r="BB48" s="294">
        <f>ROUND(((B48/CE61)*BB61),0)</f>
        <v>0</v>
      </c>
      <c r="BC48" s="294">
        <f>ROUND(((B48/CE61)*BC61),0)</f>
        <v>4616</v>
      </c>
      <c r="BD48" s="294">
        <f>ROUND(((B48/CE61)*BD61),0)</f>
        <v>11981</v>
      </c>
      <c r="BE48" s="294">
        <f>ROUND(((B48/CE61)*BE61),0)</f>
        <v>50577</v>
      </c>
      <c r="BF48" s="294">
        <f>ROUND(((B48/CE61)*BF61),0)</f>
        <v>44008</v>
      </c>
      <c r="BG48" s="294">
        <f>ROUND(((B48/CE61)*BG61),0)</f>
        <v>8108</v>
      </c>
      <c r="BH48" s="294">
        <f>ROUND(((B48/CE61)*BH61),0)</f>
        <v>71446</v>
      </c>
      <c r="BI48" s="294">
        <f>ROUND(((B48/CE61)*BI61),0)</f>
        <v>0</v>
      </c>
      <c r="BJ48" s="294">
        <f>ROUND(((B48/CE61)*BJ61),0)</f>
        <v>33149</v>
      </c>
      <c r="BK48" s="294">
        <f>ROUND(((B48/CE61)*BK61),0)</f>
        <v>76409</v>
      </c>
      <c r="BL48" s="294">
        <f>ROUND(((B48/CE61)*BL61),0)</f>
        <v>49530</v>
      </c>
      <c r="BM48" s="294">
        <f>ROUND(((B48/CE61)*BM61),0)</f>
        <v>0</v>
      </c>
      <c r="BN48" s="294">
        <f>ROUND(((B48/CE61)*BN61),0)</f>
        <v>85087</v>
      </c>
      <c r="BO48" s="294">
        <f>ROUND(((B48/CE61)*BO61),0)</f>
        <v>10204</v>
      </c>
      <c r="BP48" s="294">
        <f>ROUND(((B48/CE61)*BP61),0)</f>
        <v>0</v>
      </c>
      <c r="BQ48" s="294">
        <f>ROUND(((B48/CE61)*BQ61),0)</f>
        <v>0</v>
      </c>
      <c r="BR48" s="294">
        <f>ROUND(((B48/CE61)*BR61),0)</f>
        <v>40659</v>
      </c>
      <c r="BS48" s="294">
        <f>ROUND(((B48/CE61)*BS61),0)</f>
        <v>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19252</v>
      </c>
      <c r="BW48" s="294">
        <f>ROUND(((B48/CE61)*BW61),0)</f>
        <v>0</v>
      </c>
      <c r="BX48" s="294">
        <f>ROUND(((B48/CE61)*BX61),0)</f>
        <v>15887</v>
      </c>
      <c r="BY48" s="294">
        <f>ROUND(((B48/CE61)*BY61),0)</f>
        <v>91829</v>
      </c>
      <c r="BZ48" s="294">
        <f>ROUND(((B48/CE61)*BZ61),0)</f>
        <v>0</v>
      </c>
      <c r="CA48" s="294">
        <f>ROUND(((B48/CE61)*CA61),0)</f>
        <v>0</v>
      </c>
      <c r="CB48" s="294">
        <f>ROUND(((B48/CE61)*CB61),0)</f>
        <v>0</v>
      </c>
      <c r="CC48" s="294">
        <f>ROUND(((B48/CE61)*CC61),0)</f>
        <v>106305</v>
      </c>
      <c r="CD48" s="294"/>
      <c r="CE48" s="294">
        <f>SUM(C48:CD48)</f>
        <v>2400038</v>
      </c>
      <c r="CF48" s="2"/>
    </row>
    <row r="49" spans="1:84" ht="12.65" customHeight="1" x14ac:dyDescent="0.3">
      <c r="A49" s="294" t="s">
        <v>206</v>
      </c>
      <c r="B49" s="294">
        <f>B47+B48</f>
        <v>2400039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">
      <c r="A51" s="301" t="s">
        <v>207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>
        <v>0</v>
      </c>
      <c r="CD51" s="294"/>
      <c r="CE51" s="294">
        <f>SUM(C51:CD51)</f>
        <v>0</v>
      </c>
      <c r="CF51" s="2"/>
    </row>
    <row r="52" spans="1:84" ht="12.65" customHeight="1" x14ac:dyDescent="0.3">
      <c r="A52" s="301" t="s">
        <v>208</v>
      </c>
      <c r="B52" s="299">
        <v>1720483</v>
      </c>
      <c r="C52" s="294">
        <f>ROUND((B52/(CE76+CF76)*C76),0)</f>
        <v>0</v>
      </c>
      <c r="D52" s="294">
        <f>ROUND((B52/(CE76+CF76)*D76),0)</f>
        <v>0</v>
      </c>
      <c r="E52" s="294">
        <f>ROUND((B52/(CE76+CF76)*E76),0)</f>
        <v>402111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0</v>
      </c>
      <c r="I52" s="294">
        <f>ROUND((B52/(CE76+CF76)*I76),0)</f>
        <v>0</v>
      </c>
      <c r="J52" s="294">
        <f>ROUND((B52/(CE76+CF76)*J76),0)</f>
        <v>0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0</v>
      </c>
      <c r="P52" s="294">
        <f>ROUND((B52/(CE76+CF76)*P76),0)</f>
        <v>28426</v>
      </c>
      <c r="Q52" s="294">
        <f>ROUND((B52/(CE76+CF76)*Q76),0)</f>
        <v>0</v>
      </c>
      <c r="R52" s="294">
        <f>ROUND((B52/(CE76+CF76)*R76),0)</f>
        <v>0</v>
      </c>
      <c r="S52" s="294">
        <f>ROUND((B52/(CE76+CF76)*S76),0)</f>
        <v>0</v>
      </c>
      <c r="T52" s="294">
        <f>ROUND((B52/(CE76+CF76)*T76),0)</f>
        <v>0</v>
      </c>
      <c r="U52" s="294">
        <f>ROUND((B52/(CE76+CF76)*U76),0)</f>
        <v>23096</v>
      </c>
      <c r="V52" s="294">
        <f>ROUND((B52/(CE76+CF76)*V76),0)</f>
        <v>0</v>
      </c>
      <c r="W52" s="294">
        <f>ROUND((B52/(CE76+CF76)*W76),0)</f>
        <v>0</v>
      </c>
      <c r="X52" s="294">
        <f>ROUND((B52/(CE76+CF76)*X76),0)</f>
        <v>0</v>
      </c>
      <c r="Y52" s="294">
        <f>ROUND((B52/(CE76+CF76)*Y76),0)</f>
        <v>53803</v>
      </c>
      <c r="Z52" s="294">
        <f>ROUND((B52/(CE76+CF76)*Z76),0)</f>
        <v>0</v>
      </c>
      <c r="AA52" s="294">
        <f>ROUND((B52/(CE76+CF76)*AA76),0)</f>
        <v>0</v>
      </c>
      <c r="AB52" s="294">
        <f>ROUND((B52/(CE76+CF76)*AB76),0)</f>
        <v>10923</v>
      </c>
      <c r="AC52" s="294">
        <f>ROUND((B52/(CE76+CF76)*AC76),0)</f>
        <v>21758</v>
      </c>
      <c r="AD52" s="294">
        <f>ROUND((B52/(CE76+CF76)*AD76),0)</f>
        <v>0</v>
      </c>
      <c r="AE52" s="294">
        <f>ROUND((B52/(CE76+CF76)*AE76),0)</f>
        <v>61985</v>
      </c>
      <c r="AF52" s="294">
        <f>ROUND((B52/(CE76+CF76)*AF76),0)</f>
        <v>0</v>
      </c>
      <c r="AG52" s="294">
        <f>ROUND((B52/(CE76+CF76)*AG76),0)</f>
        <v>77602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177049</v>
      </c>
      <c r="AK52" s="294">
        <f>ROUND((B52/(CE76+CF76)*AK76),0)</f>
        <v>0</v>
      </c>
      <c r="AL52" s="294">
        <f>ROUND((B52/(CE76+CF76)*AL76),0)</f>
        <v>0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0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72666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61765</v>
      </c>
      <c r="AZ52" s="294">
        <f>ROUND((B52/(CE76+CF76)*AZ76),0)</f>
        <v>0</v>
      </c>
      <c r="BA52" s="294">
        <f>ROUND((B52/(CE76+CF76)*BA76),0)</f>
        <v>14849</v>
      </c>
      <c r="BB52" s="294">
        <f>ROUND((B52/(CE76+CF76)*BB76),0)</f>
        <v>0</v>
      </c>
      <c r="BC52" s="294">
        <f>ROUND((B52/(CE76+CF76)*BC76),0)</f>
        <v>0</v>
      </c>
      <c r="BD52" s="294">
        <f>ROUND((B52/(CE76+CF76)*BD76),0)</f>
        <v>16538</v>
      </c>
      <c r="BE52" s="294">
        <f>ROUND((B52/(CE76+CF76)*BE76),0)</f>
        <v>531542</v>
      </c>
      <c r="BF52" s="294">
        <f>ROUND((B52/(CE76+CF76)*BF76),0)</f>
        <v>8752</v>
      </c>
      <c r="BG52" s="294">
        <f>ROUND((B52/(CE76+CF76)*BG76),0)</f>
        <v>10002</v>
      </c>
      <c r="BH52" s="294">
        <f>ROUND((B52/(CE76+CF76)*BH76),0)</f>
        <v>1755</v>
      </c>
      <c r="BI52" s="294">
        <f>ROUND((B52/(CE76+CF76)*BI76),0)</f>
        <v>0</v>
      </c>
      <c r="BJ52" s="294">
        <f>ROUND((B52/(CE76+CF76)*BJ76),0)</f>
        <v>30049</v>
      </c>
      <c r="BK52" s="294">
        <f>ROUND((B52/(CE76+CF76)*BK76),0)</f>
        <v>30049</v>
      </c>
      <c r="BL52" s="294">
        <f>ROUND((B52/(CE76+CF76)*BL76),0)</f>
        <v>13511</v>
      </c>
      <c r="BM52" s="294">
        <f>ROUND((B52/(CE76+CF76)*BM76),0)</f>
        <v>0</v>
      </c>
      <c r="BN52" s="294">
        <f>ROUND((B52/(CE76+CF76)*BN76),0)</f>
        <v>19543</v>
      </c>
      <c r="BO52" s="294">
        <f>ROUND((B52/(CE76+CF76)*BO76),0)</f>
        <v>0</v>
      </c>
      <c r="BP52" s="294">
        <f>ROUND((B52/(CE76+CF76)*BP76),0)</f>
        <v>0</v>
      </c>
      <c r="BQ52" s="294">
        <f>ROUND((B52/(CE76+CF76)*BQ76),0)</f>
        <v>0</v>
      </c>
      <c r="BR52" s="294">
        <f>ROUND((B52/(CE76+CF76)*BR76),0)</f>
        <v>12327</v>
      </c>
      <c r="BS52" s="294">
        <f>ROUND((B52/(CE76+CF76)*BS76),0)</f>
        <v>0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24873</v>
      </c>
      <c r="BW52" s="294">
        <f>ROUND((B52/(CE76+CF76)*BW76),0)</f>
        <v>0</v>
      </c>
      <c r="BX52" s="294">
        <f>ROUND((B52/(CE76+CF76)*BX76),0)</f>
        <v>0</v>
      </c>
      <c r="BY52" s="294">
        <f>ROUND((B52/(CE76+CF76)*BY76),0)</f>
        <v>15507</v>
      </c>
      <c r="BZ52" s="294">
        <f>ROUND((B52/(CE76+CF76)*BZ76),0)</f>
        <v>0</v>
      </c>
      <c r="CA52" s="294">
        <f>ROUND((B52/(CE76+CF76)*CA76),0)</f>
        <v>0</v>
      </c>
      <c r="CB52" s="294">
        <f>ROUND((B52/(CE76+CF76)*CB76),0)</f>
        <v>0</v>
      </c>
      <c r="CC52" s="294">
        <f>ROUND((B52/(CE76+CF76)*CC76),0)</f>
        <v>0</v>
      </c>
      <c r="CD52" s="294"/>
      <c r="CE52" s="294">
        <f>SUM(C52:CD52)</f>
        <v>1720481</v>
      </c>
      <c r="CF52" s="2"/>
    </row>
    <row r="53" spans="1:84" ht="12.65" customHeight="1" x14ac:dyDescent="0.3">
      <c r="A53" s="294" t="s">
        <v>206</v>
      </c>
      <c r="B53" s="294">
        <f>B51+B52</f>
        <v>1720483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">
      <c r="A59" s="301" t="s">
        <v>233</v>
      </c>
      <c r="B59" s="294"/>
      <c r="C59" s="299"/>
      <c r="D59" s="299"/>
      <c r="E59" s="299">
        <v>517</v>
      </c>
      <c r="F59" s="299"/>
      <c r="G59" s="299"/>
      <c r="H59" s="299"/>
      <c r="I59" s="299"/>
      <c r="J59" s="299"/>
      <c r="K59" s="299">
        <v>2467</v>
      </c>
      <c r="L59" s="299"/>
      <c r="M59" s="299"/>
      <c r="N59" s="299"/>
      <c r="O59" s="299"/>
      <c r="P59" s="185">
        <v>15676</v>
      </c>
      <c r="Q59" s="185"/>
      <c r="R59" s="185">
        <v>22263</v>
      </c>
      <c r="S59" s="248"/>
      <c r="T59" s="248"/>
      <c r="U59" s="224">
        <v>44529</v>
      </c>
      <c r="V59" s="185"/>
      <c r="W59" s="185">
        <v>252</v>
      </c>
      <c r="X59" s="185">
        <v>1730</v>
      </c>
      <c r="Y59" s="185">
        <f>5662-42</f>
        <v>5620</v>
      </c>
      <c r="Z59" s="185"/>
      <c r="AA59" s="185">
        <v>42</v>
      </c>
      <c r="AB59" s="248"/>
      <c r="AC59" s="185">
        <v>6699</v>
      </c>
      <c r="AD59" s="185"/>
      <c r="AE59" s="185">
        <v>18174</v>
      </c>
      <c r="AF59" s="185"/>
      <c r="AG59" s="185">
        <v>4159</v>
      </c>
      <c r="AH59" s="185"/>
      <c r="AI59" s="185"/>
      <c r="AJ59" s="185">
        <v>17479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33412</v>
      </c>
      <c r="AZ59" s="185"/>
      <c r="BA59" s="248"/>
      <c r="BB59" s="248"/>
      <c r="BC59" s="248"/>
      <c r="BD59" s="248"/>
      <c r="BE59" s="185">
        <v>78440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4"/>
      <c r="CE59" s="294"/>
      <c r="CF59" s="2"/>
    </row>
    <row r="60" spans="1:84" ht="12.65" customHeight="1" x14ac:dyDescent="0.3">
      <c r="A60" s="305" t="s">
        <v>234</v>
      </c>
      <c r="B60" s="294"/>
      <c r="C60" s="186"/>
      <c r="D60" s="187"/>
      <c r="E60" s="187">
        <v>18.100000000000001</v>
      </c>
      <c r="F60" s="223"/>
      <c r="G60" s="187"/>
      <c r="H60" s="187"/>
      <c r="I60" s="187"/>
      <c r="J60" s="223"/>
      <c r="K60" s="187">
        <v>11</v>
      </c>
      <c r="L60" s="187"/>
      <c r="M60" s="187"/>
      <c r="N60" s="187"/>
      <c r="O60" s="187"/>
      <c r="P60" s="221">
        <v>3.05</v>
      </c>
      <c r="Q60" s="221"/>
      <c r="R60" s="221">
        <v>1</v>
      </c>
      <c r="S60" s="221"/>
      <c r="T60" s="221"/>
      <c r="U60" s="221">
        <v>3.39</v>
      </c>
      <c r="V60" s="221"/>
      <c r="W60" s="221"/>
      <c r="X60" s="221"/>
      <c r="Y60" s="221">
        <v>6.87</v>
      </c>
      <c r="Z60" s="221"/>
      <c r="AA60" s="221"/>
      <c r="AB60" s="221">
        <v>1.74</v>
      </c>
      <c r="AC60" s="221">
        <v>3.36</v>
      </c>
      <c r="AD60" s="221"/>
      <c r="AE60" s="221">
        <v>11.12</v>
      </c>
      <c r="AF60" s="221"/>
      <c r="AG60" s="221">
        <v>10.18</v>
      </c>
      <c r="AH60" s="221"/>
      <c r="AI60" s="221"/>
      <c r="AJ60" s="221">
        <v>31.77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9.85</v>
      </c>
      <c r="AZ60" s="221"/>
      <c r="BA60" s="221">
        <v>2.54</v>
      </c>
      <c r="BB60" s="221"/>
      <c r="BC60" s="221">
        <v>1</v>
      </c>
      <c r="BD60" s="221">
        <v>2</v>
      </c>
      <c r="BE60" s="221">
        <v>5.43</v>
      </c>
      <c r="BF60" s="221">
        <v>9.0500000000000007</v>
      </c>
      <c r="BG60" s="221">
        <v>1</v>
      </c>
      <c r="BH60" s="221">
        <v>3.43</v>
      </c>
      <c r="BI60" s="221"/>
      <c r="BJ60" s="221">
        <v>3</v>
      </c>
      <c r="BK60" s="221">
        <v>11.04</v>
      </c>
      <c r="BL60" s="221">
        <v>9.3800000000000008</v>
      </c>
      <c r="BM60" s="221"/>
      <c r="BN60" s="221">
        <v>3.22</v>
      </c>
      <c r="BO60" s="221">
        <v>1</v>
      </c>
      <c r="BP60" s="221"/>
      <c r="BQ60" s="221"/>
      <c r="BR60" s="221">
        <v>3</v>
      </c>
      <c r="BS60" s="221"/>
      <c r="BT60" s="221"/>
      <c r="BU60" s="221"/>
      <c r="BV60" s="221">
        <v>3.28</v>
      </c>
      <c r="BW60" s="221"/>
      <c r="BX60" s="221">
        <v>1</v>
      </c>
      <c r="BY60" s="221">
        <v>5.47</v>
      </c>
      <c r="BZ60" s="221"/>
      <c r="CA60" s="221"/>
      <c r="CB60" s="221"/>
      <c r="CC60" s="221"/>
      <c r="CD60" s="304" t="s">
        <v>221</v>
      </c>
      <c r="CE60" s="306">
        <f t="shared" ref="CE60:CE70" si="0">SUM(C60:CD60)</f>
        <v>176.27</v>
      </c>
      <c r="CF60" s="2"/>
    </row>
    <row r="61" spans="1:84" ht="12.65" customHeight="1" x14ac:dyDescent="0.3">
      <c r="A61" s="301" t="s">
        <v>235</v>
      </c>
      <c r="B61" s="294"/>
      <c r="C61" s="299"/>
      <c r="D61" s="299"/>
      <c r="E61" s="299">
        <v>2335036</v>
      </c>
      <c r="F61" s="185"/>
      <c r="G61" s="299"/>
      <c r="H61" s="299"/>
      <c r="I61" s="185"/>
      <c r="J61" s="185"/>
      <c r="K61" s="185">
        <v>565422</v>
      </c>
      <c r="L61" s="185"/>
      <c r="M61" s="299"/>
      <c r="N61" s="299"/>
      <c r="O61" s="299"/>
      <c r="P61" s="185">
        <v>444389</v>
      </c>
      <c r="Q61" s="185"/>
      <c r="R61" s="185">
        <f>16500+422504</f>
        <v>439004</v>
      </c>
      <c r="S61" s="185"/>
      <c r="T61" s="185"/>
      <c r="U61" s="185">
        <v>635204</v>
      </c>
      <c r="V61" s="185"/>
      <c r="W61" s="185"/>
      <c r="X61" s="185"/>
      <c r="Y61" s="185">
        <v>712833</v>
      </c>
      <c r="Z61" s="185"/>
      <c r="AA61" s="185"/>
      <c r="AB61" s="185">
        <v>261632</v>
      </c>
      <c r="AC61" s="185">
        <v>294199</v>
      </c>
      <c r="AD61" s="185"/>
      <c r="AE61" s="185">
        <v>921485</v>
      </c>
      <c r="AF61" s="185"/>
      <c r="AG61" s="185">
        <f>865072+580097</f>
        <v>1445169</v>
      </c>
      <c r="AH61" s="185"/>
      <c r="AI61" s="185">
        <v>6256</v>
      </c>
      <c r="AJ61" s="185">
        <f>95716+3393584</f>
        <v>3489300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404655</v>
      </c>
      <c r="AZ61" s="185"/>
      <c r="BA61" s="185">
        <v>94031</v>
      </c>
      <c r="BB61" s="185"/>
      <c r="BC61" s="185">
        <v>33084</v>
      </c>
      <c r="BD61" s="185">
        <v>85876</v>
      </c>
      <c r="BE61" s="185">
        <v>362511</v>
      </c>
      <c r="BF61" s="185">
        <v>315428</v>
      </c>
      <c r="BG61" s="185">
        <v>58114</v>
      </c>
      <c r="BH61" s="185">
        <f>226875+285220</f>
        <v>512095</v>
      </c>
      <c r="BI61" s="185"/>
      <c r="BJ61" s="185">
        <v>237597</v>
      </c>
      <c r="BK61" s="185">
        <v>547667</v>
      </c>
      <c r="BL61" s="185">
        <v>355008</v>
      </c>
      <c r="BM61" s="185"/>
      <c r="BN61" s="185">
        <v>609869</v>
      </c>
      <c r="BO61" s="185">
        <v>73136</v>
      </c>
      <c r="BP61" s="185"/>
      <c r="BQ61" s="185"/>
      <c r="BR61" s="185">
        <v>291423</v>
      </c>
      <c r="BS61" s="185"/>
      <c r="BT61" s="185"/>
      <c r="BU61" s="185"/>
      <c r="BV61" s="185">
        <v>137993</v>
      </c>
      <c r="BW61" s="185"/>
      <c r="BX61" s="185">
        <v>113874</v>
      </c>
      <c r="BY61" s="185">
        <v>658189</v>
      </c>
      <c r="BZ61" s="185"/>
      <c r="CA61" s="185"/>
      <c r="CB61" s="185"/>
      <c r="CC61" s="185">
        <f>411821+350130</f>
        <v>761951</v>
      </c>
      <c r="CD61" s="304" t="s">
        <v>221</v>
      </c>
      <c r="CE61" s="294">
        <f t="shared" si="0"/>
        <v>17202430</v>
      </c>
      <c r="CF61" s="2"/>
    </row>
    <row r="62" spans="1:84" ht="12.65" customHeight="1" x14ac:dyDescent="0.3">
      <c r="A62" s="301" t="s">
        <v>3</v>
      </c>
      <c r="B62" s="294"/>
      <c r="C62" s="294">
        <f t="shared" ref="C62:BN62" si="1">ROUND(C47+C48,0)</f>
        <v>0</v>
      </c>
      <c r="D62" s="294">
        <f t="shared" si="1"/>
        <v>0</v>
      </c>
      <c r="E62" s="294">
        <f t="shared" si="1"/>
        <v>498015</v>
      </c>
      <c r="F62" s="294">
        <f t="shared" si="1"/>
        <v>0</v>
      </c>
      <c r="G62" s="294">
        <f t="shared" si="1"/>
        <v>0</v>
      </c>
      <c r="H62" s="294">
        <f t="shared" si="1"/>
        <v>0</v>
      </c>
      <c r="I62" s="294">
        <f t="shared" si="1"/>
        <v>0</v>
      </c>
      <c r="J62" s="294">
        <f>ROUND(J47+J48,0)</f>
        <v>0</v>
      </c>
      <c r="K62" s="294">
        <f t="shared" si="1"/>
        <v>137697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0</v>
      </c>
      <c r="P62" s="294">
        <f t="shared" si="1"/>
        <v>102296</v>
      </c>
      <c r="Q62" s="294">
        <f t="shared" si="1"/>
        <v>0</v>
      </c>
      <c r="R62" s="294">
        <f t="shared" si="1"/>
        <v>111195</v>
      </c>
      <c r="S62" s="294">
        <f t="shared" si="1"/>
        <v>0</v>
      </c>
      <c r="T62" s="294">
        <f t="shared" si="1"/>
        <v>0</v>
      </c>
      <c r="U62" s="294">
        <f t="shared" si="1"/>
        <v>151708</v>
      </c>
      <c r="V62" s="294">
        <f t="shared" si="1"/>
        <v>0</v>
      </c>
      <c r="W62" s="294">
        <f t="shared" si="1"/>
        <v>0</v>
      </c>
      <c r="X62" s="294">
        <f t="shared" si="1"/>
        <v>0</v>
      </c>
      <c r="Y62" s="294">
        <f t="shared" si="1"/>
        <v>168609</v>
      </c>
      <c r="Z62" s="294">
        <f t="shared" si="1"/>
        <v>0</v>
      </c>
      <c r="AA62" s="294">
        <f t="shared" si="1"/>
        <v>0</v>
      </c>
      <c r="AB62" s="294">
        <f t="shared" si="1"/>
        <v>36502</v>
      </c>
      <c r="AC62" s="294">
        <f t="shared" si="1"/>
        <v>76353</v>
      </c>
      <c r="AD62" s="294">
        <f t="shared" si="1"/>
        <v>0</v>
      </c>
      <c r="AE62" s="294">
        <f t="shared" si="1"/>
        <v>211590</v>
      </c>
      <c r="AF62" s="294">
        <f t="shared" si="1"/>
        <v>0</v>
      </c>
      <c r="AG62" s="294">
        <f t="shared" si="1"/>
        <v>328948</v>
      </c>
      <c r="AH62" s="294">
        <f t="shared" si="1"/>
        <v>0</v>
      </c>
      <c r="AI62" s="294">
        <f t="shared" si="1"/>
        <v>1665</v>
      </c>
      <c r="AJ62" s="294">
        <f t="shared" si="1"/>
        <v>784019</v>
      </c>
      <c r="AK62" s="294">
        <f t="shared" si="1"/>
        <v>0</v>
      </c>
      <c r="AL62" s="294">
        <f t="shared" si="1"/>
        <v>0</v>
      </c>
      <c r="AM62" s="294">
        <f t="shared" si="1"/>
        <v>0</v>
      </c>
      <c r="AN62" s="294">
        <f t="shared" si="1"/>
        <v>0</v>
      </c>
      <c r="AO62" s="294">
        <f t="shared" si="1"/>
        <v>0</v>
      </c>
      <c r="AP62" s="294">
        <f t="shared" si="1"/>
        <v>0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0</v>
      </c>
      <c r="AX62" s="294">
        <f t="shared" si="1"/>
        <v>0</v>
      </c>
      <c r="AY62" s="294">
        <f>ROUND(AY47+AY48,0)</f>
        <v>100606</v>
      </c>
      <c r="AZ62" s="294">
        <f>ROUND(AZ47+AZ48,0)</f>
        <v>0</v>
      </c>
      <c r="BA62" s="294">
        <f>ROUND(BA47+BA48,0)</f>
        <v>23809</v>
      </c>
      <c r="BB62" s="294">
        <f t="shared" si="1"/>
        <v>0</v>
      </c>
      <c r="BC62" s="294">
        <f t="shared" si="1"/>
        <v>7139</v>
      </c>
      <c r="BD62" s="294">
        <f t="shared" si="1"/>
        <v>23969</v>
      </c>
      <c r="BE62" s="294">
        <f t="shared" si="1"/>
        <v>83721</v>
      </c>
      <c r="BF62" s="294">
        <f t="shared" si="1"/>
        <v>72495</v>
      </c>
      <c r="BG62" s="294">
        <f t="shared" si="1"/>
        <v>15768</v>
      </c>
      <c r="BH62" s="294">
        <f t="shared" si="1"/>
        <v>122913</v>
      </c>
      <c r="BI62" s="294">
        <f t="shared" si="1"/>
        <v>0</v>
      </c>
      <c r="BJ62" s="294">
        <f t="shared" si="1"/>
        <v>64918</v>
      </c>
      <c r="BK62" s="294">
        <f t="shared" si="1"/>
        <v>135677</v>
      </c>
      <c r="BL62" s="294">
        <f t="shared" si="1"/>
        <v>87789</v>
      </c>
      <c r="BM62" s="294">
        <f t="shared" si="1"/>
        <v>0</v>
      </c>
      <c r="BN62" s="294">
        <f t="shared" si="1"/>
        <v>144470</v>
      </c>
      <c r="BO62" s="294">
        <f t="shared" ref="BO62:CC62" si="2">ROUND(BO47+BO48,0)</f>
        <v>19663</v>
      </c>
      <c r="BP62" s="294">
        <f t="shared" si="2"/>
        <v>0</v>
      </c>
      <c r="BQ62" s="294">
        <f t="shared" si="2"/>
        <v>0</v>
      </c>
      <c r="BR62" s="294">
        <f t="shared" si="2"/>
        <v>81349</v>
      </c>
      <c r="BS62" s="294">
        <f t="shared" si="2"/>
        <v>0</v>
      </c>
      <c r="BT62" s="294">
        <f t="shared" si="2"/>
        <v>0</v>
      </c>
      <c r="BU62" s="294">
        <f t="shared" si="2"/>
        <v>0</v>
      </c>
      <c r="BV62" s="294">
        <f t="shared" si="2"/>
        <v>32434</v>
      </c>
      <c r="BW62" s="294">
        <f t="shared" si="2"/>
        <v>0</v>
      </c>
      <c r="BX62" s="294">
        <f t="shared" si="2"/>
        <v>30543</v>
      </c>
      <c r="BY62" s="294">
        <f t="shared" si="2"/>
        <v>167340</v>
      </c>
      <c r="BZ62" s="294">
        <f t="shared" si="2"/>
        <v>0</v>
      </c>
      <c r="CA62" s="294">
        <f t="shared" si="2"/>
        <v>0</v>
      </c>
      <c r="CB62" s="294">
        <f t="shared" si="2"/>
        <v>0</v>
      </c>
      <c r="CC62" s="294">
        <f t="shared" si="2"/>
        <v>106305</v>
      </c>
      <c r="CD62" s="304" t="s">
        <v>221</v>
      </c>
      <c r="CE62" s="294">
        <f t="shared" si="0"/>
        <v>3929505</v>
      </c>
      <c r="CF62" s="2"/>
    </row>
    <row r="63" spans="1:84" ht="12.65" customHeight="1" x14ac:dyDescent="0.3">
      <c r="A63" s="301" t="s">
        <v>236</v>
      </c>
      <c r="B63" s="294"/>
      <c r="C63" s="299"/>
      <c r="D63" s="299"/>
      <c r="E63" s="299"/>
      <c r="F63" s="185"/>
      <c r="G63" s="299"/>
      <c r="H63" s="299"/>
      <c r="I63" s="185"/>
      <c r="J63" s="185"/>
      <c r="K63" s="185">
        <v>144</v>
      </c>
      <c r="L63" s="185"/>
      <c r="M63" s="299"/>
      <c r="N63" s="299"/>
      <c r="O63" s="299"/>
      <c r="P63" s="185">
        <v>7</v>
      </c>
      <c r="Q63" s="185"/>
      <c r="R63" s="185">
        <v>5000</v>
      </c>
      <c r="S63" s="185"/>
      <c r="T63" s="185"/>
      <c r="U63" s="185">
        <v>10614</v>
      </c>
      <c r="V63" s="185"/>
      <c r="W63" s="185"/>
      <c r="X63" s="185"/>
      <c r="Y63" s="185"/>
      <c r="Z63" s="185"/>
      <c r="AA63" s="185"/>
      <c r="AB63" s="185">
        <v>68239</v>
      </c>
      <c r="AC63" s="185">
        <v>3316</v>
      </c>
      <c r="AD63" s="185"/>
      <c r="AE63" s="185"/>
      <c r="AF63" s="185"/>
      <c r="AG63" s="185">
        <f>65080+729563</f>
        <v>794643</v>
      </c>
      <c r="AH63" s="185"/>
      <c r="AI63" s="185">
        <f>11080+348471</f>
        <v>359551</v>
      </c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1800</v>
      </c>
      <c r="AZ63" s="185"/>
      <c r="BA63" s="185"/>
      <c r="BB63" s="185"/>
      <c r="BC63" s="185"/>
      <c r="BD63" s="185"/>
      <c r="BE63" s="185">
        <v>800</v>
      </c>
      <c r="BF63" s="185"/>
      <c r="BG63" s="185"/>
      <c r="BH63" s="185"/>
      <c r="BI63" s="185"/>
      <c r="BJ63" s="185">
        <v>53943</v>
      </c>
      <c r="BK63" s="185">
        <v>265329</v>
      </c>
      <c r="BL63" s="185"/>
      <c r="BM63" s="185"/>
      <c r="BN63" s="185">
        <v>57824</v>
      </c>
      <c r="BO63" s="185">
        <v>2324</v>
      </c>
      <c r="BP63" s="185"/>
      <c r="BQ63" s="185"/>
      <c r="BR63" s="185">
        <v>6934</v>
      </c>
      <c r="BS63" s="185"/>
      <c r="BT63" s="185"/>
      <c r="BU63" s="185"/>
      <c r="BV63" s="185"/>
      <c r="BW63" s="185"/>
      <c r="BX63" s="185">
        <v>11289</v>
      </c>
      <c r="BY63" s="185"/>
      <c r="BZ63" s="185"/>
      <c r="CA63" s="185"/>
      <c r="CB63" s="185"/>
      <c r="CC63" s="185">
        <v>61417</v>
      </c>
      <c r="CD63" s="304" t="s">
        <v>221</v>
      </c>
      <c r="CE63" s="294">
        <f t="shared" si="0"/>
        <v>1703174</v>
      </c>
      <c r="CF63" s="2"/>
    </row>
    <row r="64" spans="1:84" ht="12.65" customHeight="1" x14ac:dyDescent="0.3">
      <c r="A64" s="301" t="s">
        <v>237</v>
      </c>
      <c r="B64" s="294"/>
      <c r="C64" s="299"/>
      <c r="D64" s="299"/>
      <c r="E64" s="185">
        <v>82575</v>
      </c>
      <c r="F64" s="185"/>
      <c r="G64" s="299"/>
      <c r="H64" s="299"/>
      <c r="I64" s="185"/>
      <c r="J64" s="185"/>
      <c r="K64" s="185">
        <v>21809</v>
      </c>
      <c r="L64" s="185"/>
      <c r="M64" s="299"/>
      <c r="N64" s="299"/>
      <c r="O64" s="299"/>
      <c r="P64" s="185">
        <v>111162</v>
      </c>
      <c r="Q64" s="185"/>
      <c r="R64" s="185">
        <v>6887</v>
      </c>
      <c r="S64" s="185"/>
      <c r="T64" s="185"/>
      <c r="U64" s="185">
        <v>235825</v>
      </c>
      <c r="V64" s="185"/>
      <c r="W64" s="185"/>
      <c r="X64" s="185">
        <v>31105</v>
      </c>
      <c r="Y64" s="185">
        <f>10314+10249+698+977+8091</f>
        <v>30329</v>
      </c>
      <c r="Z64" s="185"/>
      <c r="AA64" s="185"/>
      <c r="AB64" s="185">
        <v>478245</v>
      </c>
      <c r="AC64" s="185">
        <v>23740</v>
      </c>
      <c r="AD64" s="185"/>
      <c r="AE64" s="185">
        <v>11715</v>
      </c>
      <c r="AF64" s="185"/>
      <c r="AG64" s="185">
        <v>106986</v>
      </c>
      <c r="AH64" s="185"/>
      <c r="AI64" s="185">
        <v>13392</v>
      </c>
      <c r="AJ64" s="185">
        <v>200257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110224</v>
      </c>
      <c r="AZ64" s="185"/>
      <c r="BA64" s="185">
        <v>25436</v>
      </c>
      <c r="BB64" s="185"/>
      <c r="BC64" s="185">
        <v>176</v>
      </c>
      <c r="BD64" s="185">
        <v>2691</v>
      </c>
      <c r="BE64" s="185">
        <v>76189</v>
      </c>
      <c r="BF64" s="185">
        <v>61595</v>
      </c>
      <c r="BG64" s="185">
        <v>16921</v>
      </c>
      <c r="BH64" s="185">
        <v>96348</v>
      </c>
      <c r="BI64" s="185"/>
      <c r="BJ64" s="185">
        <v>1168</v>
      </c>
      <c r="BK64" s="185">
        <v>3252</v>
      </c>
      <c r="BL64" s="185">
        <v>7323</v>
      </c>
      <c r="BM64" s="185"/>
      <c r="BN64" s="185">
        <v>9541</v>
      </c>
      <c r="BO64" s="185">
        <v>9411</v>
      </c>
      <c r="BP64" s="185"/>
      <c r="BQ64" s="185"/>
      <c r="BR64" s="185">
        <v>3706</v>
      </c>
      <c r="BS64" s="185"/>
      <c r="BT64" s="185"/>
      <c r="BU64" s="185"/>
      <c r="BV64" s="185">
        <v>2793</v>
      </c>
      <c r="BW64" s="185"/>
      <c r="BX64" s="185">
        <v>330</v>
      </c>
      <c r="BY64" s="185">
        <v>9890</v>
      </c>
      <c r="BZ64" s="185"/>
      <c r="CA64" s="185"/>
      <c r="CB64" s="185"/>
      <c r="CC64" s="185">
        <v>281876</v>
      </c>
      <c r="CD64" s="304" t="s">
        <v>221</v>
      </c>
      <c r="CE64" s="294">
        <f t="shared" si="0"/>
        <v>2072897</v>
      </c>
      <c r="CF64" s="2"/>
    </row>
    <row r="65" spans="1:84" ht="12.65" customHeight="1" x14ac:dyDescent="0.3">
      <c r="A65" s="301" t="s">
        <v>238</v>
      </c>
      <c r="B65" s="294"/>
      <c r="C65" s="299"/>
      <c r="D65" s="299"/>
      <c r="E65" s="299"/>
      <c r="F65" s="299"/>
      <c r="G65" s="299"/>
      <c r="H65" s="299"/>
      <c r="I65" s="185"/>
      <c r="J65" s="299"/>
      <c r="K65" s="185"/>
      <c r="L65" s="185"/>
      <c r="M65" s="299"/>
      <c r="N65" s="299"/>
      <c r="O65" s="299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29532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260439</v>
      </c>
      <c r="BF65" s="185"/>
      <c r="BG65" s="185"/>
      <c r="BH65" s="185">
        <v>219774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8224</v>
      </c>
      <c r="CD65" s="304" t="s">
        <v>221</v>
      </c>
      <c r="CE65" s="294">
        <f t="shared" si="0"/>
        <v>517969</v>
      </c>
      <c r="CF65" s="2"/>
    </row>
    <row r="66" spans="1:84" ht="12.65" customHeight="1" x14ac:dyDescent="0.3">
      <c r="A66" s="301" t="s">
        <v>239</v>
      </c>
      <c r="B66" s="294"/>
      <c r="C66" s="299"/>
      <c r="D66" s="299"/>
      <c r="E66" s="299">
        <v>147707</v>
      </c>
      <c r="F66" s="299"/>
      <c r="G66" s="299"/>
      <c r="H66" s="299"/>
      <c r="I66" s="299"/>
      <c r="J66" s="299"/>
      <c r="K66" s="185">
        <v>1271</v>
      </c>
      <c r="L66" s="185"/>
      <c r="M66" s="299"/>
      <c r="N66" s="299"/>
      <c r="O66" s="185"/>
      <c r="P66" s="185">
        <v>30000</v>
      </c>
      <c r="Q66" s="185"/>
      <c r="R66" s="185">
        <f>7188+2018</f>
        <v>9206</v>
      </c>
      <c r="S66" s="299"/>
      <c r="T66" s="299"/>
      <c r="U66" s="185">
        <v>244213</v>
      </c>
      <c r="V66" s="185"/>
      <c r="W66" s="185">
        <v>133706</v>
      </c>
      <c r="X66" s="185">
        <v>128223</v>
      </c>
      <c r="Y66" s="185">
        <f>43858+3002+14894+47076+102600</f>
        <v>211430</v>
      </c>
      <c r="Z66" s="185"/>
      <c r="AA66" s="185"/>
      <c r="AB66" s="185">
        <v>133130</v>
      </c>
      <c r="AC66" s="185">
        <v>24804</v>
      </c>
      <c r="AD66" s="185"/>
      <c r="AE66" s="185">
        <v>11424</v>
      </c>
      <c r="AF66" s="185"/>
      <c r="AG66" s="185">
        <f>24867+5566</f>
        <v>30433</v>
      </c>
      <c r="AH66" s="185"/>
      <c r="AI66" s="185">
        <v>1158</v>
      </c>
      <c r="AJ66" s="185">
        <v>171878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156613</v>
      </c>
      <c r="AZ66" s="185"/>
      <c r="BA66" s="185">
        <v>2599</v>
      </c>
      <c r="BB66" s="185"/>
      <c r="BC66" s="185">
        <v>927</v>
      </c>
      <c r="BD66" s="185">
        <v>16375</v>
      </c>
      <c r="BE66" s="185">
        <v>239242</v>
      </c>
      <c r="BF66" s="185">
        <v>4887</v>
      </c>
      <c r="BG66" s="185">
        <v>223534</v>
      </c>
      <c r="BH66" s="185">
        <v>947656</v>
      </c>
      <c r="BI66" s="185"/>
      <c r="BJ66" s="185">
        <v>6026</v>
      </c>
      <c r="BK66" s="185">
        <v>16036</v>
      </c>
      <c r="BL66" s="185">
        <v>8007</v>
      </c>
      <c r="BM66" s="185"/>
      <c r="BN66" s="185">
        <f>214600-133196</f>
        <v>81404</v>
      </c>
      <c r="BO66" s="185">
        <v>8720</v>
      </c>
      <c r="BP66" s="185"/>
      <c r="BQ66" s="185"/>
      <c r="BR66" s="185">
        <v>31056</v>
      </c>
      <c r="BS66" s="185"/>
      <c r="BT66" s="185"/>
      <c r="BU66" s="185"/>
      <c r="BV66" s="185">
        <v>23645</v>
      </c>
      <c r="BW66" s="185"/>
      <c r="BX66" s="185">
        <v>1552</v>
      </c>
      <c r="BY66" s="185">
        <v>30713</v>
      </c>
      <c r="BZ66" s="185"/>
      <c r="CA66" s="185"/>
      <c r="CB66" s="185"/>
      <c r="CC66" s="185"/>
      <c r="CD66" s="304" t="s">
        <v>221</v>
      </c>
      <c r="CE66" s="294">
        <f t="shared" si="0"/>
        <v>3077575</v>
      </c>
      <c r="CF66" s="2"/>
    </row>
    <row r="67" spans="1:84" ht="12.65" customHeight="1" x14ac:dyDescent="0.3">
      <c r="A67" s="301" t="s">
        <v>6</v>
      </c>
      <c r="B67" s="294"/>
      <c r="C67" s="294">
        <f>ROUND(C51+C52,0)</f>
        <v>0</v>
      </c>
      <c r="D67" s="294">
        <f>ROUND(D51+D52,0)</f>
        <v>0</v>
      </c>
      <c r="E67" s="294">
        <f t="shared" ref="E67:BP67" si="3">ROUND(E51+E52,0)</f>
        <v>402111</v>
      </c>
      <c r="F67" s="294">
        <f t="shared" si="3"/>
        <v>0</v>
      </c>
      <c r="G67" s="294">
        <f t="shared" si="3"/>
        <v>0</v>
      </c>
      <c r="H67" s="294">
        <f t="shared" si="3"/>
        <v>0</v>
      </c>
      <c r="I67" s="294">
        <f t="shared" si="3"/>
        <v>0</v>
      </c>
      <c r="J67" s="294">
        <f>ROUND(J51+J52,0)</f>
        <v>0</v>
      </c>
      <c r="K67" s="294">
        <f t="shared" si="3"/>
        <v>0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0</v>
      </c>
      <c r="P67" s="294">
        <f t="shared" si="3"/>
        <v>28426</v>
      </c>
      <c r="Q67" s="294">
        <f t="shared" si="3"/>
        <v>0</v>
      </c>
      <c r="R67" s="294">
        <f t="shared" si="3"/>
        <v>0</v>
      </c>
      <c r="S67" s="294">
        <f t="shared" si="3"/>
        <v>0</v>
      </c>
      <c r="T67" s="294">
        <f t="shared" si="3"/>
        <v>0</v>
      </c>
      <c r="U67" s="294">
        <f t="shared" si="3"/>
        <v>23096</v>
      </c>
      <c r="V67" s="294">
        <f t="shared" si="3"/>
        <v>0</v>
      </c>
      <c r="W67" s="294">
        <f t="shared" si="3"/>
        <v>0</v>
      </c>
      <c r="X67" s="294">
        <f t="shared" si="3"/>
        <v>0</v>
      </c>
      <c r="Y67" s="294">
        <f t="shared" si="3"/>
        <v>53803</v>
      </c>
      <c r="Z67" s="294">
        <f t="shared" si="3"/>
        <v>0</v>
      </c>
      <c r="AA67" s="294">
        <f t="shared" si="3"/>
        <v>0</v>
      </c>
      <c r="AB67" s="294">
        <f t="shared" si="3"/>
        <v>10923</v>
      </c>
      <c r="AC67" s="294">
        <f t="shared" si="3"/>
        <v>21758</v>
      </c>
      <c r="AD67" s="294">
        <f t="shared" si="3"/>
        <v>0</v>
      </c>
      <c r="AE67" s="294">
        <f t="shared" si="3"/>
        <v>61985</v>
      </c>
      <c r="AF67" s="294">
        <f t="shared" si="3"/>
        <v>0</v>
      </c>
      <c r="AG67" s="294">
        <f t="shared" si="3"/>
        <v>77602</v>
      </c>
      <c r="AH67" s="294">
        <f t="shared" si="3"/>
        <v>0</v>
      </c>
      <c r="AI67" s="294">
        <f t="shared" si="3"/>
        <v>0</v>
      </c>
      <c r="AJ67" s="294">
        <f t="shared" si="3"/>
        <v>177049</v>
      </c>
      <c r="AK67" s="294">
        <f t="shared" si="3"/>
        <v>0</v>
      </c>
      <c r="AL67" s="294">
        <f t="shared" si="3"/>
        <v>0</v>
      </c>
      <c r="AM67" s="294">
        <f t="shared" si="3"/>
        <v>0</v>
      </c>
      <c r="AN67" s="294">
        <f t="shared" si="3"/>
        <v>0</v>
      </c>
      <c r="AO67" s="294">
        <f t="shared" si="3"/>
        <v>0</v>
      </c>
      <c r="AP67" s="294">
        <f t="shared" si="3"/>
        <v>0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72666</v>
      </c>
      <c r="AW67" s="294">
        <f t="shared" si="3"/>
        <v>0</v>
      </c>
      <c r="AX67" s="294">
        <f t="shared" si="3"/>
        <v>0</v>
      </c>
      <c r="AY67" s="294">
        <f t="shared" si="3"/>
        <v>61765</v>
      </c>
      <c r="AZ67" s="294">
        <f>ROUND(AZ51+AZ52,0)</f>
        <v>0</v>
      </c>
      <c r="BA67" s="294">
        <f>ROUND(BA51+BA52,0)</f>
        <v>14849</v>
      </c>
      <c r="BB67" s="294">
        <f t="shared" si="3"/>
        <v>0</v>
      </c>
      <c r="BC67" s="294">
        <f t="shared" si="3"/>
        <v>0</v>
      </c>
      <c r="BD67" s="294">
        <f t="shared" si="3"/>
        <v>16538</v>
      </c>
      <c r="BE67" s="294">
        <f t="shared" si="3"/>
        <v>531542</v>
      </c>
      <c r="BF67" s="294">
        <f t="shared" si="3"/>
        <v>8752</v>
      </c>
      <c r="BG67" s="294">
        <f t="shared" si="3"/>
        <v>10002</v>
      </c>
      <c r="BH67" s="294">
        <f t="shared" si="3"/>
        <v>1755</v>
      </c>
      <c r="BI67" s="294">
        <f t="shared" si="3"/>
        <v>0</v>
      </c>
      <c r="BJ67" s="294">
        <f t="shared" si="3"/>
        <v>30049</v>
      </c>
      <c r="BK67" s="294">
        <f t="shared" si="3"/>
        <v>30049</v>
      </c>
      <c r="BL67" s="294">
        <f t="shared" si="3"/>
        <v>13511</v>
      </c>
      <c r="BM67" s="294">
        <f t="shared" si="3"/>
        <v>0</v>
      </c>
      <c r="BN67" s="294">
        <f t="shared" si="3"/>
        <v>19543</v>
      </c>
      <c r="BO67" s="294">
        <f t="shared" si="3"/>
        <v>0</v>
      </c>
      <c r="BP67" s="294">
        <f t="shared" si="3"/>
        <v>0</v>
      </c>
      <c r="BQ67" s="294">
        <f t="shared" ref="BQ67:CC67" si="4">ROUND(BQ51+BQ52,0)</f>
        <v>0</v>
      </c>
      <c r="BR67" s="294">
        <f t="shared" si="4"/>
        <v>12327</v>
      </c>
      <c r="BS67" s="294">
        <f t="shared" si="4"/>
        <v>0</v>
      </c>
      <c r="BT67" s="294">
        <f t="shared" si="4"/>
        <v>0</v>
      </c>
      <c r="BU67" s="294">
        <f t="shared" si="4"/>
        <v>0</v>
      </c>
      <c r="BV67" s="294">
        <f t="shared" si="4"/>
        <v>24873</v>
      </c>
      <c r="BW67" s="294">
        <f t="shared" si="4"/>
        <v>0</v>
      </c>
      <c r="BX67" s="294">
        <f t="shared" si="4"/>
        <v>0</v>
      </c>
      <c r="BY67" s="294">
        <f t="shared" si="4"/>
        <v>15507</v>
      </c>
      <c r="BZ67" s="294">
        <f t="shared" si="4"/>
        <v>0</v>
      </c>
      <c r="CA67" s="294">
        <f t="shared" si="4"/>
        <v>0</v>
      </c>
      <c r="CB67" s="294">
        <f t="shared" si="4"/>
        <v>0</v>
      </c>
      <c r="CC67" s="294">
        <f t="shared" si="4"/>
        <v>0</v>
      </c>
      <c r="CD67" s="304" t="s">
        <v>221</v>
      </c>
      <c r="CE67" s="294">
        <f t="shared" si="0"/>
        <v>1720481</v>
      </c>
      <c r="CF67" s="2"/>
    </row>
    <row r="68" spans="1:84" ht="12.65" customHeight="1" x14ac:dyDescent="0.3">
      <c r="A68" s="301" t="s">
        <v>240</v>
      </c>
      <c r="B68" s="294"/>
      <c r="C68" s="299"/>
      <c r="D68" s="299"/>
      <c r="E68" s="299">
        <v>2873</v>
      </c>
      <c r="F68" s="299"/>
      <c r="G68" s="299"/>
      <c r="H68" s="299"/>
      <c r="I68" s="299"/>
      <c r="J68" s="299"/>
      <c r="K68" s="185"/>
      <c r="L68" s="185"/>
      <c r="M68" s="299"/>
      <c r="N68" s="299"/>
      <c r="O68" s="299"/>
      <c r="P68" s="185"/>
      <c r="Q68" s="185"/>
      <c r="R68" s="185"/>
      <c r="S68" s="185"/>
      <c r="T68" s="185"/>
      <c r="U68" s="185"/>
      <c r="V68" s="185"/>
      <c r="W68" s="185"/>
      <c r="X68" s="185">
        <v>75820</v>
      </c>
      <c r="Y68" s="185"/>
      <c r="Z68" s="185"/>
      <c r="AA68" s="185"/>
      <c r="AB68" s="185">
        <v>55337</v>
      </c>
      <c r="AC68" s="185">
        <v>13749</v>
      </c>
      <c r="AD68" s="185"/>
      <c r="AE68" s="185"/>
      <c r="AF68" s="185"/>
      <c r="AG68" s="185">
        <v>2873</v>
      </c>
      <c r="AH68" s="185"/>
      <c r="AI68" s="185">
        <v>905</v>
      </c>
      <c r="AJ68" s="185">
        <v>10663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581</v>
      </c>
      <c r="AZ68" s="185"/>
      <c r="BA68" s="185"/>
      <c r="BB68" s="185"/>
      <c r="BC68" s="185"/>
      <c r="BD68" s="185">
        <v>2839</v>
      </c>
      <c r="BE68" s="185">
        <v>7971</v>
      </c>
      <c r="BF68" s="185"/>
      <c r="BG68" s="185"/>
      <c r="BH68" s="185"/>
      <c r="BI68" s="185"/>
      <c r="BJ68" s="185"/>
      <c r="BK68" s="185">
        <v>3642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46074</v>
      </c>
      <c r="CD68" s="304" t="s">
        <v>221</v>
      </c>
      <c r="CE68" s="294">
        <f t="shared" si="0"/>
        <v>223327</v>
      </c>
      <c r="CF68" s="2"/>
    </row>
    <row r="69" spans="1:84" ht="12.65" customHeight="1" x14ac:dyDescent="0.3">
      <c r="A69" s="301" t="s">
        <v>241</v>
      </c>
      <c r="B69" s="294"/>
      <c r="C69" s="299"/>
      <c r="D69" s="299"/>
      <c r="E69" s="185"/>
      <c r="F69" s="185"/>
      <c r="G69" s="299"/>
      <c r="H69" s="299"/>
      <c r="I69" s="185"/>
      <c r="J69" s="185"/>
      <c r="K69" s="185"/>
      <c r="L69" s="185"/>
      <c r="M69" s="299"/>
      <c r="N69" s="299"/>
      <c r="O69" s="299"/>
      <c r="P69" s="185"/>
      <c r="Q69" s="185"/>
      <c r="R69" s="224"/>
      <c r="S69" s="185"/>
      <c r="T69" s="299"/>
      <c r="U69" s="185"/>
      <c r="V69" s="185"/>
      <c r="W69" s="299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299"/>
      <c r="AP69" s="185"/>
      <c r="AQ69" s="299"/>
      <c r="AR69" s="299"/>
      <c r="AS69" s="299"/>
      <c r="AT69" s="299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>
        <v>609534</v>
      </c>
      <c r="CD69" s="307">
        <v>897594</v>
      </c>
      <c r="CE69" s="294">
        <f t="shared" si="0"/>
        <v>1507128</v>
      </c>
      <c r="CF69" s="2"/>
    </row>
    <row r="70" spans="1:84" ht="12.65" customHeight="1" x14ac:dyDescent="0.3">
      <c r="A70" s="301" t="s">
        <v>242</v>
      </c>
      <c r="B70" s="294"/>
      <c r="C70" s="299"/>
      <c r="D70" s="299"/>
      <c r="E70" s="299"/>
      <c r="F70" s="185"/>
      <c r="G70" s="299"/>
      <c r="H70" s="299"/>
      <c r="I70" s="299"/>
      <c r="J70" s="185"/>
      <c r="K70" s="185"/>
      <c r="L70" s="185"/>
      <c r="M70" s="299"/>
      <c r="N70" s="299"/>
      <c r="O70" s="299"/>
      <c r="P70" s="299"/>
      <c r="Q70" s="299"/>
      <c r="R70" s="299"/>
      <c r="S70" s="299"/>
      <c r="T70" s="299"/>
      <c r="U70" s="185"/>
      <c r="V70" s="299"/>
      <c r="W70" s="299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7">
        <v>5564336</v>
      </c>
      <c r="CE70" s="294">
        <f t="shared" si="0"/>
        <v>5564336</v>
      </c>
      <c r="CF70" s="2"/>
    </row>
    <row r="71" spans="1:84" ht="12.65" customHeight="1" x14ac:dyDescent="0.3">
      <c r="A71" s="301" t="s">
        <v>243</v>
      </c>
      <c r="B71" s="294"/>
      <c r="C71" s="294">
        <f>SUM(C61:C68)+C69-C70</f>
        <v>0</v>
      </c>
      <c r="D71" s="294">
        <f t="shared" ref="D71:AI71" si="5">SUM(D61:D69)-D70</f>
        <v>0</v>
      </c>
      <c r="E71" s="294">
        <f t="shared" si="5"/>
        <v>3468317</v>
      </c>
      <c r="F71" s="294">
        <f t="shared" si="5"/>
        <v>0</v>
      </c>
      <c r="G71" s="294">
        <f t="shared" si="5"/>
        <v>0</v>
      </c>
      <c r="H71" s="294">
        <f t="shared" si="5"/>
        <v>0</v>
      </c>
      <c r="I71" s="294">
        <f t="shared" si="5"/>
        <v>0</v>
      </c>
      <c r="J71" s="294">
        <f t="shared" si="5"/>
        <v>0</v>
      </c>
      <c r="K71" s="294">
        <f t="shared" si="5"/>
        <v>726343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0</v>
      </c>
      <c r="P71" s="294">
        <f t="shared" si="5"/>
        <v>716280</v>
      </c>
      <c r="Q71" s="294">
        <f t="shared" si="5"/>
        <v>0</v>
      </c>
      <c r="R71" s="294">
        <f t="shared" si="5"/>
        <v>571292</v>
      </c>
      <c r="S71" s="294">
        <f t="shared" si="5"/>
        <v>0</v>
      </c>
      <c r="T71" s="294">
        <f t="shared" si="5"/>
        <v>0</v>
      </c>
      <c r="U71" s="294">
        <f t="shared" si="5"/>
        <v>1300660</v>
      </c>
      <c r="V71" s="294">
        <f t="shared" si="5"/>
        <v>0</v>
      </c>
      <c r="W71" s="294">
        <f t="shared" si="5"/>
        <v>133706</v>
      </c>
      <c r="X71" s="294">
        <f t="shared" si="5"/>
        <v>235148</v>
      </c>
      <c r="Y71" s="294">
        <f t="shared" si="5"/>
        <v>1177004</v>
      </c>
      <c r="Z71" s="294">
        <f t="shared" si="5"/>
        <v>0</v>
      </c>
      <c r="AA71" s="294">
        <f t="shared" si="5"/>
        <v>0</v>
      </c>
      <c r="AB71" s="294">
        <f t="shared" si="5"/>
        <v>1044008</v>
      </c>
      <c r="AC71" s="294">
        <f t="shared" si="5"/>
        <v>457919</v>
      </c>
      <c r="AD71" s="294">
        <f t="shared" si="5"/>
        <v>0</v>
      </c>
      <c r="AE71" s="294">
        <f t="shared" si="5"/>
        <v>1218199</v>
      </c>
      <c r="AF71" s="294">
        <f t="shared" si="5"/>
        <v>0</v>
      </c>
      <c r="AG71" s="294">
        <f t="shared" si="5"/>
        <v>2786654</v>
      </c>
      <c r="AH71" s="294">
        <f t="shared" si="5"/>
        <v>0</v>
      </c>
      <c r="AI71" s="294">
        <f t="shared" si="5"/>
        <v>382927</v>
      </c>
      <c r="AJ71" s="294">
        <f t="shared" ref="AJ71:BO71" si="6">SUM(AJ61:AJ69)-AJ70</f>
        <v>4862698</v>
      </c>
      <c r="AK71" s="294">
        <f t="shared" si="6"/>
        <v>0</v>
      </c>
      <c r="AL71" s="294">
        <f t="shared" si="6"/>
        <v>0</v>
      </c>
      <c r="AM71" s="294">
        <f t="shared" si="6"/>
        <v>0</v>
      </c>
      <c r="AN71" s="294">
        <f t="shared" si="6"/>
        <v>0</v>
      </c>
      <c r="AO71" s="294">
        <f t="shared" si="6"/>
        <v>0</v>
      </c>
      <c r="AP71" s="294">
        <f t="shared" si="6"/>
        <v>0</v>
      </c>
      <c r="AQ71" s="294">
        <f t="shared" si="6"/>
        <v>0</v>
      </c>
      <c r="AR71" s="294">
        <f t="shared" si="6"/>
        <v>0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72666</v>
      </c>
      <c r="AW71" s="294">
        <f t="shared" si="6"/>
        <v>0</v>
      </c>
      <c r="AX71" s="294">
        <f t="shared" si="6"/>
        <v>0</v>
      </c>
      <c r="AY71" s="294">
        <f t="shared" si="6"/>
        <v>836244</v>
      </c>
      <c r="AZ71" s="294">
        <f t="shared" si="6"/>
        <v>0</v>
      </c>
      <c r="BA71" s="294">
        <f t="shared" si="6"/>
        <v>160724</v>
      </c>
      <c r="BB71" s="294">
        <f t="shared" si="6"/>
        <v>0</v>
      </c>
      <c r="BC71" s="294">
        <f t="shared" si="6"/>
        <v>41326</v>
      </c>
      <c r="BD71" s="294">
        <f t="shared" si="6"/>
        <v>148288</v>
      </c>
      <c r="BE71" s="294">
        <f t="shared" si="6"/>
        <v>1562415</v>
      </c>
      <c r="BF71" s="294">
        <f t="shared" si="6"/>
        <v>463157</v>
      </c>
      <c r="BG71" s="294">
        <f t="shared" si="6"/>
        <v>324339</v>
      </c>
      <c r="BH71" s="294">
        <f t="shared" si="6"/>
        <v>1900541</v>
      </c>
      <c r="BI71" s="294">
        <f t="shared" si="6"/>
        <v>0</v>
      </c>
      <c r="BJ71" s="294">
        <f t="shared" si="6"/>
        <v>393701</v>
      </c>
      <c r="BK71" s="294">
        <f t="shared" si="6"/>
        <v>1001652</v>
      </c>
      <c r="BL71" s="294">
        <f t="shared" si="6"/>
        <v>471638</v>
      </c>
      <c r="BM71" s="294">
        <f t="shared" si="6"/>
        <v>0</v>
      </c>
      <c r="BN71" s="294">
        <f t="shared" si="6"/>
        <v>922651</v>
      </c>
      <c r="BO71" s="294">
        <f t="shared" si="6"/>
        <v>113254</v>
      </c>
      <c r="BP71" s="294">
        <f t="shared" ref="BP71:CC71" si="7">SUM(BP61:BP69)-BP70</f>
        <v>0</v>
      </c>
      <c r="BQ71" s="294">
        <f t="shared" si="7"/>
        <v>0</v>
      </c>
      <c r="BR71" s="294">
        <f t="shared" si="7"/>
        <v>426795</v>
      </c>
      <c r="BS71" s="294">
        <f t="shared" si="7"/>
        <v>0</v>
      </c>
      <c r="BT71" s="294">
        <f t="shared" si="7"/>
        <v>0</v>
      </c>
      <c r="BU71" s="294">
        <f t="shared" si="7"/>
        <v>0</v>
      </c>
      <c r="BV71" s="294">
        <f t="shared" si="7"/>
        <v>221738</v>
      </c>
      <c r="BW71" s="294">
        <f t="shared" si="7"/>
        <v>0</v>
      </c>
      <c r="BX71" s="294">
        <f t="shared" si="7"/>
        <v>157588</v>
      </c>
      <c r="BY71" s="294">
        <f t="shared" si="7"/>
        <v>881639</v>
      </c>
      <c r="BZ71" s="294">
        <f t="shared" si="7"/>
        <v>0</v>
      </c>
      <c r="CA71" s="294">
        <f t="shared" si="7"/>
        <v>0</v>
      </c>
      <c r="CB71" s="294">
        <f t="shared" si="7"/>
        <v>0</v>
      </c>
      <c r="CC71" s="294">
        <f t="shared" si="7"/>
        <v>1875381</v>
      </c>
      <c r="CD71" s="300">
        <f>CD69-CD70</f>
        <v>-4666742</v>
      </c>
      <c r="CE71" s="294">
        <f>SUM(CE61:CE69)-CE70</f>
        <v>26390150</v>
      </c>
      <c r="CF71" s="2"/>
    </row>
    <row r="72" spans="1:84" ht="12.65" customHeight="1" x14ac:dyDescent="0.3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53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07">
        <v>1788736</v>
      </c>
      <c r="CF72" s="2"/>
    </row>
    <row r="73" spans="1:84" ht="12.65" customHeight="1" x14ac:dyDescent="0.3">
      <c r="A73" s="301" t="s">
        <v>245</v>
      </c>
      <c r="B73" s="294"/>
      <c r="C73" s="299"/>
      <c r="D73" s="299"/>
      <c r="E73" s="185">
        <v>1929177</v>
      </c>
      <c r="F73" s="185"/>
      <c r="G73" s="299"/>
      <c r="H73" s="299"/>
      <c r="I73" s="185"/>
      <c r="J73" s="185"/>
      <c r="K73" s="185">
        <v>1745171</v>
      </c>
      <c r="L73" s="185"/>
      <c r="M73" s="299"/>
      <c r="N73" s="299"/>
      <c r="O73" s="299"/>
      <c r="P73" s="185">
        <f>210821+11662</f>
        <v>222483</v>
      </c>
      <c r="Q73" s="185"/>
      <c r="R73" s="185">
        <f>29650+41032</f>
        <v>70682</v>
      </c>
      <c r="S73" s="185">
        <v>16584</v>
      </c>
      <c r="T73" s="185"/>
      <c r="U73" s="185">
        <v>513450</v>
      </c>
      <c r="V73" s="185"/>
      <c r="W73" s="185">
        <v>14570</v>
      </c>
      <c r="X73" s="185">
        <v>229760</v>
      </c>
      <c r="Y73" s="185">
        <f>61979+28280+14373</f>
        <v>104632</v>
      </c>
      <c r="Z73" s="185"/>
      <c r="AA73" s="185">
        <v>11202</v>
      </c>
      <c r="AB73" s="185">
        <v>1424627</v>
      </c>
      <c r="AC73" s="185">
        <v>205840</v>
      </c>
      <c r="AD73" s="185"/>
      <c r="AE73" s="185">
        <v>493500</v>
      </c>
      <c r="AF73" s="185"/>
      <c r="AG73" s="185">
        <f>193944+34534</f>
        <v>228478</v>
      </c>
      <c r="AH73" s="185"/>
      <c r="AI73" s="185">
        <v>8812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302364-90610</f>
        <v>211754</v>
      </c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7430722</v>
      </c>
      <c r="CF73" s="2"/>
    </row>
    <row r="74" spans="1:84" ht="12.65" customHeight="1" x14ac:dyDescent="0.3">
      <c r="A74" s="301" t="s">
        <v>246</v>
      </c>
      <c r="B74" s="294"/>
      <c r="C74" s="299"/>
      <c r="D74" s="299"/>
      <c r="E74" s="185">
        <v>1634309</v>
      </c>
      <c r="F74" s="185"/>
      <c r="G74" s="299"/>
      <c r="H74" s="299"/>
      <c r="I74" s="299"/>
      <c r="J74" s="185"/>
      <c r="K74" s="185"/>
      <c r="L74" s="185"/>
      <c r="M74" s="299"/>
      <c r="N74" s="299"/>
      <c r="O74" s="299"/>
      <c r="P74" s="185">
        <f>1498408+59303</f>
        <v>1557711</v>
      </c>
      <c r="Q74" s="185"/>
      <c r="R74" s="185">
        <f>369149+443052</f>
        <v>812201</v>
      </c>
      <c r="S74" s="185">
        <v>296272</v>
      </c>
      <c r="T74" s="185"/>
      <c r="U74" s="185">
        <v>4457004</v>
      </c>
      <c r="V74" s="185"/>
      <c r="W74" s="185">
        <v>503017</v>
      </c>
      <c r="X74" s="185">
        <v>3475604</v>
      </c>
      <c r="Y74" s="185">
        <f>1391950+346391+423663+474131</f>
        <v>2636135</v>
      </c>
      <c r="Z74" s="185"/>
      <c r="AA74" s="185">
        <v>171214</v>
      </c>
      <c r="AB74" s="185">
        <v>2708302</v>
      </c>
      <c r="AC74" s="185">
        <v>1093276</v>
      </c>
      <c r="AD74" s="185"/>
      <c r="AE74" s="185">
        <v>2208382</v>
      </c>
      <c r="AF74" s="185"/>
      <c r="AG74" s="185">
        <f>6453952+1166554</f>
        <v>7620506</v>
      </c>
      <c r="AH74" s="185"/>
      <c r="AI74" s="185">
        <v>58378</v>
      </c>
      <c r="AJ74" s="185">
        <f>128668+3586039</f>
        <v>3714707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1710093-1101894</f>
        <v>608199</v>
      </c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33555217</v>
      </c>
      <c r="CF74" s="2"/>
    </row>
    <row r="75" spans="1:84" ht="12.65" customHeight="1" x14ac:dyDescent="0.3">
      <c r="A75" s="301" t="s">
        <v>247</v>
      </c>
      <c r="B75" s="294"/>
      <c r="C75" s="294">
        <f t="shared" ref="C75:AV75" si="9">SUM(C73:C74)</f>
        <v>0</v>
      </c>
      <c r="D75" s="294">
        <f t="shared" si="9"/>
        <v>0</v>
      </c>
      <c r="E75" s="294">
        <f t="shared" si="9"/>
        <v>3563486</v>
      </c>
      <c r="F75" s="294">
        <f t="shared" si="9"/>
        <v>0</v>
      </c>
      <c r="G75" s="294">
        <f t="shared" si="9"/>
        <v>0</v>
      </c>
      <c r="H75" s="294">
        <f t="shared" si="9"/>
        <v>0</v>
      </c>
      <c r="I75" s="294">
        <f t="shared" si="9"/>
        <v>0</v>
      </c>
      <c r="J75" s="294">
        <f t="shared" si="9"/>
        <v>0</v>
      </c>
      <c r="K75" s="294">
        <f t="shared" si="9"/>
        <v>1745171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0</v>
      </c>
      <c r="P75" s="294">
        <f t="shared" si="9"/>
        <v>1780194</v>
      </c>
      <c r="Q75" s="294">
        <f t="shared" si="9"/>
        <v>0</v>
      </c>
      <c r="R75" s="294">
        <f t="shared" si="9"/>
        <v>882883</v>
      </c>
      <c r="S75" s="294">
        <f t="shared" si="9"/>
        <v>312856</v>
      </c>
      <c r="T75" s="294">
        <f t="shared" si="9"/>
        <v>0</v>
      </c>
      <c r="U75" s="294">
        <f t="shared" si="9"/>
        <v>4970454</v>
      </c>
      <c r="V75" s="294">
        <f t="shared" si="9"/>
        <v>0</v>
      </c>
      <c r="W75" s="294">
        <f t="shared" si="9"/>
        <v>517587</v>
      </c>
      <c r="X75" s="294">
        <f t="shared" si="9"/>
        <v>3705364</v>
      </c>
      <c r="Y75" s="294">
        <f t="shared" si="9"/>
        <v>2740767</v>
      </c>
      <c r="Z75" s="294">
        <f t="shared" si="9"/>
        <v>0</v>
      </c>
      <c r="AA75" s="294">
        <f t="shared" si="9"/>
        <v>182416</v>
      </c>
      <c r="AB75" s="294">
        <f t="shared" si="9"/>
        <v>4132929</v>
      </c>
      <c r="AC75" s="294">
        <f t="shared" si="9"/>
        <v>1299116</v>
      </c>
      <c r="AD75" s="294">
        <f t="shared" si="9"/>
        <v>0</v>
      </c>
      <c r="AE75" s="294">
        <f t="shared" si="9"/>
        <v>2701882</v>
      </c>
      <c r="AF75" s="294">
        <f t="shared" si="9"/>
        <v>0</v>
      </c>
      <c r="AG75" s="294">
        <f t="shared" si="9"/>
        <v>7848984</v>
      </c>
      <c r="AH75" s="294">
        <f t="shared" si="9"/>
        <v>0</v>
      </c>
      <c r="AI75" s="294">
        <f t="shared" si="9"/>
        <v>67190</v>
      </c>
      <c r="AJ75" s="294">
        <f t="shared" si="9"/>
        <v>3714707</v>
      </c>
      <c r="AK75" s="294">
        <f t="shared" si="9"/>
        <v>0</v>
      </c>
      <c r="AL75" s="294">
        <f t="shared" si="9"/>
        <v>0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0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819953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40985939</v>
      </c>
      <c r="CF75" s="2"/>
    </row>
    <row r="76" spans="1:84" ht="12.65" customHeight="1" x14ac:dyDescent="0.3">
      <c r="A76" s="301" t="s">
        <v>248</v>
      </c>
      <c r="B76" s="294"/>
      <c r="C76" s="299"/>
      <c r="D76" s="299"/>
      <c r="E76" s="185">
        <v>18333</v>
      </c>
      <c r="F76" s="185"/>
      <c r="G76" s="299"/>
      <c r="H76" s="299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v>8072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456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304" t="s">
        <v>221</v>
      </c>
      <c r="CE76" s="294">
        <f t="shared" si="8"/>
        <v>78440</v>
      </c>
      <c r="CF76" s="294">
        <f>BE59-CE76</f>
        <v>0</v>
      </c>
    </row>
    <row r="77" spans="1:84" ht="12.65" customHeight="1" x14ac:dyDescent="0.3">
      <c r="A77" s="301" t="s">
        <v>249</v>
      </c>
      <c r="B77" s="294"/>
      <c r="C77" s="299"/>
      <c r="D77" s="299"/>
      <c r="E77" s="299">
        <v>5391</v>
      </c>
      <c r="F77" s="299"/>
      <c r="G77" s="299"/>
      <c r="H77" s="299"/>
      <c r="I77" s="299"/>
      <c r="J77" s="299"/>
      <c r="K77" s="299">
        <v>3640</v>
      </c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304" t="s">
        <v>221</v>
      </c>
      <c r="AY77" s="304" t="s">
        <v>221</v>
      </c>
      <c r="AZ77" s="299">
        <v>24381</v>
      </c>
      <c r="BA77" s="299"/>
      <c r="BB77" s="299"/>
      <c r="BC77" s="299"/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/>
      <c r="BL77" s="299"/>
      <c r="BM77" s="299"/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4" t="s">
        <v>221</v>
      </c>
      <c r="CD77" s="304" t="s">
        <v>221</v>
      </c>
      <c r="CE77" s="294">
        <f>SUM(C77:CD77)</f>
        <v>33412</v>
      </c>
      <c r="CF77" s="294">
        <f>AY59-CE77</f>
        <v>0</v>
      </c>
    </row>
    <row r="78" spans="1:84" ht="12.65" customHeight="1" x14ac:dyDescent="0.3">
      <c r="A78" s="301" t="s">
        <v>250</v>
      </c>
      <c r="B78" s="294"/>
      <c r="C78" s="299"/>
      <c r="D78" s="299"/>
      <c r="E78" s="299">
        <v>9000</v>
      </c>
      <c r="F78" s="299"/>
      <c r="G78" s="299"/>
      <c r="H78" s="299"/>
      <c r="I78" s="299"/>
      <c r="J78" s="299"/>
      <c r="K78" s="299">
        <v>9000</v>
      </c>
      <c r="L78" s="299"/>
      <c r="M78" s="299"/>
      <c r="N78" s="299"/>
      <c r="O78" s="299"/>
      <c r="P78" s="299">
        <v>1000</v>
      </c>
      <c r="Q78" s="299"/>
      <c r="R78" s="299"/>
      <c r="S78" s="299"/>
      <c r="T78" s="299"/>
      <c r="U78" s="299">
        <v>1000</v>
      </c>
      <c r="V78" s="299"/>
      <c r="W78" s="299"/>
      <c r="X78" s="299"/>
      <c r="Y78" s="299">
        <v>3000</v>
      </c>
      <c r="Z78" s="299"/>
      <c r="AA78" s="299"/>
      <c r="AB78" s="299">
        <v>500</v>
      </c>
      <c r="AC78" s="299">
        <v>1000</v>
      </c>
      <c r="AD78" s="299"/>
      <c r="AE78" s="299">
        <v>3000</v>
      </c>
      <c r="AF78" s="299"/>
      <c r="AG78" s="299">
        <v>4000</v>
      </c>
      <c r="AH78" s="299"/>
      <c r="AI78" s="299"/>
      <c r="AJ78" s="299">
        <v>5000</v>
      </c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>
        <v>2000</v>
      </c>
      <c r="AW78" s="299"/>
      <c r="AX78" s="304" t="s">
        <v>221</v>
      </c>
      <c r="AY78" s="304" t="s">
        <v>221</v>
      </c>
      <c r="AZ78" s="304" t="s">
        <v>221</v>
      </c>
      <c r="BA78" s="299"/>
      <c r="BB78" s="299"/>
      <c r="BC78" s="299"/>
      <c r="BD78" s="304" t="s">
        <v>221</v>
      </c>
      <c r="BE78" s="304" t="s">
        <v>221</v>
      </c>
      <c r="BF78" s="304" t="s">
        <v>221</v>
      </c>
      <c r="BG78" s="304" t="s">
        <v>221</v>
      </c>
      <c r="BH78" s="299"/>
      <c r="BI78" s="299"/>
      <c r="BJ78" s="304" t="s">
        <v>221</v>
      </c>
      <c r="BK78" s="299"/>
      <c r="BL78" s="299"/>
      <c r="BM78" s="299"/>
      <c r="BN78" s="304" t="s">
        <v>221</v>
      </c>
      <c r="BO78" s="304" t="s">
        <v>221</v>
      </c>
      <c r="BP78" s="304" t="s">
        <v>221</v>
      </c>
      <c r="BQ78" s="304" t="s">
        <v>221</v>
      </c>
      <c r="BR78" s="304" t="s">
        <v>221</v>
      </c>
      <c r="BS78" s="299"/>
      <c r="BT78" s="299"/>
      <c r="BU78" s="299"/>
      <c r="BV78" s="299">
        <v>1000</v>
      </c>
      <c r="BW78" s="299"/>
      <c r="BX78" s="299"/>
      <c r="BY78" s="299">
        <v>800</v>
      </c>
      <c r="BZ78" s="299"/>
      <c r="CA78" s="299"/>
      <c r="CB78" s="299"/>
      <c r="CC78" s="304" t="s">
        <v>221</v>
      </c>
      <c r="CD78" s="304" t="s">
        <v>221</v>
      </c>
      <c r="CE78" s="294">
        <f t="shared" si="8"/>
        <v>40300</v>
      </c>
      <c r="CF78" s="294"/>
    </row>
    <row r="79" spans="1:84" ht="12.65" customHeight="1" x14ac:dyDescent="0.3">
      <c r="A79" s="301" t="s">
        <v>251</v>
      </c>
      <c r="B79" s="294"/>
      <c r="C79" s="225"/>
      <c r="D79" s="225"/>
      <c r="E79" s="299">
        <v>28900</v>
      </c>
      <c r="F79" s="299"/>
      <c r="G79" s="299"/>
      <c r="H79" s="299"/>
      <c r="I79" s="299"/>
      <c r="J79" s="299"/>
      <c r="K79" s="299">
        <v>17500</v>
      </c>
      <c r="L79" s="299"/>
      <c r="M79" s="299"/>
      <c r="N79" s="299"/>
      <c r="O79" s="299"/>
      <c r="P79" s="299">
        <v>8000</v>
      </c>
      <c r="Q79" s="299"/>
      <c r="R79" s="299"/>
      <c r="S79" s="299"/>
      <c r="T79" s="299"/>
      <c r="U79" s="299"/>
      <c r="V79" s="299"/>
      <c r="W79" s="299"/>
      <c r="X79" s="299"/>
      <c r="Y79" s="299">
        <v>7000</v>
      </c>
      <c r="Z79" s="299"/>
      <c r="AA79" s="299"/>
      <c r="AB79" s="299"/>
      <c r="AC79" s="299"/>
      <c r="AD79" s="299"/>
      <c r="AE79" s="299">
        <v>12000</v>
      </c>
      <c r="AF79" s="299"/>
      <c r="AG79" s="299">
        <v>24000</v>
      </c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>
        <v>50600</v>
      </c>
      <c r="BJ79" s="304" t="s">
        <v>221</v>
      </c>
      <c r="BK79" s="299"/>
      <c r="BL79" s="299"/>
      <c r="BM79" s="299"/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4" t="s">
        <v>221</v>
      </c>
      <c r="CD79" s="304" t="s">
        <v>221</v>
      </c>
      <c r="CE79" s="294">
        <f t="shared" si="8"/>
        <v>148000</v>
      </c>
      <c r="CF79" s="294">
        <f>BA59</f>
        <v>0</v>
      </c>
    </row>
    <row r="80" spans="1:84" ht="12.65" customHeight="1" x14ac:dyDescent="0.3">
      <c r="A80" s="301" t="s">
        <v>252</v>
      </c>
      <c r="B80" s="294"/>
      <c r="C80" s="187"/>
      <c r="D80" s="187"/>
      <c r="E80" s="187">
        <v>18.100000000000001</v>
      </c>
      <c r="F80" s="187"/>
      <c r="G80" s="187"/>
      <c r="H80" s="187"/>
      <c r="I80" s="187"/>
      <c r="J80" s="187"/>
      <c r="K80" s="187">
        <v>11</v>
      </c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10.18</v>
      </c>
      <c r="AH80" s="187"/>
      <c r="AI80" s="187"/>
      <c r="AJ80" s="187">
        <v>3.5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08"/>
      <c r="BV80" s="308"/>
      <c r="BW80" s="308"/>
      <c r="BX80" s="308"/>
      <c r="BY80" s="308"/>
      <c r="BZ80" s="308"/>
      <c r="CA80" s="308"/>
      <c r="CB80" s="308"/>
      <c r="CC80" s="304" t="s">
        <v>221</v>
      </c>
      <c r="CD80" s="304" t="s">
        <v>221</v>
      </c>
      <c r="CE80" s="309">
        <f t="shared" si="8"/>
        <v>42.78</v>
      </c>
      <c r="CF80" s="309"/>
    </row>
    <row r="81" spans="1:84" ht="21" customHeight="1" x14ac:dyDescent="0.3">
      <c r="A81" s="310" t="s">
        <v>253</v>
      </c>
      <c r="B81" s="310"/>
      <c r="C81" s="310"/>
      <c r="D81" s="310"/>
      <c r="E81" s="3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1" t="s">
        <v>254</v>
      </c>
      <c r="B82" s="311"/>
      <c r="C82" s="312" t="s">
        <v>1267</v>
      </c>
      <c r="D82" s="313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4" t="s">
        <v>255</v>
      </c>
      <c r="B83" s="311" t="s">
        <v>256</v>
      </c>
      <c r="C83" s="314" t="s">
        <v>1268</v>
      </c>
      <c r="D83" s="313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4" t="s">
        <v>257</v>
      </c>
      <c r="B84" s="311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4" t="s">
        <v>1250</v>
      </c>
      <c r="B85" s="311"/>
      <c r="C85" s="270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4" t="s">
        <v>1251</v>
      </c>
      <c r="B86" s="311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4" t="s">
        <v>258</v>
      </c>
      <c r="B87" s="311" t="s">
        <v>256</v>
      </c>
      <c r="C87" s="270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4" t="s">
        <v>259</v>
      </c>
      <c r="B88" s="311" t="s">
        <v>256</v>
      </c>
      <c r="C88" s="270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4" t="s">
        <v>260</v>
      </c>
      <c r="B89" s="311" t="s">
        <v>256</v>
      </c>
      <c r="C89" s="270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4" t="s">
        <v>261</v>
      </c>
      <c r="B90" s="311" t="s">
        <v>256</v>
      </c>
      <c r="C90" s="270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4" t="s">
        <v>262</v>
      </c>
      <c r="B91" s="311" t="s">
        <v>256</v>
      </c>
      <c r="C91" s="270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4" t="s">
        <v>263</v>
      </c>
      <c r="B92" s="311" t="s">
        <v>256</v>
      </c>
      <c r="C92" s="226" t="s">
        <v>1277</v>
      </c>
      <c r="D92" s="313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4" t="s">
        <v>264</v>
      </c>
      <c r="B93" s="311" t="s">
        <v>256</v>
      </c>
      <c r="C93" s="315" t="s">
        <v>1278</v>
      </c>
      <c r="D93" s="313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0" t="s">
        <v>265</v>
      </c>
      <c r="B95" s="310"/>
      <c r="C95" s="310"/>
      <c r="D95" s="310"/>
      <c r="E95" s="3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4" t="s">
        <v>267</v>
      </c>
      <c r="B97" s="311" t="s">
        <v>256</v>
      </c>
      <c r="C97" s="18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4" t="s">
        <v>259</v>
      </c>
      <c r="B98" s="311" t="s">
        <v>256</v>
      </c>
      <c r="C98" s="18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4" t="s">
        <v>268</v>
      </c>
      <c r="B99" s="311" t="s">
        <v>256</v>
      </c>
      <c r="C99" s="189" t="s">
        <v>221</v>
      </c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4" t="s">
        <v>270</v>
      </c>
      <c r="B101" s="311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4" t="s">
        <v>132</v>
      </c>
      <c r="B102" s="311" t="s">
        <v>256</v>
      </c>
      <c r="C102" s="222"/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4" t="s">
        <v>272</v>
      </c>
      <c r="B104" s="311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4" t="s">
        <v>273</v>
      </c>
      <c r="B105" s="311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4" t="s">
        <v>274</v>
      </c>
      <c r="B106" s="311" t="s">
        <v>256</v>
      </c>
      <c r="C106" s="189"/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4"/>
      <c r="B107" s="311"/>
      <c r="C107" s="317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8" t="s">
        <v>275</v>
      </c>
      <c r="B108" s="310"/>
      <c r="C108" s="310"/>
      <c r="D108" s="310"/>
      <c r="E108" s="3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4"/>
      <c r="B109" s="311"/>
      <c r="C109" s="317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4" t="s">
        <v>278</v>
      </c>
      <c r="B111" s="311" t="s">
        <v>256</v>
      </c>
      <c r="C111" s="189">
        <v>154</v>
      </c>
      <c r="D111" s="174">
        <v>517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4" t="s">
        <v>279</v>
      </c>
      <c r="B112" s="311" t="s">
        <v>256</v>
      </c>
      <c r="C112" s="189">
        <v>76</v>
      </c>
      <c r="D112" s="174">
        <v>2467</v>
      </c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4" t="s">
        <v>280</v>
      </c>
      <c r="B113" s="311" t="s">
        <v>256</v>
      </c>
      <c r="C113" s="189"/>
      <c r="D113" s="174"/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4" t="s">
        <v>281</v>
      </c>
      <c r="B114" s="311" t="s">
        <v>256</v>
      </c>
      <c r="C114" s="189"/>
      <c r="D114" s="174"/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4" t="s">
        <v>283</v>
      </c>
      <c r="B116" s="311" t="s">
        <v>256</v>
      </c>
      <c r="C116" s="189"/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4" t="s">
        <v>284</v>
      </c>
      <c r="B117" s="311" t="s">
        <v>256</v>
      </c>
      <c r="C117" s="189"/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4" t="s">
        <v>1238</v>
      </c>
      <c r="B118" s="311" t="s">
        <v>256</v>
      </c>
      <c r="C118" s="189">
        <v>10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4" t="s">
        <v>285</v>
      </c>
      <c r="B119" s="311" t="s">
        <v>256</v>
      </c>
      <c r="C119" s="189"/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4" t="s">
        <v>286</v>
      </c>
      <c r="B120" s="311" t="s">
        <v>256</v>
      </c>
      <c r="C120" s="189"/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4" t="s">
        <v>287</v>
      </c>
      <c r="B121" s="311" t="s">
        <v>256</v>
      </c>
      <c r="C121" s="189"/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4" t="s">
        <v>97</v>
      </c>
      <c r="B122" s="311" t="s">
        <v>256</v>
      </c>
      <c r="C122" s="189"/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4" t="s">
        <v>288</v>
      </c>
      <c r="B123" s="311" t="s">
        <v>256</v>
      </c>
      <c r="C123" s="189">
        <v>15</v>
      </c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4" t="s">
        <v>289</v>
      </c>
      <c r="B124" s="311"/>
      <c r="C124" s="189"/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4" t="s">
        <v>280</v>
      </c>
      <c r="B125" s="311" t="s">
        <v>256</v>
      </c>
      <c r="C125" s="189"/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4" t="s">
        <v>290</v>
      </c>
      <c r="B126" s="311" t="s">
        <v>256</v>
      </c>
      <c r="C126" s="189"/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4" t="s">
        <v>291</v>
      </c>
      <c r="B127" s="294"/>
      <c r="C127" s="302"/>
      <c r="D127" s="294"/>
      <c r="E127" s="294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4" t="s">
        <v>292</v>
      </c>
      <c r="B128" s="311" t="s">
        <v>256</v>
      </c>
      <c r="C128" s="189"/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4" t="s">
        <v>293</v>
      </c>
      <c r="B129" s="311" t="s">
        <v>256</v>
      </c>
      <c r="C129" s="189"/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4" t="s">
        <v>294</v>
      </c>
      <c r="B131" s="311" t="s">
        <v>256</v>
      </c>
      <c r="C131" s="189">
        <v>1745171</v>
      </c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0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4" t="s">
        <v>277</v>
      </c>
      <c r="B138" s="174">
        <v>106</v>
      </c>
      <c r="C138" s="189">
        <v>25</v>
      </c>
      <c r="D138" s="174">
        <v>23</v>
      </c>
      <c r="E138" s="294">
        <f>SUM(B138:D138)</f>
        <v>154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4" t="s">
        <v>215</v>
      </c>
      <c r="B139" s="174">
        <v>366</v>
      </c>
      <c r="C139" s="189">
        <v>81</v>
      </c>
      <c r="D139" s="174">
        <v>70</v>
      </c>
      <c r="E139" s="294">
        <f>SUM(B139:D139)</f>
        <v>517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4" t="s">
        <v>298</v>
      </c>
      <c r="B140" s="174">
        <v>11453</v>
      </c>
      <c r="C140" s="174">
        <v>2454</v>
      </c>
      <c r="D140" s="174">
        <v>2455</v>
      </c>
      <c r="E140" s="294">
        <f>SUM(B140:D140)</f>
        <v>16362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4" t="s">
        <v>245</v>
      </c>
      <c r="B141" s="174">
        <v>2692076</v>
      </c>
      <c r="C141" s="189">
        <v>857702</v>
      </c>
      <c r="D141" s="174">
        <v>683449</v>
      </c>
      <c r="E141" s="294">
        <f>SUM(B141:D141)</f>
        <v>4233227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4" t="s">
        <v>246</v>
      </c>
      <c r="B142" s="174">
        <v>23822834</v>
      </c>
      <c r="C142" s="189">
        <v>4812565</v>
      </c>
      <c r="D142" s="174">
        <v>4919818</v>
      </c>
      <c r="E142" s="294">
        <f>SUM(B142:D142)</f>
        <v>33555217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4" t="s">
        <v>277</v>
      </c>
      <c r="B144" s="174">
        <v>53</v>
      </c>
      <c r="C144" s="189">
        <v>10</v>
      </c>
      <c r="D144" s="174">
        <v>13</v>
      </c>
      <c r="E144" s="294">
        <f>SUM(B144:D144)</f>
        <v>76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4" t="s">
        <v>215</v>
      </c>
      <c r="B145" s="174">
        <v>1727</v>
      </c>
      <c r="C145" s="189">
        <v>360</v>
      </c>
      <c r="D145" s="174">
        <v>380</v>
      </c>
      <c r="E145" s="294">
        <f>SUM(B145:D145)</f>
        <v>2467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4" t="s">
        <v>298</v>
      </c>
      <c r="B146" s="174"/>
      <c r="C146" s="189"/>
      <c r="D146" s="174"/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4" t="s">
        <v>245</v>
      </c>
      <c r="B147" s="174">
        <v>2238247</v>
      </c>
      <c r="C147" s="189">
        <v>477624</v>
      </c>
      <c r="D147" s="174">
        <v>481624</v>
      </c>
      <c r="E147" s="294">
        <f>SUM(B147:D147)</f>
        <v>3197495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4" t="s">
        <v>246</v>
      </c>
      <c r="B148" s="174"/>
      <c r="C148" s="189"/>
      <c r="D148" s="174"/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4" t="s">
        <v>277</v>
      </c>
      <c r="B150" s="174"/>
      <c r="C150" s="189"/>
      <c r="D150" s="174"/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4" t="s">
        <v>215</v>
      </c>
      <c r="B151" s="174"/>
      <c r="C151" s="189"/>
      <c r="D151" s="174"/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4" t="s">
        <v>298</v>
      </c>
      <c r="B152" s="174"/>
      <c r="C152" s="189"/>
      <c r="D152" s="174"/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4" t="s">
        <v>245</v>
      </c>
      <c r="B153" s="174"/>
      <c r="C153" s="189"/>
      <c r="D153" s="174"/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4" t="s">
        <v>246</v>
      </c>
      <c r="B154" s="174"/>
      <c r="C154" s="189"/>
      <c r="D154" s="174"/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0"/>
      <c r="B155" s="300"/>
      <c r="C155" s="323"/>
      <c r="D155" s="324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19" t="s">
        <v>301</v>
      </c>
      <c r="B156" s="320" t="s">
        <v>302</v>
      </c>
      <c r="C156" s="321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0" t="s">
        <v>304</v>
      </c>
      <c r="B157" s="174">
        <v>1987495</v>
      </c>
      <c r="C157" s="174">
        <v>2030704</v>
      </c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0"/>
      <c r="B158" s="324"/>
      <c r="C158" s="323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0"/>
      <c r="B159" s="300"/>
      <c r="C159" s="323"/>
      <c r="D159" s="324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0"/>
      <c r="B160" s="300"/>
      <c r="C160" s="323"/>
      <c r="D160" s="324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0"/>
      <c r="B161" s="300"/>
      <c r="C161" s="323"/>
      <c r="D161" s="324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0"/>
      <c r="B162" s="300"/>
      <c r="C162" s="323"/>
      <c r="D162" s="324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8" t="s">
        <v>305</v>
      </c>
      <c r="B163" s="310"/>
      <c r="C163" s="310"/>
      <c r="D163" s="310"/>
      <c r="E163" s="3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4" t="s">
        <v>307</v>
      </c>
      <c r="B165" s="311" t="s">
        <v>256</v>
      </c>
      <c r="C165" s="189">
        <f>812135+208027</f>
        <v>1020162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4" t="s">
        <v>308</v>
      </c>
      <c r="B166" s="311" t="s">
        <v>256</v>
      </c>
      <c r="C166" s="189">
        <v>53144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0" t="s">
        <v>309</v>
      </c>
      <c r="B167" s="311" t="s">
        <v>256</v>
      </c>
      <c r="C167" s="189">
        <v>315910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4" t="s">
        <v>310</v>
      </c>
      <c r="B168" s="311" t="s">
        <v>256</v>
      </c>
      <c r="C168" s="189">
        <v>1688310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4" t="s">
        <v>311</v>
      </c>
      <c r="B169" s="311" t="s">
        <v>256</v>
      </c>
      <c r="C169" s="189">
        <v>103390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4" t="s">
        <v>312</v>
      </c>
      <c r="B170" s="311" t="s">
        <v>256</v>
      </c>
      <c r="C170" s="189">
        <f>4446+614522</f>
        <v>618968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4" t="s">
        <v>313</v>
      </c>
      <c r="B171" s="311" t="s">
        <v>256</v>
      </c>
      <c r="C171" s="189">
        <v>129622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4" t="s">
        <v>313</v>
      </c>
      <c r="B172" s="311" t="s">
        <v>256</v>
      </c>
      <c r="C172" s="189"/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4" t="s">
        <v>203</v>
      </c>
      <c r="B173" s="294"/>
      <c r="C173" s="302"/>
      <c r="D173" s="294">
        <f>SUM(C165:C172)</f>
        <v>3929506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4" t="s">
        <v>315</v>
      </c>
      <c r="B175" s="311" t="s">
        <v>256</v>
      </c>
      <c r="C175" s="189"/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4" t="s">
        <v>316</v>
      </c>
      <c r="B176" s="311" t="s">
        <v>256</v>
      </c>
      <c r="C176" s="189">
        <v>223327</v>
      </c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4" t="s">
        <v>203</v>
      </c>
      <c r="B177" s="294"/>
      <c r="C177" s="302"/>
      <c r="D177" s="294">
        <f>SUM(C175:C176)</f>
        <v>223327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4" t="s">
        <v>318</v>
      </c>
      <c r="B179" s="311" t="s">
        <v>256</v>
      </c>
      <c r="C179" s="189">
        <v>89929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4" t="s">
        <v>319</v>
      </c>
      <c r="B180" s="311" t="s">
        <v>256</v>
      </c>
      <c r="C180" s="189">
        <v>124277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4" t="s">
        <v>203</v>
      </c>
      <c r="B181" s="294"/>
      <c r="C181" s="302"/>
      <c r="D181" s="294">
        <f>SUM(C179:C180)</f>
        <v>214206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4" t="s">
        <v>321</v>
      </c>
      <c r="B183" s="311" t="s">
        <v>256</v>
      </c>
      <c r="C183" s="189">
        <f>8440+14809</f>
        <v>23249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4" t="s">
        <v>322</v>
      </c>
      <c r="B184" s="311" t="s">
        <v>256</v>
      </c>
      <c r="C184" s="189">
        <v>218655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4" t="s">
        <v>132</v>
      </c>
      <c r="B185" s="311" t="s">
        <v>256</v>
      </c>
      <c r="C185" s="189"/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4" t="s">
        <v>203</v>
      </c>
      <c r="B186" s="294"/>
      <c r="C186" s="302"/>
      <c r="D186" s="294">
        <f>SUM(C183:C185)</f>
        <v>241904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4" t="s">
        <v>324</v>
      </c>
      <c r="B188" s="311" t="s">
        <v>256</v>
      </c>
      <c r="C188" s="189"/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4" t="s">
        <v>325</v>
      </c>
      <c r="B189" s="311" t="s">
        <v>256</v>
      </c>
      <c r="C189" s="189">
        <v>441484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4" t="s">
        <v>203</v>
      </c>
      <c r="B190" s="294"/>
      <c r="C190" s="302"/>
      <c r="D190" s="294">
        <f>SUM(C188:C189)</f>
        <v>441484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0" t="s">
        <v>326</v>
      </c>
      <c r="B192" s="310"/>
      <c r="C192" s="310"/>
      <c r="D192" s="310"/>
      <c r="E192" s="3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8" t="s">
        <v>327</v>
      </c>
      <c r="B193" s="310"/>
      <c r="C193" s="310"/>
      <c r="D193" s="310"/>
      <c r="E193" s="3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4" t="s">
        <v>332</v>
      </c>
      <c r="B195" s="174">
        <v>968600</v>
      </c>
      <c r="C195" s="189">
        <v>30000</v>
      </c>
      <c r="D195" s="174"/>
      <c r="E195" s="294">
        <f t="shared" ref="E195:E203" si="10">SUM(B195:C195)-D195</f>
        <v>998600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4" t="s">
        <v>333</v>
      </c>
      <c r="B196" s="174">
        <v>1426739</v>
      </c>
      <c r="C196" s="189"/>
      <c r="D196" s="174"/>
      <c r="E196" s="294">
        <f t="shared" si="10"/>
        <v>1426739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4" t="s">
        <v>334</v>
      </c>
      <c r="B197" s="174">
        <f>15853907+1199410</f>
        <v>17053317</v>
      </c>
      <c r="C197" s="189">
        <f>302836+79968</f>
        <v>382804</v>
      </c>
      <c r="D197" s="174"/>
      <c r="E197" s="294">
        <f t="shared" si="10"/>
        <v>17436121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4" t="s">
        <v>335</v>
      </c>
      <c r="B198" s="174"/>
      <c r="C198" s="189"/>
      <c r="D198" s="174"/>
      <c r="E198" s="294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4" t="s">
        <v>336</v>
      </c>
      <c r="B199" s="174">
        <v>2677876</v>
      </c>
      <c r="C199" s="189"/>
      <c r="D199" s="174"/>
      <c r="E199" s="294">
        <f t="shared" si="10"/>
        <v>2677876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4" t="s">
        <v>337</v>
      </c>
      <c r="B200" s="174">
        <v>7506412</v>
      </c>
      <c r="C200" s="189">
        <v>683454</v>
      </c>
      <c r="D200" s="174"/>
      <c r="E200" s="294">
        <f t="shared" si="10"/>
        <v>8189866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4" t="s">
        <v>338</v>
      </c>
      <c r="B201" s="174"/>
      <c r="C201" s="189"/>
      <c r="D201" s="174"/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4" t="s">
        <v>339</v>
      </c>
      <c r="B202" s="174"/>
      <c r="C202" s="189"/>
      <c r="D202" s="174"/>
      <c r="E202" s="294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4" t="s">
        <v>340</v>
      </c>
      <c r="B203" s="174">
        <v>405798</v>
      </c>
      <c r="C203" s="189">
        <v>86772</v>
      </c>
      <c r="D203" s="174"/>
      <c r="E203" s="294">
        <f t="shared" si="10"/>
        <v>492570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4" t="s">
        <v>203</v>
      </c>
      <c r="B204" s="294">
        <f>SUM(B195:B203)</f>
        <v>30038742</v>
      </c>
      <c r="C204" s="302">
        <f>SUM(C195:C203)</f>
        <v>1183030</v>
      </c>
      <c r="D204" s="294">
        <f>SUM(D195:D203)</f>
        <v>0</v>
      </c>
      <c r="E204" s="294">
        <f>SUM(E195:E203)</f>
        <v>31221772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4" t="s">
        <v>332</v>
      </c>
      <c r="B208" s="324"/>
      <c r="C208" s="323"/>
      <c r="D208" s="324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4" t="s">
        <v>333</v>
      </c>
      <c r="B209" s="174">
        <v>1056286</v>
      </c>
      <c r="C209" s="189">
        <v>55206</v>
      </c>
      <c r="D209" s="174"/>
      <c r="E209" s="294">
        <f t="shared" ref="E209:E216" si="11">SUM(B209:C209)-D209</f>
        <v>1111492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4" t="s">
        <v>334</v>
      </c>
      <c r="B210" s="174">
        <f>10859083+937843</f>
        <v>11796926</v>
      </c>
      <c r="C210" s="189">
        <f>690348</f>
        <v>690348</v>
      </c>
      <c r="D210" s="174">
        <v>27854</v>
      </c>
      <c r="E210" s="294">
        <f t="shared" si="11"/>
        <v>12459420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4" t="s">
        <v>335</v>
      </c>
      <c r="B211" s="174"/>
      <c r="C211" s="189"/>
      <c r="D211" s="174"/>
      <c r="E211" s="294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4" t="s">
        <v>336</v>
      </c>
      <c r="B212" s="174">
        <v>1710513</v>
      </c>
      <c r="C212" s="189">
        <v>127478</v>
      </c>
      <c r="D212" s="174"/>
      <c r="E212" s="294">
        <f t="shared" si="11"/>
        <v>1837991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4" t="s">
        <v>337</v>
      </c>
      <c r="B213" s="174">
        <v>6005600</v>
      </c>
      <c r="C213" s="189">
        <f>890971+43520</f>
        <v>934491</v>
      </c>
      <c r="D213" s="174">
        <v>43520</v>
      </c>
      <c r="E213" s="294">
        <f t="shared" si="11"/>
        <v>6896571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4" t="s">
        <v>338</v>
      </c>
      <c r="B214" s="174"/>
      <c r="C214" s="189"/>
      <c r="D214" s="174"/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4" t="s">
        <v>339</v>
      </c>
      <c r="B215" s="174"/>
      <c r="C215" s="189"/>
      <c r="D215" s="174"/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4" t="s">
        <v>340</v>
      </c>
      <c r="B216" s="174"/>
      <c r="C216" s="189"/>
      <c r="D216" s="174"/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4" t="s">
        <v>203</v>
      </c>
      <c r="B217" s="294">
        <f>SUM(B208:B216)</f>
        <v>20569325</v>
      </c>
      <c r="C217" s="302">
        <f>SUM(C208:C216)</f>
        <v>1807523</v>
      </c>
      <c r="D217" s="294">
        <f>SUM(D208:D216)</f>
        <v>71374</v>
      </c>
      <c r="E217" s="294">
        <f>SUM(E208:E216)</f>
        <v>22305474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0" t="s">
        <v>342</v>
      </c>
      <c r="B219" s="310"/>
      <c r="C219" s="310"/>
      <c r="D219" s="310"/>
      <c r="E219" s="3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0"/>
      <c r="B220" s="341" t="s">
        <v>1254</v>
      </c>
      <c r="C220" s="341"/>
      <c r="D220" s="310"/>
      <c r="E220" s="3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5" t="s">
        <v>1254</v>
      </c>
      <c r="B221" s="310"/>
      <c r="C221" s="189">
        <v>521296</v>
      </c>
      <c r="D221" s="311">
        <f>C221</f>
        <v>521296</v>
      </c>
      <c r="E221" s="3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4" t="s">
        <v>344</v>
      </c>
      <c r="B223" s="311" t="s">
        <v>256</v>
      </c>
      <c r="C223" s="189">
        <f>2262311+2956421</f>
        <v>5218732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4" t="s">
        <v>345</v>
      </c>
      <c r="B224" s="311" t="s">
        <v>256</v>
      </c>
      <c r="C224" s="189">
        <f>509507+4176813</f>
        <v>4686320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4" t="s">
        <v>346</v>
      </c>
      <c r="B225" s="311" t="s">
        <v>256</v>
      </c>
      <c r="C225" s="189">
        <v>141190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4" t="s">
        <v>347</v>
      </c>
      <c r="B226" s="311" t="s">
        <v>256</v>
      </c>
      <c r="C226" s="189"/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4" t="s">
        <v>348</v>
      </c>
      <c r="B227" s="311" t="s">
        <v>256</v>
      </c>
      <c r="C227" s="189"/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4" t="s">
        <v>349</v>
      </c>
      <c r="B228" s="311" t="s">
        <v>256</v>
      </c>
      <c r="C228" s="189">
        <v>3949045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4" t="s">
        <v>350</v>
      </c>
      <c r="B229" s="294"/>
      <c r="C229" s="302"/>
      <c r="D229" s="294">
        <f>SUM(C223:C228)</f>
        <v>13995287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1" t="s">
        <v>352</v>
      </c>
      <c r="B231" s="311" t="s">
        <v>256</v>
      </c>
      <c r="C231" s="189"/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1"/>
      <c r="B232" s="311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1" t="s">
        <v>353</v>
      </c>
      <c r="B233" s="311" t="s">
        <v>256</v>
      </c>
      <c r="C233" s="189"/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1" t="s">
        <v>354</v>
      </c>
      <c r="B234" s="311" t="s">
        <v>256</v>
      </c>
      <c r="C234" s="189">
        <v>413112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1" t="s">
        <v>355</v>
      </c>
      <c r="B236" s="294"/>
      <c r="C236" s="302"/>
      <c r="D236" s="294">
        <f>SUM(C233:C235)</f>
        <v>413112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4" t="s">
        <v>357</v>
      </c>
      <c r="B238" s="311" t="s">
        <v>256</v>
      </c>
      <c r="C238" s="189">
        <v>656144</v>
      </c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4" t="s">
        <v>356</v>
      </c>
      <c r="B239" s="311" t="s">
        <v>256</v>
      </c>
      <c r="C239" s="189"/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4" t="s">
        <v>358</v>
      </c>
      <c r="B240" s="294"/>
      <c r="C240" s="302"/>
      <c r="D240" s="294">
        <f>SUM(C238:C239)</f>
        <v>656144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4" t="s">
        <v>359</v>
      </c>
      <c r="B242" s="294"/>
      <c r="C242" s="302"/>
      <c r="D242" s="294">
        <f>D221+D229+D236+D240</f>
        <v>15585839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0" t="s">
        <v>360</v>
      </c>
      <c r="B248" s="310"/>
      <c r="C248" s="310"/>
      <c r="D248" s="310"/>
      <c r="E248" s="3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4" t="s">
        <v>362</v>
      </c>
      <c r="B250" s="311" t="s">
        <v>256</v>
      </c>
      <c r="C250" s="189">
        <f>13907559</f>
        <v>13907559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4" t="s">
        <v>363</v>
      </c>
      <c r="B251" s="311" t="s">
        <v>256</v>
      </c>
      <c r="C251" s="189"/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4" t="s">
        <v>364</v>
      </c>
      <c r="B252" s="311" t="s">
        <v>256</v>
      </c>
      <c r="C252" s="189">
        <v>6254724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4" t="s">
        <v>365</v>
      </c>
      <c r="B253" s="311" t="s">
        <v>256</v>
      </c>
      <c r="C253" s="189">
        <v>2586216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4" t="s">
        <v>1240</v>
      </c>
      <c r="B254" s="311" t="s">
        <v>256</v>
      </c>
      <c r="C254" s="189">
        <v>1087432</v>
      </c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4" t="s">
        <v>366</v>
      </c>
      <c r="B255" s="311" t="s">
        <v>256</v>
      </c>
      <c r="C255" s="189">
        <f>50622+66706</f>
        <v>117328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4" t="s">
        <v>367</v>
      </c>
      <c r="B256" s="311" t="s">
        <v>256</v>
      </c>
      <c r="C256" s="189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4" t="s">
        <v>368</v>
      </c>
      <c r="B257" s="311" t="s">
        <v>256</v>
      </c>
      <c r="C257" s="189">
        <v>312749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4" t="s">
        <v>369</v>
      </c>
      <c r="B258" s="311" t="s">
        <v>256</v>
      </c>
      <c r="C258" s="189">
        <v>262018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4" t="s">
        <v>370</v>
      </c>
      <c r="B259" s="311" t="s">
        <v>256</v>
      </c>
      <c r="C259" s="189"/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4" t="s">
        <v>371</v>
      </c>
      <c r="B260" s="294"/>
      <c r="C260" s="302"/>
      <c r="D260" s="294">
        <f>SUM(C250:C252)-C253+SUM(C254:C259)</f>
        <v>19355594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4" t="s">
        <v>362</v>
      </c>
      <c r="B262" s="311" t="s">
        <v>256</v>
      </c>
      <c r="C262" s="189">
        <v>3205817</v>
      </c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4" t="s">
        <v>363</v>
      </c>
      <c r="B263" s="311" t="s">
        <v>256</v>
      </c>
      <c r="C263" s="189"/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4" t="s">
        <v>373</v>
      </c>
      <c r="B264" s="311" t="s">
        <v>256</v>
      </c>
      <c r="C264" s="189"/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4" t="s">
        <v>374</v>
      </c>
      <c r="B265" s="294"/>
      <c r="C265" s="302"/>
      <c r="D265" s="294">
        <f>SUM(C262:C264)</f>
        <v>3205817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4" t="s">
        <v>332</v>
      </c>
      <c r="B267" s="311" t="s">
        <v>256</v>
      </c>
      <c r="C267" s="189">
        <v>998600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4" t="s">
        <v>333</v>
      </c>
      <c r="B268" s="311" t="s">
        <v>256</v>
      </c>
      <c r="C268" s="189">
        <v>1426739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4" t="s">
        <v>334</v>
      </c>
      <c r="B269" s="311" t="s">
        <v>256</v>
      </c>
      <c r="C269" s="189">
        <f>16156743+1279378</f>
        <v>17436121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4" t="s">
        <v>376</v>
      </c>
      <c r="B270" s="311" t="s">
        <v>256</v>
      </c>
      <c r="C270" s="189"/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4" t="s">
        <v>377</v>
      </c>
      <c r="B271" s="311" t="s">
        <v>256</v>
      </c>
      <c r="C271" s="189">
        <v>2677875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4" t="s">
        <v>378</v>
      </c>
      <c r="B272" s="311" t="s">
        <v>256</v>
      </c>
      <c r="C272" s="189">
        <v>8189866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4" t="s">
        <v>339</v>
      </c>
      <c r="B273" s="311" t="s">
        <v>256</v>
      </c>
      <c r="C273" s="189"/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4" t="s">
        <v>340</v>
      </c>
      <c r="B274" s="311" t="s">
        <v>256</v>
      </c>
      <c r="C274" s="189">
        <v>492571</v>
      </c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4" t="s">
        <v>379</v>
      </c>
      <c r="B275" s="294"/>
      <c r="C275" s="302"/>
      <c r="D275" s="294">
        <f>SUM(C267:C274)</f>
        <v>31221772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4" t="s">
        <v>380</v>
      </c>
      <c r="B276" s="311" t="s">
        <v>256</v>
      </c>
      <c r="C276" s="189">
        <v>22305474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4" t="s">
        <v>381</v>
      </c>
      <c r="B277" s="294"/>
      <c r="C277" s="302"/>
      <c r="D277" s="294">
        <f>D275-C276</f>
        <v>8916298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4" t="s">
        <v>383</v>
      </c>
      <c r="B279" s="311" t="s">
        <v>256</v>
      </c>
      <c r="C279" s="189"/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4" t="s">
        <v>384</v>
      </c>
      <c r="B280" s="311" t="s">
        <v>256</v>
      </c>
      <c r="C280" s="189"/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4" t="s">
        <v>385</v>
      </c>
      <c r="B281" s="311" t="s">
        <v>256</v>
      </c>
      <c r="C281" s="189"/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4" t="s">
        <v>373</v>
      </c>
      <c r="B282" s="311" t="s">
        <v>256</v>
      </c>
      <c r="C282" s="189"/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4" t="s">
        <v>386</v>
      </c>
      <c r="B283" s="294"/>
      <c r="C283" s="302"/>
      <c r="D283" s="294">
        <f>C279-C280+C281+C282</f>
        <v>0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4" t="s">
        <v>388</v>
      </c>
      <c r="B286" s="311" t="s">
        <v>256</v>
      </c>
      <c r="C286" s="189"/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4" t="s">
        <v>389</v>
      </c>
      <c r="B287" s="311" t="s">
        <v>256</v>
      </c>
      <c r="C287" s="189"/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4" t="s">
        <v>390</v>
      </c>
      <c r="B288" s="311" t="s">
        <v>256</v>
      </c>
      <c r="C288" s="189"/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4" t="s">
        <v>391</v>
      </c>
      <c r="B289" s="311" t="s">
        <v>256</v>
      </c>
      <c r="C289" s="189"/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4" t="s">
        <v>392</v>
      </c>
      <c r="B290" s="294"/>
      <c r="C290" s="302"/>
      <c r="D290" s="294">
        <f>SUM(C286:C289)</f>
        <v>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4" t="s">
        <v>393</v>
      </c>
      <c r="B292" s="294"/>
      <c r="C292" s="302"/>
      <c r="D292" s="294">
        <f>D260+D265+D277+D283+D290</f>
        <v>31477709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0" t="s">
        <v>394</v>
      </c>
      <c r="B302" s="310"/>
      <c r="C302" s="310"/>
      <c r="D302" s="310"/>
      <c r="E302" s="3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4" t="s">
        <v>396</v>
      </c>
      <c r="B304" s="311" t="s">
        <v>256</v>
      </c>
      <c r="C304" s="189"/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4" t="s">
        <v>397</v>
      </c>
      <c r="B305" s="311" t="s">
        <v>256</v>
      </c>
      <c r="C305" s="189">
        <v>583624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4" t="s">
        <v>398</v>
      </c>
      <c r="B306" s="311" t="s">
        <v>256</v>
      </c>
      <c r="C306" s="189">
        <f>903749+894536</f>
        <v>1798285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4" t="s">
        <v>399</v>
      </c>
      <c r="B307" s="311" t="s">
        <v>256</v>
      </c>
      <c r="C307" s="189"/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4" t="s">
        <v>400</v>
      </c>
      <c r="B308" s="311" t="s">
        <v>256</v>
      </c>
      <c r="C308" s="189">
        <v>6149286</v>
      </c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4" t="s">
        <v>1241</v>
      </c>
      <c r="B309" s="311" t="s">
        <v>256</v>
      </c>
      <c r="C309" s="189"/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4" t="s">
        <v>401</v>
      </c>
      <c r="B310" s="311" t="s">
        <v>256</v>
      </c>
      <c r="C310" s="189"/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4" t="s">
        <v>402</v>
      </c>
      <c r="B311" s="311" t="s">
        <v>256</v>
      </c>
      <c r="C311" s="189"/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4" t="s">
        <v>403</v>
      </c>
      <c r="B312" s="311" t="s">
        <v>256</v>
      </c>
      <c r="C312" s="189">
        <v>773939</v>
      </c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4" t="s">
        <v>404</v>
      </c>
      <c r="B313" s="311" t="s">
        <v>256</v>
      </c>
      <c r="C313" s="189">
        <v>1316175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4" t="s">
        <v>405</v>
      </c>
      <c r="B314" s="294"/>
      <c r="C314" s="302"/>
      <c r="D314" s="294">
        <f>SUM(C304:C313)</f>
        <v>10621309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4" t="s">
        <v>407</v>
      </c>
      <c r="B316" s="311" t="s">
        <v>256</v>
      </c>
      <c r="C316" s="189"/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4" t="s">
        <v>408</v>
      </c>
      <c r="B317" s="311" t="s">
        <v>256</v>
      </c>
      <c r="C317" s="189"/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4" t="s">
        <v>409</v>
      </c>
      <c r="B318" s="311" t="s">
        <v>256</v>
      </c>
      <c r="C318" s="189"/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4" t="s">
        <v>410</v>
      </c>
      <c r="B319" s="294"/>
      <c r="C319" s="302"/>
      <c r="D319" s="294">
        <f>SUM(C316:C318)</f>
        <v>0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4" t="s">
        <v>412</v>
      </c>
      <c r="B321" s="311" t="s">
        <v>256</v>
      </c>
      <c r="C321" s="189"/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4" t="s">
        <v>413</v>
      </c>
      <c r="B322" s="311" t="s">
        <v>256</v>
      </c>
      <c r="C322" s="189"/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4" t="s">
        <v>414</v>
      </c>
      <c r="B323" s="311" t="s">
        <v>256</v>
      </c>
      <c r="C323" s="189">
        <v>4560487</v>
      </c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1" t="s">
        <v>415</v>
      </c>
      <c r="B324" s="311" t="s">
        <v>256</v>
      </c>
      <c r="C324" s="189"/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4" t="s">
        <v>416</v>
      </c>
      <c r="B325" s="311" t="s">
        <v>256</v>
      </c>
      <c r="C325" s="189">
        <f>6140284+1316175</f>
        <v>7456459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1" t="s">
        <v>417</v>
      </c>
      <c r="B326" s="311" t="s">
        <v>256</v>
      </c>
      <c r="C326" s="189"/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4" t="s">
        <v>418</v>
      </c>
      <c r="B327" s="311" t="s">
        <v>256</v>
      </c>
      <c r="C327" s="189"/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4" t="s">
        <v>203</v>
      </c>
      <c r="B328" s="294"/>
      <c r="C328" s="302"/>
      <c r="D328" s="294">
        <f>SUM(C321:C327)</f>
        <v>12016946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4" t="s">
        <v>419</v>
      </c>
      <c r="B329" s="294"/>
      <c r="C329" s="302"/>
      <c r="D329" s="294">
        <f>C313</f>
        <v>1316175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4" t="s">
        <v>420</v>
      </c>
      <c r="B330" s="294"/>
      <c r="C330" s="302"/>
      <c r="D330" s="294">
        <f>D328-D329</f>
        <v>10700771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4" t="s">
        <v>421</v>
      </c>
      <c r="B332" s="311" t="s">
        <v>256</v>
      </c>
      <c r="C332" s="222">
        <v>10155629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4"/>
      <c r="B333" s="311"/>
      <c r="C333" s="231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4" t="s">
        <v>1142</v>
      </c>
      <c r="B334" s="311" t="s">
        <v>256</v>
      </c>
      <c r="C334" s="222"/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4" t="s">
        <v>1143</v>
      </c>
      <c r="B335" s="311" t="s">
        <v>256</v>
      </c>
      <c r="C335" s="222"/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4" t="s">
        <v>423</v>
      </c>
      <c r="B336" s="311" t="s">
        <v>256</v>
      </c>
      <c r="C336" s="222"/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4" t="s">
        <v>422</v>
      </c>
      <c r="B337" s="311" t="s">
        <v>256</v>
      </c>
      <c r="C337" s="189"/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4" t="s">
        <v>1252</v>
      </c>
      <c r="B338" s="311" t="s">
        <v>256</v>
      </c>
      <c r="C338" s="189"/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4" t="s">
        <v>424</v>
      </c>
      <c r="B339" s="294"/>
      <c r="C339" s="302"/>
      <c r="D339" s="294">
        <f>D314+D319+D330+C332+C336+C337</f>
        <v>31477709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4" t="s">
        <v>425</v>
      </c>
      <c r="B341" s="294"/>
      <c r="C341" s="302"/>
      <c r="D341" s="294">
        <f>D292</f>
        <v>31477709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0" t="s">
        <v>426</v>
      </c>
      <c r="B357" s="310"/>
      <c r="C357" s="310"/>
      <c r="D357" s="310"/>
      <c r="E357" s="3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4" t="s">
        <v>428</v>
      </c>
      <c r="B359" s="311" t="s">
        <v>256</v>
      </c>
      <c r="C359" s="189">
        <f>4233227+3197495</f>
        <v>7430722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4" t="s">
        <v>429</v>
      </c>
      <c r="B360" s="311" t="s">
        <v>256</v>
      </c>
      <c r="C360" s="189">
        <f>36752712-3197495</f>
        <v>33555217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4" t="s">
        <v>430</v>
      </c>
      <c r="B361" s="294"/>
      <c r="C361" s="302"/>
      <c r="D361" s="294">
        <f>SUM(C359:C360)</f>
        <v>40985939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4" t="s">
        <v>1254</v>
      </c>
      <c r="B363" s="316"/>
      <c r="C363" s="189">
        <v>521296</v>
      </c>
      <c r="D363" s="294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4" t="s">
        <v>432</v>
      </c>
      <c r="B364" s="311" t="s">
        <v>256</v>
      </c>
      <c r="C364" s="189">
        <f>14651432-656144</f>
        <v>13995288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4" t="s">
        <v>433</v>
      </c>
      <c r="B365" s="311" t="s">
        <v>256</v>
      </c>
      <c r="C365" s="189">
        <v>413111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4" t="s">
        <v>434</v>
      </c>
      <c r="B366" s="311" t="s">
        <v>256</v>
      </c>
      <c r="C366" s="189">
        <v>656144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4" t="s">
        <v>359</v>
      </c>
      <c r="B367" s="294"/>
      <c r="C367" s="302"/>
      <c r="D367" s="294">
        <f>SUM(C363:C366)</f>
        <v>15585839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4" t="s">
        <v>435</v>
      </c>
      <c r="B368" s="294"/>
      <c r="C368" s="302"/>
      <c r="D368" s="294">
        <f>D361-D367</f>
        <v>25400100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4" t="s">
        <v>437</v>
      </c>
      <c r="B370" s="311" t="s">
        <v>256</v>
      </c>
      <c r="C370" s="189">
        <f>5534221+30115</f>
        <v>5564336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4" t="s">
        <v>438</v>
      </c>
      <c r="B371" s="311" t="s">
        <v>256</v>
      </c>
      <c r="C371" s="189">
        <v>1788736</v>
      </c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4" t="s">
        <v>439</v>
      </c>
      <c r="B372" s="294"/>
      <c r="C372" s="302"/>
      <c r="D372" s="294">
        <f>SUM(C370:C371)</f>
        <v>7353072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4" t="s">
        <v>440</v>
      </c>
      <c r="B373" s="294"/>
      <c r="C373" s="302"/>
      <c r="D373" s="294">
        <f>D368+D372</f>
        <v>32753172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4" t="s">
        <v>442</v>
      </c>
      <c r="B378" s="311" t="s">
        <v>256</v>
      </c>
      <c r="C378" s="189">
        <v>17202430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4" t="s">
        <v>3</v>
      </c>
      <c r="B379" s="311" t="s">
        <v>256</v>
      </c>
      <c r="C379" s="189">
        <v>3929506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4" t="s">
        <v>236</v>
      </c>
      <c r="B380" s="311" t="s">
        <v>256</v>
      </c>
      <c r="C380" s="189">
        <v>1703174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4" t="s">
        <v>443</v>
      </c>
      <c r="B381" s="311" t="s">
        <v>256</v>
      </c>
      <c r="C381" s="189">
        <v>2072897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4" t="s">
        <v>444</v>
      </c>
      <c r="B382" s="311" t="s">
        <v>256</v>
      </c>
      <c r="C382" s="189">
        <v>517969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4" t="s">
        <v>445</v>
      </c>
      <c r="B383" s="311" t="s">
        <v>256</v>
      </c>
      <c r="C383" s="189">
        <f>3595544-517969</f>
        <v>3077575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4" t="s">
        <v>6</v>
      </c>
      <c r="B384" s="311" t="s">
        <v>256</v>
      </c>
      <c r="C384" s="189">
        <v>1720483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4" t="s">
        <v>446</v>
      </c>
      <c r="B385" s="311" t="s">
        <v>256</v>
      </c>
      <c r="C385" s="189">
        <v>223327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4" t="s">
        <v>447</v>
      </c>
      <c r="B386" s="311" t="s">
        <v>256</v>
      </c>
      <c r="C386" s="189">
        <v>214205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4" t="s">
        <v>448</v>
      </c>
      <c r="B387" s="311" t="s">
        <v>256</v>
      </c>
      <c r="C387" s="189">
        <v>241904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4" t="s">
        <v>449</v>
      </c>
      <c r="B388" s="311" t="s">
        <v>256</v>
      </c>
      <c r="C388" s="189">
        <v>441484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4" t="s">
        <v>451</v>
      </c>
      <c r="B389" s="311" t="s">
        <v>256</v>
      </c>
      <c r="C389" s="189">
        <f>1074765-223327-241904</f>
        <v>609534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4" t="s">
        <v>452</v>
      </c>
      <c r="B390" s="294"/>
      <c r="C390" s="302"/>
      <c r="D390" s="294">
        <f>SUM(C378:C389)</f>
        <v>31954488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4" t="s">
        <v>453</v>
      </c>
      <c r="B391" s="294"/>
      <c r="C391" s="302"/>
      <c r="D391" s="294">
        <f>D373-D390</f>
        <v>798684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4" t="s">
        <v>454</v>
      </c>
      <c r="B392" s="311" t="s">
        <v>256</v>
      </c>
      <c r="C392" s="189">
        <f>1843600-1788736</f>
        <v>54864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4" t="s">
        <v>455</v>
      </c>
      <c r="B393" s="294"/>
      <c r="C393" s="302"/>
      <c r="D393" s="294">
        <f>D391+C392</f>
        <v>853548</v>
      </c>
      <c r="E393" s="294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4" t="s">
        <v>456</v>
      </c>
      <c r="B394" s="311" t="s">
        <v>256</v>
      </c>
      <c r="C394" s="189"/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4" t="s">
        <v>457</v>
      </c>
      <c r="B395" s="311" t="s">
        <v>256</v>
      </c>
      <c r="C395" s="189"/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4" t="s">
        <v>458</v>
      </c>
      <c r="B396" s="294"/>
      <c r="C396" s="302"/>
      <c r="D396" s="294">
        <f>D393+C394-C395</f>
        <v>853548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Arbor Health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154</v>
      </c>
      <c r="C414" s="2">
        <f>E138</f>
        <v>154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517</v>
      </c>
      <c r="C415" s="2">
        <f>E139</f>
        <v>517</v>
      </c>
      <c r="D415" s="2">
        <f>SUM(C59:H59)+N59</f>
        <v>517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76</v>
      </c>
      <c r="C417" s="2">
        <f>E144</f>
        <v>76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2467</v>
      </c>
      <c r="C418" s="2">
        <f>E145</f>
        <v>2467</v>
      </c>
      <c r="D418" s="2">
        <f>K59+L59</f>
        <v>2467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17202430</v>
      </c>
      <c r="C427" s="2">
        <f t="shared" ref="C427:C434" si="13">CE61</f>
        <v>17202430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3929506</v>
      </c>
      <c r="C428" s="2">
        <f t="shared" si="13"/>
        <v>3929505</v>
      </c>
      <c r="D428" s="2">
        <f>D173</f>
        <v>3929506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1703174</v>
      </c>
      <c r="C429" s="2">
        <f t="shared" si="13"/>
        <v>1703174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2072897</v>
      </c>
      <c r="C430" s="2">
        <f t="shared" si="13"/>
        <v>2072897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517969</v>
      </c>
      <c r="C431" s="2">
        <f t="shared" si="13"/>
        <v>517969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3077575</v>
      </c>
      <c r="C432" s="2">
        <f t="shared" si="13"/>
        <v>3077575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1720483</v>
      </c>
      <c r="C433" s="2">
        <f t="shared" si="13"/>
        <v>1720481</v>
      </c>
      <c r="D433" s="2">
        <f>C217</f>
        <v>1807523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223327</v>
      </c>
      <c r="C434" s="2">
        <f t="shared" si="13"/>
        <v>223327</v>
      </c>
      <c r="D434" s="2">
        <f>D177</f>
        <v>223327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214205</v>
      </c>
      <c r="C435" s="2"/>
      <c r="D435" s="2">
        <f>D181</f>
        <v>214206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241904</v>
      </c>
      <c r="C436" s="2"/>
      <c r="D436" s="2">
        <f>D186</f>
        <v>241904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441484</v>
      </c>
      <c r="C437" s="2"/>
      <c r="D437" s="2">
        <f>D190</f>
        <v>441484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897593</v>
      </c>
      <c r="C438" s="2">
        <f>CD69</f>
        <v>897594</v>
      </c>
      <c r="D438" s="2">
        <f>D181+D186+D190</f>
        <v>897594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609534</v>
      </c>
      <c r="C439" s="2">
        <f>SUM(C69:CC69)</f>
        <v>609534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1507127</v>
      </c>
      <c r="C440" s="2">
        <f>CE69</f>
        <v>1507128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31954488</v>
      </c>
      <c r="C441" s="2">
        <f>SUM(C427:C437)+C440</f>
        <v>31954486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521296</v>
      </c>
      <c r="C444" s="2">
        <f>C363</f>
        <v>521296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13995287</v>
      </c>
      <c r="C445" s="2">
        <f>C364</f>
        <v>13995288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413112</v>
      </c>
      <c r="C446" s="2">
        <f>C365</f>
        <v>413111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656144</v>
      </c>
      <c r="C447" s="2">
        <f>C366</f>
        <v>656144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15585839</v>
      </c>
      <c r="C448" s="2">
        <f>D367</f>
        <v>15585839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2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413112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5564336</v>
      </c>
      <c r="C458" s="2">
        <f>CE70</f>
        <v>5564336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1788736</v>
      </c>
      <c r="C459" s="2">
        <f>CE72</f>
        <v>1788736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7430722</v>
      </c>
      <c r="C463" s="2">
        <f>CE73</f>
        <v>7430722</v>
      </c>
      <c r="D463" s="2">
        <f>E141+E147+E153</f>
        <v>7430722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33555217</v>
      </c>
      <c r="C464" s="2">
        <f>CE74</f>
        <v>33555217</v>
      </c>
      <c r="D464" s="2">
        <f>E142+E148+E154</f>
        <v>33555217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40985939</v>
      </c>
      <c r="C465" s="2">
        <f>CE75</f>
        <v>40985939</v>
      </c>
      <c r="D465" s="2">
        <f>D463+D464</f>
        <v>40985939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998600</v>
      </c>
      <c r="C468" s="2">
        <f>E195</f>
        <v>998600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1426739</v>
      </c>
      <c r="C469" s="2">
        <f>E196</f>
        <v>1426739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17436121</v>
      </c>
      <c r="C470" s="2">
        <f>E197</f>
        <v>17436121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2677875</v>
      </c>
      <c r="C472" s="2">
        <f>E199</f>
        <v>2677876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8189866</v>
      </c>
      <c r="C473" s="2">
        <f>SUM(E200:E201)</f>
        <v>8189866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492571</v>
      </c>
      <c r="C475" s="2">
        <f>E203</f>
        <v>492570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31221772</v>
      </c>
      <c r="C476" s="2">
        <f>E204</f>
        <v>31221772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22305474</v>
      </c>
      <c r="C478" s="2">
        <f>E217</f>
        <v>22305474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31477709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31477709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173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3">
        <f>'[1]Prior Year'!C71</f>
        <v>0</v>
      </c>
      <c r="C496" s="333">
        <f>C71</f>
        <v>0</v>
      </c>
      <c r="D496" s="333">
        <f>'[1]Prior Year'!C59</f>
        <v>0</v>
      </c>
      <c r="E496" s="2">
        <f>C59</f>
        <v>0</v>
      </c>
      <c r="F496" s="334" t="str">
        <f t="shared" ref="F496:G511" si="15">IF(B496=0,"",IF(D496=0,"",B496/D496))</f>
        <v/>
      </c>
      <c r="G496" s="334" t="str">
        <f t="shared" si="15"/>
        <v/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3">
        <f>'[1]Prior Year'!E71</f>
        <v>2918493</v>
      </c>
      <c r="C498" s="333">
        <f>E71</f>
        <v>3468317</v>
      </c>
      <c r="D498" s="333">
        <f>'[1]Prior Year'!E59</f>
        <v>631</v>
      </c>
      <c r="E498" s="2">
        <f>E59</f>
        <v>517</v>
      </c>
      <c r="F498" s="334">
        <f t="shared" si="15"/>
        <v>4625.187004754358</v>
      </c>
      <c r="G498" s="334">
        <f t="shared" si="15"/>
        <v>6708.5435203094776</v>
      </c>
      <c r="H498" s="335">
        <f t="shared" si="16"/>
        <v>0.45043725008601365</v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0</v>
      </c>
      <c r="E503" s="2">
        <f>J59</f>
        <v>0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3">
        <f>'[1]Prior Year'!K71</f>
        <v>1139484</v>
      </c>
      <c r="C504" s="333">
        <f>K71</f>
        <v>726343</v>
      </c>
      <c r="D504" s="333">
        <f>'[1]Prior Year'!K59</f>
        <v>4089</v>
      </c>
      <c r="E504" s="2">
        <f>K59</f>
        <v>2467</v>
      </c>
      <c r="F504" s="334">
        <f t="shared" si="15"/>
        <v>278.6705796038151</v>
      </c>
      <c r="G504" s="334">
        <f t="shared" si="15"/>
        <v>294.42359140656669</v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3">
        <f>'[1]Prior Year'!L71</f>
        <v>0</v>
      </c>
      <c r="C505" s="333">
        <f>L71</f>
        <v>0</v>
      </c>
      <c r="D505" s="333" t="str">
        <f>'[1]Prior Year'!L59</f>
        <v xml:space="preserve"> 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3">
        <f>'[1]Prior Year'!O71</f>
        <v>0</v>
      </c>
      <c r="C508" s="333">
        <f>O71</f>
        <v>0</v>
      </c>
      <c r="D508" s="333">
        <f>'[1]Prior Year'!O59</f>
        <v>0</v>
      </c>
      <c r="E508" s="2">
        <f>O59</f>
        <v>0</v>
      </c>
      <c r="F508" s="334" t="str">
        <f t="shared" si="15"/>
        <v/>
      </c>
      <c r="G508" s="334" t="str">
        <f t="shared" si="15"/>
        <v/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3">
        <f>'[1]Prior Year'!P71</f>
        <v>433393</v>
      </c>
      <c r="C509" s="333">
        <f>P71</f>
        <v>716280</v>
      </c>
      <c r="D509" s="333">
        <f>'[1]Prior Year'!P59</f>
        <v>12536</v>
      </c>
      <c r="E509" s="2">
        <f>P59</f>
        <v>15676</v>
      </c>
      <c r="F509" s="334">
        <f t="shared" si="15"/>
        <v>34.571873005743456</v>
      </c>
      <c r="G509" s="334">
        <f t="shared" si="15"/>
        <v>45.692778770094414</v>
      </c>
      <c r="H509" s="335">
        <f t="shared" si="16"/>
        <v>0.32167495705261429</v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3">
        <f>'[1]Prior Year'!Q71</f>
        <v>0</v>
      </c>
      <c r="C510" s="333">
        <f>Q71</f>
        <v>0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3">
        <f>'[1]Prior Year'!R71</f>
        <v>554824</v>
      </c>
      <c r="C511" s="333">
        <f>R71</f>
        <v>571292</v>
      </c>
      <c r="D511" s="333">
        <f>'[1]Prior Year'!R59</f>
        <v>21310</v>
      </c>
      <c r="E511" s="2">
        <f>R59</f>
        <v>22263</v>
      </c>
      <c r="F511" s="334">
        <f t="shared" si="15"/>
        <v>26.035851712810889</v>
      </c>
      <c r="G511" s="334">
        <f t="shared" si="15"/>
        <v>25.661051969635718</v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3">
        <f>'[1]Prior Year'!S71</f>
        <v>77985</v>
      </c>
      <c r="C512" s="333">
        <f>S71</f>
        <v>0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3">
        <f>'[1]Prior Year'!U71</f>
        <v>1143158</v>
      </c>
      <c r="C514" s="333">
        <f>U71</f>
        <v>1300660</v>
      </c>
      <c r="D514" s="333">
        <f>'[1]Prior Year'!U59</f>
        <v>44807</v>
      </c>
      <c r="E514" s="2">
        <f>U59</f>
        <v>44529</v>
      </c>
      <c r="F514" s="334">
        <f t="shared" si="17"/>
        <v>25.512933247037292</v>
      </c>
      <c r="G514" s="334">
        <f t="shared" si="17"/>
        <v>29.209279346044152</v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3">
        <f>'[1]Prior Year'!V71</f>
        <v>0</v>
      </c>
      <c r="C515" s="333">
        <f>V71</f>
        <v>0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3">
        <f>'[1]Prior Year'!W71</f>
        <v>141945</v>
      </c>
      <c r="C516" s="333">
        <f>W71</f>
        <v>133706</v>
      </c>
      <c r="D516" s="333">
        <f>'[1]Prior Year'!W59</f>
        <v>277</v>
      </c>
      <c r="E516" s="2">
        <f>W59</f>
        <v>252</v>
      </c>
      <c r="F516" s="334">
        <f t="shared" si="17"/>
        <v>512.43682310469319</v>
      </c>
      <c r="G516" s="334">
        <f t="shared" si="17"/>
        <v>530.57936507936506</v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3">
        <f>'[1]Prior Year'!X71</f>
        <v>140291</v>
      </c>
      <c r="C517" s="333">
        <f>X71</f>
        <v>235148</v>
      </c>
      <c r="D517" s="333">
        <f>'[1]Prior Year'!X59</f>
        <v>1589</v>
      </c>
      <c r="E517" s="2">
        <f>X59</f>
        <v>1730</v>
      </c>
      <c r="F517" s="334">
        <f t="shared" si="17"/>
        <v>88.288860918816866</v>
      </c>
      <c r="G517" s="334">
        <f t="shared" si="17"/>
        <v>135.92369942196532</v>
      </c>
      <c r="H517" s="335">
        <f t="shared" si="16"/>
        <v>0.53953395714267405</v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3">
        <f>'[1]Prior Year'!Y71</f>
        <v>870987</v>
      </c>
      <c r="C518" s="333">
        <f>Y71</f>
        <v>1177004</v>
      </c>
      <c r="D518" s="333">
        <f>'[1]Prior Year'!Y59</f>
        <v>4450</v>
      </c>
      <c r="E518" s="2">
        <f>Y59</f>
        <v>5620</v>
      </c>
      <c r="F518" s="334">
        <f t="shared" si="17"/>
        <v>195.72741573033707</v>
      </c>
      <c r="G518" s="334">
        <f t="shared" si="17"/>
        <v>209.43131672597866</v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3">
        <f>'[1]Prior Year'!AA71</f>
        <v>101186</v>
      </c>
      <c r="C520" s="333">
        <f>AA71</f>
        <v>0</v>
      </c>
      <c r="D520" s="333">
        <f>'[1]Prior Year'!AA59</f>
        <v>63</v>
      </c>
      <c r="E520" s="2">
        <f>AA59</f>
        <v>42</v>
      </c>
      <c r="F520" s="334">
        <f t="shared" si="17"/>
        <v>1606.1269841269841</v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3">
        <f>'[1]Prior Year'!AB71</f>
        <v>1165042</v>
      </c>
      <c r="C521" s="333">
        <f>AB71</f>
        <v>1044008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3">
        <f>'[1]Prior Year'!AC71</f>
        <v>522284</v>
      </c>
      <c r="C522" s="333">
        <f>AC71</f>
        <v>457919</v>
      </c>
      <c r="D522" s="333">
        <f>'[1]Prior Year'!AC59</f>
        <v>9815</v>
      </c>
      <c r="E522" s="2">
        <f>AC59</f>
        <v>6699</v>
      </c>
      <c r="F522" s="334">
        <f t="shared" si="17"/>
        <v>53.212837493632193</v>
      </c>
      <c r="G522" s="334">
        <f t="shared" si="17"/>
        <v>68.356321839080465</v>
      </c>
      <c r="H522" s="335">
        <f t="shared" si="16"/>
        <v>0.28458328964811241</v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3">
        <f>'[1]Prior Year'!AE71</f>
        <v>1329063</v>
      </c>
      <c r="C524" s="333">
        <f>AE71</f>
        <v>1218199</v>
      </c>
      <c r="D524" s="333">
        <f>'[1]Prior Year'!AE59</f>
        <v>21340</v>
      </c>
      <c r="E524" s="2">
        <f>AE59</f>
        <v>18174</v>
      </c>
      <c r="F524" s="334">
        <f t="shared" si="17"/>
        <v>62.280365510777884</v>
      </c>
      <c r="G524" s="334">
        <f t="shared" si="17"/>
        <v>67.029767800154062</v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3">
        <f>'[1]Prior Year'!AG71</f>
        <v>2603565</v>
      </c>
      <c r="C526" s="333">
        <f>AG71</f>
        <v>2786654</v>
      </c>
      <c r="D526" s="333">
        <f>'[1]Prior Year'!AG59</f>
        <v>4721</v>
      </c>
      <c r="E526" s="2">
        <f>AG59</f>
        <v>4159</v>
      </c>
      <c r="F526" s="334">
        <f t="shared" si="17"/>
        <v>551.48591400127088</v>
      </c>
      <c r="G526" s="334">
        <f t="shared" si="17"/>
        <v>670.02981485934117</v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3">
        <f>'[1]Prior Year'!AH71</f>
        <v>42206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3">
        <f>'[1]Prior Year'!AI71</f>
        <v>33968</v>
      </c>
      <c r="C528" s="333">
        <f>AI71</f>
        <v>382927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3">
        <f>'[1]Prior Year'!AJ71</f>
        <v>3701437</v>
      </c>
      <c r="C529" s="333">
        <f>AJ71</f>
        <v>4862698</v>
      </c>
      <c r="D529" s="333">
        <f>'[1]Prior Year'!AJ59+12963</f>
        <v>25594</v>
      </c>
      <c r="E529" s="2">
        <f>AJ59</f>
        <v>17479</v>
      </c>
      <c r="F529" s="334">
        <f t="shared" si="18"/>
        <v>144.62127842463076</v>
      </c>
      <c r="G529" s="334">
        <f t="shared" si="18"/>
        <v>278.20229990274044</v>
      </c>
      <c r="H529" s="335">
        <f t="shared" si="16"/>
        <v>0.92366090891476449</v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Year'!AP59-12963</f>
        <v>-12963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3">
        <f>'[1]Prior Year'!AV71</f>
        <v>545491</v>
      </c>
      <c r="C541" s="333">
        <f>AV71</f>
        <v>72666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3">
        <f>'[1]Prior Year'!AY71</f>
        <v>862879</v>
      </c>
      <c r="C544" s="333">
        <f>AY71</f>
        <v>836244</v>
      </c>
      <c r="D544" s="333">
        <f>'[1]Prior Year'!AY59</f>
        <v>58125</v>
      </c>
      <c r="E544" s="2">
        <f>AY59</f>
        <v>33412</v>
      </c>
      <c r="F544" s="334">
        <f t="shared" ref="F544:G550" si="19">IF(B544=0,"",IF(D544=0,"",B544/D544))</f>
        <v>14.845230107526882</v>
      </c>
      <c r="G544" s="334">
        <f t="shared" si="19"/>
        <v>25.028253322159703</v>
      </c>
      <c r="H544" s="335">
        <f t="shared" si="16"/>
        <v>0.68594579813685663</v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3">
        <f>'[1]Prior Year'!AZ71</f>
        <v>0</v>
      </c>
      <c r="C545" s="333">
        <f>AZ71</f>
        <v>0</v>
      </c>
      <c r="D545" s="333" t="str">
        <f>'[1]Prior Year'!AZ59</f>
        <v xml:space="preserve"> 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3">
        <f>'[1]Prior Year'!BA71</f>
        <v>156654</v>
      </c>
      <c r="C546" s="333">
        <f>BA71</f>
        <v>160724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3">
        <f>'[1]Prior Year'!BB71</f>
        <v>89585</v>
      </c>
      <c r="C547" s="333">
        <f>BB71</f>
        <v>0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3">
        <f>'[1]Prior Year'!BC71</f>
        <v>41499</v>
      </c>
      <c r="C548" s="333">
        <f>BC71</f>
        <v>41326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3">
        <f>'[1]Prior Year'!BD71</f>
        <v>145066</v>
      </c>
      <c r="C549" s="333">
        <f>BD71</f>
        <v>148288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3">
        <f>'[1]Prior Year'!BE71</f>
        <v>1380906</v>
      </c>
      <c r="C550" s="333">
        <f>BE71</f>
        <v>1562415</v>
      </c>
      <c r="D550" s="333">
        <f>'[1]Prior Year'!BE59</f>
        <v>78440</v>
      </c>
      <c r="E550" s="2">
        <f>BE59</f>
        <v>78440</v>
      </c>
      <c r="F550" s="334">
        <f t="shared" si="19"/>
        <v>17.604614992350843</v>
      </c>
      <c r="G550" s="334">
        <f t="shared" si="19"/>
        <v>19.918600203977562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3">
        <f>'[1]Prior Year'!BF71</f>
        <v>469801</v>
      </c>
      <c r="C551" s="333">
        <f>BF71</f>
        <v>463157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3">
        <f>'[1]Prior Year'!BG71</f>
        <v>269881</v>
      </c>
      <c r="C552" s="333">
        <f>BG71</f>
        <v>324339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3">
        <f>'[1]Prior Year'!BH71</f>
        <v>1727004</v>
      </c>
      <c r="C553" s="333">
        <f>BH71</f>
        <v>1900541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3">
        <f>'[1]Prior Year'!BI71</f>
        <v>500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3">
        <f>'[1]Prior Year'!BJ71</f>
        <v>463242</v>
      </c>
      <c r="C555" s="333">
        <f>BJ71</f>
        <v>393701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3">
        <f>'[1]Prior Year'!BK71</f>
        <v>888132</v>
      </c>
      <c r="C556" s="333">
        <f>BK71</f>
        <v>1001652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3">
        <f>'[1]Prior Year'!BL71</f>
        <v>477861</v>
      </c>
      <c r="C557" s="333">
        <f>BL71</f>
        <v>471638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3">
        <f>'[1]Prior Year'!BN71</f>
        <v>1540657</v>
      </c>
      <c r="C559" s="333">
        <f>BN71</f>
        <v>922651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3">
        <f>'[1]Prior Year'!BO71</f>
        <v>217785</v>
      </c>
      <c r="C560" s="333">
        <f>BO71</f>
        <v>113254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3">
        <f>'[1]Prior Year'!BP71</f>
        <v>0</v>
      </c>
      <c r="C561" s="333">
        <f>BP71</f>
        <v>0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3">
        <f>'[1]Prior Year'!BR71</f>
        <v>556826</v>
      </c>
      <c r="C563" s="333">
        <f>BR71</f>
        <v>426795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3">
        <f>'[1]Prior Year'!BS71</f>
        <v>0</v>
      </c>
      <c r="C564" s="333">
        <f>BS71</f>
        <v>0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3">
        <f>'[1]Prior Year'!BT71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3">
        <f>'[1]Prior Year'!BV71</f>
        <v>233029</v>
      </c>
      <c r="C567" s="333">
        <f>BV71</f>
        <v>221738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3">
        <f>'[1]Prior Year'!BW71</f>
        <v>0</v>
      </c>
      <c r="C568" s="333">
        <f>BW71</f>
        <v>0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3">
        <f>'[1]Prior Year'!BX71</f>
        <v>139056</v>
      </c>
      <c r="C569" s="333">
        <f>BX71</f>
        <v>157588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3">
        <f>'[1]Prior Year'!BY71</f>
        <v>538382</v>
      </c>
      <c r="C570" s="333">
        <f>BY71</f>
        <v>881639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3">
        <f>'[1]Prior Year'!CA71</f>
        <v>0</v>
      </c>
      <c r="C572" s="333">
        <f>CA71</f>
        <v>0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3">
        <f>'[1]Prior Year'!CC71</f>
        <v>612541</v>
      </c>
      <c r="C574" s="333">
        <f>CC71</f>
        <v>1875381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3">
        <f>'[1]Prior Year'!CD71</f>
        <v>-283235</v>
      </c>
      <c r="C575" s="333">
        <f>CD71</f>
        <v>-4666742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6"/>
      <c r="B612" s="2"/>
      <c r="C612" s="327" t="s">
        <v>589</v>
      </c>
      <c r="D612" s="2">
        <f>CE76-(BE76+CD76)</f>
        <v>54206</v>
      </c>
      <c r="E612" s="2">
        <f>SUM(C624:D647)+SUM(C668:D713)</f>
        <v>23029678.052743241</v>
      </c>
      <c r="F612" s="2">
        <f>CE64-(AX64+BD64+BE64+BG64+BJ64+BN64+BP64+BQ64+CB64+CC64+CD64)</f>
        <v>1684511</v>
      </c>
      <c r="G612" s="2">
        <f>CE77-(AX77+AY77+BD77+BE77+BG77+BJ77+BN77+BP77+BQ77+CB77+CC77+CD77)</f>
        <v>33412</v>
      </c>
      <c r="H612" s="326">
        <f>CE60-(AX60+AY60+AZ60+BD60+BE60+BG60+BJ60+BN60+BO60+BP60+BQ60+BR60+CB60+CC60+CD60)</f>
        <v>147.77000000000001</v>
      </c>
      <c r="I612" s="2">
        <f>CE78-(AX78+AY78+AZ78+BD78+BE78+BF78+BG78+BJ78+BN78+BO78+BP78+BQ78+BR78+CB78+CC78+CD78)</f>
        <v>40300</v>
      </c>
      <c r="J612" s="2">
        <f>CE79-(AX79+AY79+AZ79+BA79+BD79+BE79+BF79+BG79+BJ79+BN79+BO79+BP79+BQ79+BR79+CB79+CC79+CD79)</f>
        <v>148000</v>
      </c>
      <c r="K612" s="2">
        <f>CE75-(AW75+AX75+AY75+AZ75+BA75+BB75+BC75+BD75+BE75+BF75+BG75+BH75+BI75+BJ75+BK75+BL75+BM75+BN75+BO75+BP75+BQ75+BR75+BS75+BT75+BU75+BV75+BW75+BX75+CB75+CC75+CD75)</f>
        <v>40985939</v>
      </c>
      <c r="L612" s="326">
        <f>CE80-(AW80+AX80+AY80+AZ80+BA80+BB80+BC80+BD80+BE80+BF80+BG80+BH80+BI80+BJ80+BK80+BL80+BM80+BN80+BO80+BP80+BQ80+BR80+BS80+BT80+BU80+BV80+BW80+BX80+BY80+BZ80+CA80+CB80+CC80+CD80)</f>
        <v>42.78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6">
        <v>8430</v>
      </c>
      <c r="B614" s="330" t="s">
        <v>140</v>
      </c>
      <c r="C614" s="2">
        <f>BE71</f>
        <v>1562415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6"/>
      <c r="B615" s="330" t="s">
        <v>601</v>
      </c>
      <c r="C615" s="337">
        <f>CD69-CD70</f>
        <v>-4666742</v>
      </c>
      <c r="D615" s="338">
        <f>SUM(C614:C615)</f>
        <v>-3104327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6">
        <v>8510</v>
      </c>
      <c r="B617" s="339" t="s">
        <v>145</v>
      </c>
      <c r="C617" s="2">
        <f>BJ71</f>
        <v>393701</v>
      </c>
      <c r="D617" s="2">
        <f>(D615/D612)*BJ76</f>
        <v>-78458.620632402322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6">
        <v>8470</v>
      </c>
      <c r="B618" s="339" t="s">
        <v>606</v>
      </c>
      <c r="C618" s="2">
        <f>BG71</f>
        <v>324339</v>
      </c>
      <c r="D618" s="2">
        <f>(D615/D612)*BG76</f>
        <v>-26114.694166697413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6">
        <v>8610</v>
      </c>
      <c r="B619" s="339" t="s">
        <v>608</v>
      </c>
      <c r="C619" s="2">
        <f>BN71</f>
        <v>922651</v>
      </c>
      <c r="D619" s="2">
        <f>(D615/D612)*BN76</f>
        <v>-51026.737944139029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6">
        <v>8790</v>
      </c>
      <c r="B620" s="339" t="s">
        <v>610</v>
      </c>
      <c r="C620" s="2">
        <f>CC71</f>
        <v>1875381</v>
      </c>
      <c r="D620" s="2">
        <f>(D615/D612)*CC76</f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6">
        <v>8630</v>
      </c>
      <c r="B621" s="339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3360471.9472567616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6">
        <v>8420</v>
      </c>
      <c r="B624" s="339" t="s">
        <v>139</v>
      </c>
      <c r="C624" s="2">
        <f>BD71</f>
        <v>148288</v>
      </c>
      <c r="D624" s="2">
        <f>(D615/D612)*BD76</f>
        <v>-43180.875880898791</v>
      </c>
      <c r="E624" s="2">
        <f>(E623/E612)*SUM(C624:D624)</f>
        <v>15337.146322677347</v>
      </c>
      <c r="F624" s="2">
        <f>SUM(C624:E624)</f>
        <v>120444.27044177856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6">
        <v>8320</v>
      </c>
      <c r="B625" s="339" t="s">
        <v>135</v>
      </c>
      <c r="C625" s="2">
        <f>AY71</f>
        <v>836244</v>
      </c>
      <c r="D625" s="2">
        <f>(D615/D612)*AY76</f>
        <v>-161269.69029258753</v>
      </c>
      <c r="E625" s="2">
        <f>(E623/E612)*SUM(C625:D625)</f>
        <v>98491.703952438475</v>
      </c>
      <c r="F625" s="2">
        <f>(F624/F612)*AY64</f>
        <v>7881.1294584449724</v>
      </c>
      <c r="G625" s="2">
        <f>SUM(C625:F625)</f>
        <v>781347.14311829593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6">
        <v>8650</v>
      </c>
      <c r="B626" s="339" t="s">
        <v>152</v>
      </c>
      <c r="C626" s="2">
        <f>BR71</f>
        <v>426795</v>
      </c>
      <c r="D626" s="2">
        <f>(D615/D612)*BR76</f>
        <v>-32185.215179131461</v>
      </c>
      <c r="E626" s="2">
        <f>(E623/E612)*SUM(C626:D626)</f>
        <v>57581.13982169181</v>
      </c>
      <c r="F626" s="2">
        <f>(F624/F612)*BR64</f>
        <v>264.98281474993712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6">
        <v>8620</v>
      </c>
      <c r="B627" s="330" t="s">
        <v>621</v>
      </c>
      <c r="C627" s="2">
        <f>BO71</f>
        <v>113254</v>
      </c>
      <c r="D627" s="2">
        <f>(D615/D612)*BO76</f>
        <v>0</v>
      </c>
      <c r="E627" s="2">
        <f>(E623/E612)*SUM(C627:D627)</f>
        <v>16525.931845116815</v>
      </c>
      <c r="F627" s="2">
        <f>(F624/F612)*BO64</f>
        <v>672.8961871591091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570155.17467877327</v>
      </c>
      <c r="H628" s="2">
        <f>SUM(C626:G628)</f>
        <v>1153063.9101683595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6">
        <v>8460</v>
      </c>
      <c r="B629" s="339" t="s">
        <v>141</v>
      </c>
      <c r="C629" s="2">
        <f>BF71</f>
        <v>463157</v>
      </c>
      <c r="D629" s="2">
        <f>(D615/D612)*BF76</f>
        <v>-22850.357395860239</v>
      </c>
      <c r="E629" s="2">
        <f>(E623/E612)*SUM(C629:D629)</f>
        <v>64249.188254968663</v>
      </c>
      <c r="F629" s="2">
        <f>(F624/F612)*BF64</f>
        <v>4404.1059024615161</v>
      </c>
      <c r="G629" s="2">
        <f>(G625/G612)*BF77</f>
        <v>0</v>
      </c>
      <c r="H629" s="2">
        <f>(H628/H612)*BF60</f>
        <v>70618.044170153982</v>
      </c>
      <c r="I629" s="2">
        <f>SUM(C629:H629)</f>
        <v>579577.98093172396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6">
        <v>8350</v>
      </c>
      <c r="B630" s="339" t="s">
        <v>625</v>
      </c>
      <c r="C630" s="2">
        <f>BA71</f>
        <v>160724</v>
      </c>
      <c r="D630" s="2">
        <f>(D615/D612)*BA76</f>
        <v>-38771.157786960852</v>
      </c>
      <c r="E630" s="2">
        <f>(E623/E612)*SUM(C630:D630)</f>
        <v>17795.259847166279</v>
      </c>
      <c r="F630" s="2">
        <f>(F624/F612)*BA64</f>
        <v>1818.7001824013494</v>
      </c>
      <c r="G630" s="2">
        <f>(G625/G612)*BA77</f>
        <v>0</v>
      </c>
      <c r="H630" s="2">
        <f>(H628/H612)*BA60</f>
        <v>19819.870960463104</v>
      </c>
      <c r="I630" s="2">
        <f>(I629/I612)*BA78</f>
        <v>0</v>
      </c>
      <c r="J630" s="2">
        <f>SUM(C630:I630)</f>
        <v>161386.67320306986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6">
        <v>8360</v>
      </c>
      <c r="B632" s="339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6">
        <v>8370</v>
      </c>
      <c r="B633" s="339" t="s">
        <v>631</v>
      </c>
      <c r="C633" s="2">
        <f>BC71</f>
        <v>41326</v>
      </c>
      <c r="D633" s="2">
        <f>(D615/D612)*BC76</f>
        <v>0</v>
      </c>
      <c r="E633" s="2">
        <f>(E623/E612)*SUM(C633:D633)</f>
        <v>6030.2564097629884</v>
      </c>
      <c r="F633" s="2">
        <f>(F624/F612)*BC64</f>
        <v>12.584181164594963</v>
      </c>
      <c r="G633" s="2">
        <f>(G625/G612)*BC77</f>
        <v>0</v>
      </c>
      <c r="H633" s="2">
        <f>(H628/H612)*BC60</f>
        <v>7803.0988033319309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55176.795027536042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6">
        <v>8530</v>
      </c>
      <c r="B635" s="339" t="s">
        <v>635</v>
      </c>
      <c r="C635" s="2">
        <f>BK71</f>
        <v>1001652</v>
      </c>
      <c r="D635" s="2">
        <f>(D615/D612)*BK76</f>
        <v>-78458.620632402322</v>
      </c>
      <c r="E635" s="2">
        <f>(E623/E612)*SUM(C635:D635)</f>
        <v>134711.62932251391</v>
      </c>
      <c r="F635" s="2">
        <f>(F624/F612)*BK64</f>
        <v>232.52134742762965</v>
      </c>
      <c r="G635" s="2">
        <f>(G625/G612)*BK77</f>
        <v>0</v>
      </c>
      <c r="H635" s="2">
        <f>(H628/H612)*BK60</f>
        <v>86146.210788784505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6">
        <v>8480</v>
      </c>
      <c r="B636" s="339" t="s">
        <v>637</v>
      </c>
      <c r="C636" s="2">
        <f>BH71</f>
        <v>1900541</v>
      </c>
      <c r="D636" s="2">
        <f>(D615/D612)*BH76</f>
        <v>-4581.5252924030556</v>
      </c>
      <c r="E636" s="2">
        <f>(E623/E612)*SUM(C636:D636)</f>
        <v>276656.86916242447</v>
      </c>
      <c r="F636" s="2">
        <f>(F624/F612)*BH64</f>
        <v>6888.9811752636106</v>
      </c>
      <c r="G636" s="2">
        <f>(G625/G612)*BH77</f>
        <v>0</v>
      </c>
      <c r="H636" s="2">
        <f>(H628/H612)*BH60</f>
        <v>26764.628895428523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6">
        <v>8560</v>
      </c>
      <c r="B637" s="339" t="s">
        <v>147</v>
      </c>
      <c r="C637" s="2">
        <f>BL71</f>
        <v>471638</v>
      </c>
      <c r="D637" s="2">
        <f>(D615/D612)*BL76</f>
        <v>-35277.744751503524</v>
      </c>
      <c r="E637" s="2">
        <f>(E623/E612)*SUM(C637:D637)</f>
        <v>63673.334612061641</v>
      </c>
      <c r="F637" s="2">
        <f>(F624/F612)*BL64</f>
        <v>523.60203788823242</v>
      </c>
      <c r="G637" s="2">
        <f>(G625/G612)*BL77</f>
        <v>0</v>
      </c>
      <c r="H637" s="2">
        <f>(H628/H612)*BL60</f>
        <v>73193.066775253523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6">
        <v>8660</v>
      </c>
      <c r="B639" s="339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6">
        <v>8690</v>
      </c>
      <c r="B642" s="339" t="s">
        <v>648</v>
      </c>
      <c r="C642" s="2">
        <f>BV71</f>
        <v>221738</v>
      </c>
      <c r="D642" s="2">
        <f>(D615/D612)*BV76</f>
        <v>-64943.121019813305</v>
      </c>
      <c r="E642" s="2">
        <f>(E623/E612)*SUM(C642:D642)</f>
        <v>22879.381599677756</v>
      </c>
      <c r="F642" s="2">
        <f>(F624/F612)*BV64</f>
        <v>199.70237495860076</v>
      </c>
      <c r="G642" s="2">
        <f>(G625/G612)*BV77</f>
        <v>0</v>
      </c>
      <c r="H642" s="2">
        <f>(H628/H612)*BV60</f>
        <v>25594.164074928733</v>
      </c>
      <c r="I642" s="2">
        <f>(I629/I612)*BV78</f>
        <v>14381.58761617181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6">
        <v>8700</v>
      </c>
      <c r="B643" s="339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6">
        <v>8710</v>
      </c>
      <c r="B644" s="339" t="s">
        <v>652</v>
      </c>
      <c r="C644" s="2">
        <f>BX71</f>
        <v>157588</v>
      </c>
      <c r="D644" s="2">
        <f>(D615/D612)*BX76</f>
        <v>0</v>
      </c>
      <c r="E644" s="2">
        <f>(E623/E612)*SUM(C644:D644)</f>
        <v>22995.113175766583</v>
      </c>
      <c r="F644" s="2">
        <f>(F624/F612)*BX64</f>
        <v>23.595339683615556</v>
      </c>
      <c r="G644" s="2">
        <f>(G625/G612)*BX77</f>
        <v>0</v>
      </c>
      <c r="H644" s="2">
        <f>(H628/H612)*BX60</f>
        <v>7803.0988033319309</v>
      </c>
      <c r="I644" s="2">
        <f>(I629/I612)*BX78</f>
        <v>0</v>
      </c>
      <c r="J644" s="2">
        <f>(J630/J612)*BX79</f>
        <v>0</v>
      </c>
      <c r="K644" s="2">
        <f>SUM(C631:J644)</f>
        <v>4442912.2098272378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6">
        <v>8720</v>
      </c>
      <c r="B645" s="339" t="s">
        <v>654</v>
      </c>
      <c r="C645" s="2">
        <f>BY71</f>
        <v>881639</v>
      </c>
      <c r="D645" s="2">
        <f>(D615/D612)*BY76</f>
        <v>-40489.229771612001</v>
      </c>
      <c r="E645" s="2">
        <f>(E623/E612)*SUM(C645:D645)</f>
        <v>122739.89240406528</v>
      </c>
      <c r="F645" s="2">
        <f>(F624/F612)*BY64</f>
        <v>707.14518021502374</v>
      </c>
      <c r="G645" s="2">
        <f>(G625/G612)*BY77</f>
        <v>0</v>
      </c>
      <c r="H645" s="2">
        <f>(H628/H612)*BY60</f>
        <v>42682.950454225662</v>
      </c>
      <c r="I645" s="2">
        <f>(I629/I612)*BY78</f>
        <v>11505.270092937448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6">
        <v>8740</v>
      </c>
      <c r="B647" s="339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1018785.0283598313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6"/>
      <c r="B648" s="336"/>
      <c r="C648" s="2">
        <f>SUM(C614:C647)</f>
        <v>7236329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6">
        <v>6010</v>
      </c>
      <c r="B668" s="330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6">
        <v>6070</v>
      </c>
      <c r="B670" s="330" t="s">
        <v>665</v>
      </c>
      <c r="C670" s="2">
        <f>E71</f>
        <v>3468317</v>
      </c>
      <c r="D670" s="2">
        <f>(D615/D612)*E76</f>
        <v>-1049913.7898203151</v>
      </c>
      <c r="E670" s="2">
        <f>(E623/E612)*SUM(C670:D670)</f>
        <v>352891.43540573562</v>
      </c>
      <c r="F670" s="2">
        <f>(F624/F612)*E64</f>
        <v>5904.1974981047106</v>
      </c>
      <c r="G670" s="2">
        <f>(G625/G612)*E77</f>
        <v>126069.74884923779</v>
      </c>
      <c r="H670" s="2">
        <f>(H628/H612)*E60</f>
        <v>141236.08834030796</v>
      </c>
      <c r="I670" s="2">
        <f>(I629/I612)*E78</f>
        <v>129434.2885455463</v>
      </c>
      <c r="J670" s="2">
        <f>(J630/J612)*E79</f>
        <v>31514.019294383234</v>
      </c>
      <c r="K670" s="2">
        <f>(K644/K612)*E75</f>
        <v>386285.04909814132</v>
      </c>
      <c r="L670" s="2">
        <f>(L647/L612)*E80</f>
        <v>431042.75393438403</v>
      </c>
      <c r="M670" s="2">
        <f t="shared" si="20"/>
        <v>554464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6">
        <v>6200</v>
      </c>
      <c r="B676" s="330" t="s">
        <v>288</v>
      </c>
      <c r="C676" s="2">
        <f>K71</f>
        <v>726343</v>
      </c>
      <c r="D676" s="2">
        <f>(D615/D612)*K76</f>
        <v>0</v>
      </c>
      <c r="E676" s="2">
        <f>(E623/E612)*SUM(C676:D676)</f>
        <v>105987.38158632527</v>
      </c>
      <c r="F676" s="2">
        <f>(F624/F612)*K64</f>
        <v>1559.3659489696111</v>
      </c>
      <c r="G676" s="2">
        <f>(G625/G612)*K77</f>
        <v>85122.219590284847</v>
      </c>
      <c r="H676" s="2">
        <f>(H628/H612)*K60</f>
        <v>85834.086836651244</v>
      </c>
      <c r="I676" s="2">
        <f>(I629/I612)*K78</f>
        <v>129434.2885455463</v>
      </c>
      <c r="J676" s="2">
        <f>(J630/J612)*K79</f>
        <v>19082.883655768394</v>
      </c>
      <c r="K676" s="2">
        <f>(K644/K612)*K75</f>
        <v>189178.08724929811</v>
      </c>
      <c r="L676" s="2">
        <f>(L647/L612)*K80</f>
        <v>261959.68471150409</v>
      </c>
      <c r="M676" s="2">
        <f t="shared" si="20"/>
        <v>878158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6">
        <v>7010</v>
      </c>
      <c r="B680" s="330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6">
        <v>7020</v>
      </c>
      <c r="B681" s="330" t="s">
        <v>684</v>
      </c>
      <c r="C681" s="2">
        <f>P71</f>
        <v>716280</v>
      </c>
      <c r="D681" s="2">
        <f>(D615/D612)*P76</f>
        <v>-74220.709736929493</v>
      </c>
      <c r="E681" s="2">
        <f>(E623/E612)*SUM(C681:D681)</f>
        <v>93688.771005099828</v>
      </c>
      <c r="F681" s="2">
        <f>(F624/F612)*P64</f>
        <v>7948.1974239699166</v>
      </c>
      <c r="G681" s="2">
        <f>(G625/G612)*P77</f>
        <v>0</v>
      </c>
      <c r="H681" s="2">
        <f>(H628/H612)*P60</f>
        <v>23799.451350162388</v>
      </c>
      <c r="I681" s="2">
        <f>(I629/I612)*P78</f>
        <v>14381.58761617181</v>
      </c>
      <c r="J681" s="2">
        <f>(J630/J612)*P79</f>
        <v>8723.6039569226941</v>
      </c>
      <c r="K681" s="2">
        <f>(K644/K612)*P75</f>
        <v>192974.61157254907</v>
      </c>
      <c r="L681" s="2">
        <f>(L647/L612)*P80</f>
        <v>0</v>
      </c>
      <c r="M681" s="2">
        <f t="shared" si="20"/>
        <v>267296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6">
        <v>7030</v>
      </c>
      <c r="B682" s="330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6">
        <v>7040</v>
      </c>
      <c r="B683" s="330" t="s">
        <v>107</v>
      </c>
      <c r="C683" s="2">
        <f>R71</f>
        <v>571292</v>
      </c>
      <c r="D683" s="2">
        <f>(D615/D612)*R76</f>
        <v>0</v>
      </c>
      <c r="E683" s="2">
        <f>(E623/E612)*SUM(C683:D683)</f>
        <v>83362.465393367776</v>
      </c>
      <c r="F683" s="2">
        <f>(F624/F612)*R64</f>
        <v>492.4275890941222</v>
      </c>
      <c r="G683" s="2">
        <f>(G625/G612)*R77</f>
        <v>0</v>
      </c>
      <c r="H683" s="2">
        <f>(H628/H612)*R60</f>
        <v>7803.0988033319309</v>
      </c>
      <c r="I683" s="2">
        <f>(I629/I612)*R78</f>
        <v>0</v>
      </c>
      <c r="J683" s="2">
        <f>(J630/J612)*R79</f>
        <v>0</v>
      </c>
      <c r="K683" s="2">
        <f>(K644/K612)*R75</f>
        <v>95705.301775540662</v>
      </c>
      <c r="L683" s="2">
        <f>(L647/L612)*R80</f>
        <v>0</v>
      </c>
      <c r="M683" s="2">
        <f t="shared" si="20"/>
        <v>187363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6">
        <v>7050</v>
      </c>
      <c r="B684" s="330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33913.868420038161</v>
      </c>
      <c r="L684" s="2">
        <f>(L647/L612)*S80</f>
        <v>0</v>
      </c>
      <c r="M684" s="2">
        <f t="shared" si="20"/>
        <v>33914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6">
        <v>7070</v>
      </c>
      <c r="B686" s="330" t="s">
        <v>109</v>
      </c>
      <c r="C686" s="2">
        <f>U71</f>
        <v>1300660</v>
      </c>
      <c r="D686" s="2">
        <f>(D615/D612)*U76</f>
        <v>-60304.326661255211</v>
      </c>
      <c r="E686" s="2">
        <f>(E623/E612)*SUM(C686:D686)</f>
        <v>180991.69407967993</v>
      </c>
      <c r="F686" s="2">
        <f>(F624/F612)*U64</f>
        <v>16861.730245117087</v>
      </c>
      <c r="G686" s="2">
        <f>(G625/G612)*U77</f>
        <v>0</v>
      </c>
      <c r="H686" s="2">
        <f>(H628/H612)*U60</f>
        <v>26452.504943295247</v>
      </c>
      <c r="I686" s="2">
        <f>(I629/I612)*U78</f>
        <v>14381.58761617181</v>
      </c>
      <c r="J686" s="2">
        <f>(J630/J612)*U79</f>
        <v>0</v>
      </c>
      <c r="K686" s="2">
        <f>(K644/K612)*U75</f>
        <v>538801.63060274487</v>
      </c>
      <c r="L686" s="2">
        <f>(L647/L612)*U80</f>
        <v>0</v>
      </c>
      <c r="M686" s="2">
        <f t="shared" si="20"/>
        <v>717185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6">
        <v>7110</v>
      </c>
      <c r="B687" s="330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6">
        <v>7120</v>
      </c>
      <c r="B688" s="330" t="s">
        <v>696</v>
      </c>
      <c r="C688" s="2">
        <f>W71</f>
        <v>133706</v>
      </c>
      <c r="D688" s="2">
        <f>(D615/D612)*W76</f>
        <v>0</v>
      </c>
      <c r="E688" s="2">
        <f>(E623/E612)*SUM(C688:D688)</f>
        <v>19510.271101093018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56106.890754603686</v>
      </c>
      <c r="L688" s="2">
        <f>(L647/L612)*W80</f>
        <v>0</v>
      </c>
      <c r="M688" s="2">
        <f t="shared" si="20"/>
        <v>75617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6">
        <v>7130</v>
      </c>
      <c r="B689" s="330" t="s">
        <v>698</v>
      </c>
      <c r="C689" s="2">
        <f>X71</f>
        <v>235148</v>
      </c>
      <c r="D689" s="2">
        <f>(D615/D612)*X76</f>
        <v>0</v>
      </c>
      <c r="E689" s="2">
        <f>(E623/E612)*SUM(C689:D689)</f>
        <v>34312.60548427012</v>
      </c>
      <c r="F689" s="2">
        <f>(F624/F612)*X64</f>
        <v>2224.0395177541268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401664.75037827715</v>
      </c>
      <c r="L689" s="2">
        <f>(L647/L612)*X80</f>
        <v>0</v>
      </c>
      <c r="M689" s="2">
        <f t="shared" si="20"/>
        <v>438201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6">
        <v>7140</v>
      </c>
      <c r="B690" s="330" t="s">
        <v>1249</v>
      </c>
      <c r="C690" s="2">
        <f>Y71</f>
        <v>1177004</v>
      </c>
      <c r="D690" s="2">
        <f>(D615/D612)*Y76</f>
        <v>-140481.01927830867</v>
      </c>
      <c r="E690" s="2">
        <f>(E623/E612)*SUM(C690:D690)</f>
        <v>151248.5928559168</v>
      </c>
      <c r="F690" s="2">
        <f>(F624/F612)*Y64</f>
        <v>2168.5547189829581</v>
      </c>
      <c r="G690" s="2">
        <f>(G625/G612)*Y77</f>
        <v>0</v>
      </c>
      <c r="H690" s="2">
        <f>(H628/H612)*Y60</f>
        <v>53607.288778890368</v>
      </c>
      <c r="I690" s="2">
        <f>(I629/I612)*Y78</f>
        <v>43144.762848515427</v>
      </c>
      <c r="J690" s="2">
        <f>(J630/J612)*Y79</f>
        <v>7633.1534623073576</v>
      </c>
      <c r="K690" s="2">
        <f>(K644/K612)*Y75</f>
        <v>297101.57838744577</v>
      </c>
      <c r="L690" s="2">
        <f>(L647/L612)*Y80</f>
        <v>0</v>
      </c>
      <c r="M690" s="2">
        <f t="shared" si="20"/>
        <v>414423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6">
        <v>7160</v>
      </c>
      <c r="B692" s="330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19774.056504301279</v>
      </c>
      <c r="L692" s="2">
        <f>(L647/L612)*AA80</f>
        <v>0</v>
      </c>
      <c r="M692" s="2">
        <f t="shared" si="20"/>
        <v>19774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6">
        <v>7170</v>
      </c>
      <c r="B693" s="330" t="s">
        <v>115</v>
      </c>
      <c r="C693" s="2">
        <f>AB71</f>
        <v>1044008</v>
      </c>
      <c r="D693" s="2">
        <f>(D615/D612)*AB76</f>
        <v>-28519.994945209019</v>
      </c>
      <c r="E693" s="2">
        <f>(E623/E612)*SUM(C693:D693)</f>
        <v>148179.1862633471</v>
      </c>
      <c r="F693" s="2">
        <f>(F624/F612)*AB64</f>
        <v>34195.009778759762</v>
      </c>
      <c r="G693" s="2">
        <f>(G625/G612)*AB77</f>
        <v>0</v>
      </c>
      <c r="H693" s="2">
        <f>(H628/H612)*AB60</f>
        <v>13577.39191779756</v>
      </c>
      <c r="I693" s="2">
        <f>(I629/I612)*AB78</f>
        <v>7190.7938080859049</v>
      </c>
      <c r="J693" s="2">
        <f>(J630/J612)*AB79</f>
        <v>0</v>
      </c>
      <c r="K693" s="2">
        <f>(K644/K612)*AB75</f>
        <v>448013.17633467121</v>
      </c>
      <c r="L693" s="2">
        <f>(L647/L612)*AB80</f>
        <v>0</v>
      </c>
      <c r="M693" s="2">
        <f t="shared" si="20"/>
        <v>622636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6">
        <v>7180</v>
      </c>
      <c r="B694" s="330" t="s">
        <v>706</v>
      </c>
      <c r="C694" s="2">
        <f>AC71</f>
        <v>457919</v>
      </c>
      <c r="D694" s="2">
        <f>(D615/D612)*AC76</f>
        <v>-56810.913625797883</v>
      </c>
      <c r="E694" s="2">
        <f>(E623/E612)*SUM(C694:D694)</f>
        <v>58529.366715041338</v>
      </c>
      <c r="F694" s="2">
        <f>(F624/F612)*AC64</f>
        <v>1697.4344366334342</v>
      </c>
      <c r="G694" s="2">
        <f>(G625/G612)*AC77</f>
        <v>0</v>
      </c>
      <c r="H694" s="2">
        <f>(H628/H612)*AC60</f>
        <v>26218.411979195287</v>
      </c>
      <c r="I694" s="2">
        <f>(I629/I612)*AC78</f>
        <v>14381.58761617181</v>
      </c>
      <c r="J694" s="2">
        <f>(J630/J612)*AC79</f>
        <v>0</v>
      </c>
      <c r="K694" s="2">
        <f>(K644/K612)*AC75</f>
        <v>140825.32886173285</v>
      </c>
      <c r="L694" s="2">
        <f>(L647/L612)*AC80</f>
        <v>0</v>
      </c>
      <c r="M694" s="2">
        <f t="shared" si="20"/>
        <v>184841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6">
        <v>7200</v>
      </c>
      <c r="B696" s="330" t="s">
        <v>709</v>
      </c>
      <c r="C696" s="2">
        <f>AE71</f>
        <v>1218199</v>
      </c>
      <c r="D696" s="2">
        <f>(D615/D612)*AE76</f>
        <v>-161842.38095413792</v>
      </c>
      <c r="E696" s="2">
        <f>(E623/E612)*SUM(C696:D696)</f>
        <v>154142.70127757025</v>
      </c>
      <c r="F696" s="2">
        <f>(F624/F612)*AE64</f>
        <v>837.63455876835224</v>
      </c>
      <c r="G696" s="2">
        <f>(G625/G612)*AE77</f>
        <v>0</v>
      </c>
      <c r="H696" s="2">
        <f>(H628/H612)*AE60</f>
        <v>86770.45869305107</v>
      </c>
      <c r="I696" s="2">
        <f>(I629/I612)*AE78</f>
        <v>43144.762848515427</v>
      </c>
      <c r="J696" s="2">
        <f>(J630/J612)*AE79</f>
        <v>13085.405935384042</v>
      </c>
      <c r="K696" s="2">
        <f>(K644/K612)*AE75</f>
        <v>292886.40983222169</v>
      </c>
      <c r="L696" s="2">
        <f>(L647/L612)*AE80</f>
        <v>0</v>
      </c>
      <c r="M696" s="2">
        <f t="shared" si="20"/>
        <v>429025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6">
        <v>7230</v>
      </c>
      <c r="B698" s="330" t="s">
        <v>713</v>
      </c>
      <c r="C698" s="2">
        <f>AG71</f>
        <v>2786654</v>
      </c>
      <c r="D698" s="2">
        <f>(D615/D612)*AG76</f>
        <v>-202617.95605652512</v>
      </c>
      <c r="E698" s="2">
        <f>(E623/E612)*SUM(C698:D698)</f>
        <v>377060.44420095667</v>
      </c>
      <c r="F698" s="2">
        <f>(F624/F612)*AG64</f>
        <v>7649.6091254281628</v>
      </c>
      <c r="G698" s="2">
        <f>(G625/G612)*AG77</f>
        <v>0</v>
      </c>
      <c r="H698" s="2">
        <f>(H628/H612)*AG60</f>
        <v>79435.545817919061</v>
      </c>
      <c r="I698" s="2">
        <f>(I629/I612)*AG78</f>
        <v>57526.350464687239</v>
      </c>
      <c r="J698" s="2">
        <f>(J630/J612)*AG79</f>
        <v>26170.811870768084</v>
      </c>
      <c r="K698" s="2">
        <f>(K644/K612)*AG75</f>
        <v>850836.84061352443</v>
      </c>
      <c r="L698" s="2">
        <f>(L647/L612)*AG80</f>
        <v>242431.78094210103</v>
      </c>
      <c r="M698" s="2">
        <f t="shared" si="20"/>
        <v>1438493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6">
        <v>7250</v>
      </c>
      <c r="B700" s="330" t="s">
        <v>716</v>
      </c>
      <c r="C700" s="2">
        <f>AI71</f>
        <v>382927</v>
      </c>
      <c r="D700" s="2">
        <f>(D615/D612)*AI76</f>
        <v>0</v>
      </c>
      <c r="E700" s="2">
        <f>(E623/E612)*SUM(C700:D700)</f>
        <v>55876.397333913555</v>
      </c>
      <c r="F700" s="2">
        <f>(F624/F612)*AI64</f>
        <v>957.54178497872579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7283.455708512427</v>
      </c>
      <c r="L700" s="2">
        <f>(L647/L612)*AI80</f>
        <v>0</v>
      </c>
      <c r="M700" s="2">
        <f t="shared" si="20"/>
        <v>64117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6">
        <v>7260</v>
      </c>
      <c r="B701" s="330" t="s">
        <v>121</v>
      </c>
      <c r="C701" s="2">
        <f>AJ71</f>
        <v>4862698</v>
      </c>
      <c r="D701" s="2">
        <f>(D615/D612)*AJ76</f>
        <v>-462275.90200346825</v>
      </c>
      <c r="E701" s="2">
        <f>(E623/E612)*SUM(C701:D701)</f>
        <v>642106.0243456004</v>
      </c>
      <c r="F701" s="2">
        <f>(F624/F612)*AJ64</f>
        <v>14318.581633399395</v>
      </c>
      <c r="G701" s="2">
        <f>(G625/G612)*AJ77</f>
        <v>0</v>
      </c>
      <c r="H701" s="2">
        <f>(H628/H612)*AJ60</f>
        <v>247904.44898185544</v>
      </c>
      <c r="I701" s="2">
        <f>(I629/I612)*AJ78</f>
        <v>71907.93808085905</v>
      </c>
      <c r="J701" s="2">
        <f>(J630/J612)*AJ79</f>
        <v>0</v>
      </c>
      <c r="K701" s="2">
        <f>(K644/K612)*AJ75</f>
        <v>402677.53988095064</v>
      </c>
      <c r="L701" s="2">
        <f>(L647/L612)*AJ80</f>
        <v>83350.808771842203</v>
      </c>
      <c r="M701" s="2">
        <f t="shared" si="20"/>
        <v>999989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6">
        <v>7490</v>
      </c>
      <c r="B713" s="330" t="s">
        <v>740</v>
      </c>
      <c r="C713" s="2">
        <f>AV71</f>
        <v>72666</v>
      </c>
      <c r="D713" s="2">
        <f>(D615/D612)*AV76</f>
        <v>-189732.41617164153</v>
      </c>
      <c r="E713" s="2">
        <f>(E623/E612)*SUM(C713:D713)</f>
        <v>-17082.236521488234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28763.175232343619</v>
      </c>
      <c r="J713" s="2">
        <f>(J630/J612)*AV79</f>
        <v>0</v>
      </c>
      <c r="K713" s="2">
        <f>(K644/K612)*AV75</f>
        <v>88883.633852684783</v>
      </c>
      <c r="L713" s="2">
        <f>(L647/L612)*AV80</f>
        <v>0</v>
      </c>
      <c r="M713" s="2">
        <f t="shared" si="20"/>
        <v>-89168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26390150</v>
      </c>
      <c r="D715" s="2">
        <f>SUM(D616:D647)+SUM(D668:D713)</f>
        <v>-3104327.0000000005</v>
      </c>
      <c r="E715" s="2">
        <f>SUM(E624:E647)+SUM(E668:E713)</f>
        <v>3360471.9472567616</v>
      </c>
      <c r="F715" s="2">
        <f>SUM(F625:F648)+SUM(F668:F713)</f>
        <v>120444.27044177856</v>
      </c>
      <c r="G715" s="2">
        <f>SUM(G626:G647)+SUM(G668:G713)</f>
        <v>781347.14311829593</v>
      </c>
      <c r="H715" s="2">
        <f>SUM(H629:H647)+SUM(H668:H713)</f>
        <v>1153063.9101683595</v>
      </c>
      <c r="I715" s="2">
        <f>SUM(I630:I647)+SUM(I668:I713)</f>
        <v>579577.98093172396</v>
      </c>
      <c r="J715" s="2">
        <f>SUM(J631:J647)+SUM(J668:J713)</f>
        <v>161386.67320306983</v>
      </c>
      <c r="K715" s="2">
        <f>SUM(K668:K713)</f>
        <v>4442912.2098272387</v>
      </c>
      <c r="L715" s="2">
        <f>SUM(L668:L713)</f>
        <v>1018785.0283598313</v>
      </c>
      <c r="M715" s="2">
        <f>SUM(M668:M713)</f>
        <v>7236328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26390150</v>
      </c>
      <c r="D716" s="2">
        <f>D615</f>
        <v>-3104327</v>
      </c>
      <c r="E716" s="2">
        <f>E623</f>
        <v>3360471.9472567616</v>
      </c>
      <c r="F716" s="2">
        <f>F624</f>
        <v>120444.27044177856</v>
      </c>
      <c r="G716" s="2">
        <f>G625</f>
        <v>781347.14311829593</v>
      </c>
      <c r="H716" s="2">
        <f>H628</f>
        <v>1153063.9101683595</v>
      </c>
      <c r="I716" s="2">
        <f>I629</f>
        <v>579577.98093172396</v>
      </c>
      <c r="J716" s="2">
        <f>J630</f>
        <v>161386.67320306986</v>
      </c>
      <c r="K716" s="2">
        <f>K644</f>
        <v>4442912.2098272378</v>
      </c>
      <c r="L716" s="2">
        <f>L647</f>
        <v>1018785.0283598313</v>
      </c>
      <c r="M716" s="2">
        <f>C648</f>
        <v>7236329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3" t="str">
        <f>RIGHT(C84,3)&amp;"*"&amp;RIGHT(C83,4)&amp;"*"&amp;"A"</f>
        <v>lth*173*A</v>
      </c>
      <c r="B721" s="281">
        <f>ROUND(C166,0)</f>
        <v>53144</v>
      </c>
      <c r="C721" s="281">
        <f>ROUND(C167,0)</f>
        <v>315910</v>
      </c>
      <c r="D721" s="281">
        <f>ROUND(C168,0)</f>
        <v>1688310</v>
      </c>
      <c r="E721" s="281">
        <f>ROUND(C169,0)</f>
        <v>103390</v>
      </c>
      <c r="F721" s="281">
        <f>ROUND(C170,0)</f>
        <v>618968</v>
      </c>
      <c r="G721" s="281">
        <f>ROUND(C171,0)</f>
        <v>129622</v>
      </c>
      <c r="H721" s="281">
        <f>ROUND(C172+C173,0)</f>
        <v>0</v>
      </c>
      <c r="I721" s="281">
        <f>ROUND(C176,0)</f>
        <v>223327</v>
      </c>
      <c r="J721" s="281">
        <f>ROUND(C177,0)</f>
        <v>0</v>
      </c>
      <c r="K721" s="281">
        <f>ROUND(C180,0)</f>
        <v>124277</v>
      </c>
      <c r="L721" s="281">
        <f>ROUND(C181,0)</f>
        <v>0</v>
      </c>
      <c r="M721" s="281">
        <f>ROUND(C184,0)</f>
        <v>218655</v>
      </c>
      <c r="N721" s="281">
        <f>ROUND(C185,0)</f>
        <v>0</v>
      </c>
      <c r="O721" s="281">
        <f>ROUND(C186,0)</f>
        <v>0</v>
      </c>
      <c r="P721" s="281">
        <f>ROUND(C189,0)</f>
        <v>441484</v>
      </c>
      <c r="Q721" s="281">
        <f>ROUND(C190,0)</f>
        <v>0</v>
      </c>
      <c r="R721" s="281">
        <f>ROUND(B196,0)</f>
        <v>1426739</v>
      </c>
      <c r="S721" s="281">
        <f>ROUND(C196,0)</f>
        <v>0</v>
      </c>
      <c r="T721" s="281">
        <f>ROUND(D196,0)</f>
        <v>0</v>
      </c>
      <c r="U721" s="281">
        <f>ROUND(B197,0)</f>
        <v>17053317</v>
      </c>
      <c r="V721" s="281">
        <f>ROUND(C197,0)</f>
        <v>382804</v>
      </c>
      <c r="W721" s="281">
        <f>ROUND(D197,0)</f>
        <v>0</v>
      </c>
      <c r="X721" s="281">
        <f>ROUND(B198,0)</f>
        <v>0</v>
      </c>
      <c r="Y721" s="281">
        <f>ROUND(C198,0)</f>
        <v>0</v>
      </c>
      <c r="Z721" s="281">
        <f>ROUND(D198,0)</f>
        <v>0</v>
      </c>
      <c r="AA721" s="281">
        <f>ROUND(B199,0)</f>
        <v>2677876</v>
      </c>
      <c r="AB721" s="281">
        <f>ROUND(C199,0)</f>
        <v>0</v>
      </c>
      <c r="AC721" s="281">
        <f>ROUND(D199,0)</f>
        <v>0</v>
      </c>
      <c r="AD721" s="281">
        <f>ROUND(B200,0)</f>
        <v>7506412</v>
      </c>
      <c r="AE721" s="281">
        <f>ROUND(C200,0)</f>
        <v>683454</v>
      </c>
      <c r="AF721" s="281">
        <f>ROUND(D200,0)</f>
        <v>0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405798</v>
      </c>
      <c r="AN721" s="281">
        <f>ROUND(C203,0)</f>
        <v>86772</v>
      </c>
      <c r="AO721" s="281">
        <f>ROUND(D203,0)</f>
        <v>0</v>
      </c>
      <c r="AP721" s="281">
        <f>ROUND(B204,0)</f>
        <v>30038742</v>
      </c>
      <c r="AQ721" s="281">
        <f>ROUND(C204,0)</f>
        <v>1183030</v>
      </c>
      <c r="AR721" s="281">
        <f>ROUND(D204,0)</f>
        <v>0</v>
      </c>
      <c r="AS721" s="281"/>
      <c r="AT721" s="281"/>
      <c r="AU721" s="281"/>
      <c r="AV721" s="281">
        <f>ROUND(B210,0)</f>
        <v>11796926</v>
      </c>
      <c r="AW721" s="281">
        <f>ROUND(C210,0)</f>
        <v>690348</v>
      </c>
      <c r="AX721" s="281">
        <f>ROUND(D210,0)</f>
        <v>27854</v>
      </c>
      <c r="AY721" s="281">
        <f>ROUND(B211,0)</f>
        <v>0</v>
      </c>
      <c r="AZ721" s="281">
        <f>ROUND(C211,0)</f>
        <v>0</v>
      </c>
      <c r="BA721" s="281">
        <f>ROUND(D211,0)</f>
        <v>0</v>
      </c>
      <c r="BB721" s="281">
        <f>ROUND(B212,0)</f>
        <v>1710513</v>
      </c>
      <c r="BC721" s="281">
        <f>ROUND(C212,0)</f>
        <v>127478</v>
      </c>
      <c r="BD721" s="281">
        <f>ROUND(D212,0)</f>
        <v>0</v>
      </c>
      <c r="BE721" s="281">
        <f>ROUND(B213,0)</f>
        <v>6005600</v>
      </c>
      <c r="BF721" s="281">
        <f>ROUND(C213,0)</f>
        <v>934491</v>
      </c>
      <c r="BG721" s="281">
        <f>ROUND(D213,0)</f>
        <v>43520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20569325</v>
      </c>
      <c r="BR721" s="281">
        <f>ROUND(C217,0)</f>
        <v>1807523</v>
      </c>
      <c r="BS721" s="281">
        <f>ROUND(D217,0)</f>
        <v>71374</v>
      </c>
      <c r="BT721" s="281">
        <f>ROUND(C222,0)</f>
        <v>0</v>
      </c>
      <c r="BU721" s="281">
        <f>ROUND(C223,0)</f>
        <v>5218732</v>
      </c>
      <c r="BV721" s="281">
        <f>ROUND(C224,0)</f>
        <v>4686320</v>
      </c>
      <c r="BW721" s="281">
        <f>ROUND(C225,0)</f>
        <v>141190</v>
      </c>
      <c r="BX721" s="281">
        <f>ROUND(C226,0)</f>
        <v>0</v>
      </c>
      <c r="BY721" s="281">
        <f>ROUND(C227,0)</f>
        <v>0</v>
      </c>
      <c r="BZ721" s="281">
        <f>ROUND(C230,0)</f>
        <v>0</v>
      </c>
      <c r="CA721" s="281">
        <f>ROUND(C232,0)</f>
        <v>0</v>
      </c>
      <c r="CB721" s="281">
        <f>ROUND(C233,0)</f>
        <v>0</v>
      </c>
      <c r="CC721" s="281">
        <f>ROUND(C237+C238,0)</f>
        <v>656144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3" t="str">
        <f>RIGHT(C84,3)&amp;"*"&amp;RIGHT(C83,4)&amp;"*"&amp;"A"</f>
        <v>lth*173*A</v>
      </c>
      <c r="B725" s="281">
        <f>ROUND(C112,0)</f>
        <v>76</v>
      </c>
      <c r="C725" s="281">
        <f>ROUND(C113,0)</f>
        <v>0</v>
      </c>
      <c r="D725" s="281">
        <f>ROUND(C114,0)</f>
        <v>0</v>
      </c>
      <c r="E725" s="281">
        <f>ROUND(C115,0)</f>
        <v>0</v>
      </c>
      <c r="F725" s="281">
        <f>ROUND(D112,0)</f>
        <v>2467</v>
      </c>
      <c r="G725" s="281">
        <f>ROUND(D113,0)</f>
        <v>0</v>
      </c>
      <c r="H725" s="281">
        <f>ROUND(D114,0)</f>
        <v>0</v>
      </c>
      <c r="I725" s="281">
        <f>ROUND(D115,0)</f>
        <v>0</v>
      </c>
      <c r="J725" s="281">
        <f>ROUND(C117,0)</f>
        <v>0</v>
      </c>
      <c r="K725" s="281">
        <f>ROUND(C118,0)</f>
        <v>10</v>
      </c>
      <c r="L725" s="281">
        <f>ROUND(C119,0)</f>
        <v>0</v>
      </c>
      <c r="M725" s="281">
        <f>ROUND(C120,0)</f>
        <v>0</v>
      </c>
      <c r="N725" s="281">
        <f>ROUND(C121,0)</f>
        <v>0</v>
      </c>
      <c r="O725" s="281">
        <f>ROUND(C122,0)</f>
        <v>0</v>
      </c>
      <c r="P725" s="281">
        <f>ROUND(C123,0)</f>
        <v>15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366</v>
      </c>
      <c r="Y725" s="281">
        <f>ROUND(B140,0)</f>
        <v>11453</v>
      </c>
      <c r="Z725" s="281">
        <f>ROUND(B141,0)</f>
        <v>2692076</v>
      </c>
      <c r="AA725" s="281">
        <f>ROUND(B142,0)</f>
        <v>23822834</v>
      </c>
      <c r="AB725" s="281">
        <f>ROUND(B143,0)</f>
        <v>0</v>
      </c>
      <c r="AC725" s="281">
        <f>ROUND(C139,0)</f>
        <v>81</v>
      </c>
      <c r="AD725" s="281">
        <f>ROUND(C140,0)</f>
        <v>2454</v>
      </c>
      <c r="AE725" s="281">
        <f>ROUND(C141,0)</f>
        <v>857702</v>
      </c>
      <c r="AF725" s="281">
        <f>ROUND(C142,0)</f>
        <v>4812565</v>
      </c>
      <c r="AG725" s="281">
        <f>ROUND(C143,0)</f>
        <v>0</v>
      </c>
      <c r="AH725" s="281">
        <f>ROUND(D139,0)</f>
        <v>70</v>
      </c>
      <c r="AI725" s="281">
        <f>ROUND(D140,0)</f>
        <v>2455</v>
      </c>
      <c r="AJ725" s="281">
        <f>ROUND(D141,0)</f>
        <v>683449</v>
      </c>
      <c r="AK725" s="281">
        <f>ROUND(D142,0)</f>
        <v>4919818</v>
      </c>
      <c r="AL725" s="281">
        <f>ROUND(D143,0)</f>
        <v>0</v>
      </c>
      <c r="AM725" s="281">
        <f>ROUND(B145,0)</f>
        <v>1727</v>
      </c>
      <c r="AN725" s="281">
        <f>ROUND(B146,0)</f>
        <v>0</v>
      </c>
      <c r="AO725" s="281">
        <f>ROUND(B147,0)</f>
        <v>2238247</v>
      </c>
      <c r="AP725" s="281">
        <f>ROUND(B148,0)</f>
        <v>0</v>
      </c>
      <c r="AQ725" s="281">
        <f>ROUND(B149,0)</f>
        <v>0</v>
      </c>
      <c r="AR725" s="281">
        <f>ROUND(C145,0)</f>
        <v>360</v>
      </c>
      <c r="AS725" s="281">
        <f>ROUND(C146,0)</f>
        <v>0</v>
      </c>
      <c r="AT725" s="281">
        <f>ROUND(C147,0)</f>
        <v>477624</v>
      </c>
      <c r="AU725" s="281">
        <f>ROUND(C148,0)</f>
        <v>0</v>
      </c>
      <c r="AV725" s="281">
        <f>ROUND(C149,0)</f>
        <v>0</v>
      </c>
      <c r="AW725" s="281">
        <f>ROUND(D145,0)</f>
        <v>380</v>
      </c>
      <c r="AX725" s="281">
        <f>ROUND(D146,0)</f>
        <v>0</v>
      </c>
      <c r="AY725" s="281">
        <f>ROUND(D147,0)</f>
        <v>481624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3" t="str">
        <f>RIGHT(C84,3)&amp;"*"&amp;RIGHT(C83,4)&amp;"*"&amp;"A"</f>
        <v>lth*173*A</v>
      </c>
      <c r="B729" s="281">
        <f>ROUND(C249,0)</f>
        <v>0</v>
      </c>
      <c r="C729" s="281">
        <f>ROUND(C250,0)</f>
        <v>13907559</v>
      </c>
      <c r="D729" s="281">
        <f>ROUND(C251,0)</f>
        <v>0</v>
      </c>
      <c r="E729" s="281">
        <f>ROUND(C252,0)</f>
        <v>6254724</v>
      </c>
      <c r="F729" s="281">
        <f>ROUND(C253,0)</f>
        <v>2586216</v>
      </c>
      <c r="G729" s="281">
        <f>ROUND(C254,0)</f>
        <v>1087432</v>
      </c>
      <c r="H729" s="281">
        <f>ROUND(C255,0)</f>
        <v>117328</v>
      </c>
      <c r="I729" s="281">
        <f>ROUND(C256,0)</f>
        <v>0</v>
      </c>
      <c r="J729" s="281">
        <f>ROUND(C257,0)</f>
        <v>312749</v>
      </c>
      <c r="K729" s="281">
        <f>ROUND(C258,0)</f>
        <v>262018</v>
      </c>
      <c r="L729" s="281">
        <f>ROUND(C261,0)</f>
        <v>0</v>
      </c>
      <c r="M729" s="281">
        <f>ROUND(C262,0)</f>
        <v>3205817</v>
      </c>
      <c r="N729" s="281">
        <f>ROUND(C263,0)</f>
        <v>0</v>
      </c>
      <c r="O729" s="281">
        <f>ROUND(C266,0)</f>
        <v>0</v>
      </c>
      <c r="P729" s="281">
        <f>ROUND(C267,0)</f>
        <v>998600</v>
      </c>
      <c r="Q729" s="281">
        <f>ROUND(C268,0)</f>
        <v>1426739</v>
      </c>
      <c r="R729" s="281">
        <f>ROUND(C269,0)</f>
        <v>17436121</v>
      </c>
      <c r="S729" s="281">
        <f>ROUND(C270,0)</f>
        <v>0</v>
      </c>
      <c r="T729" s="281">
        <f>ROUND(C271,0)</f>
        <v>2677875</v>
      </c>
      <c r="U729" s="281">
        <f>ROUND(C272,0)</f>
        <v>8189866</v>
      </c>
      <c r="V729" s="281">
        <f>ROUND(C273,0)</f>
        <v>0</v>
      </c>
      <c r="W729" s="281">
        <f>ROUND(C274,0)</f>
        <v>492571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583624</v>
      </c>
      <c r="AJ729" s="281">
        <f>ROUND(C306,0)</f>
        <v>1798285</v>
      </c>
      <c r="AK729" s="281">
        <f>ROUND(C307,0)</f>
        <v>0</v>
      </c>
      <c r="AL729" s="281">
        <f>ROUND(C308,0)</f>
        <v>6149286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773939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4560487</v>
      </c>
      <c r="AX729" s="281">
        <f>ROUND(C324,0)</f>
        <v>0</v>
      </c>
      <c r="AY729" s="281">
        <f>ROUND(C325,0)</f>
        <v>7456459</v>
      </c>
      <c r="AZ729" s="281">
        <f>ROUND(C326,0)</f>
        <v>0</v>
      </c>
      <c r="BA729" s="281">
        <f>ROUND(C327,0)</f>
        <v>0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176.27</v>
      </c>
      <c r="BJ729" s="281">
        <f>ROUND(C358,0)</f>
        <v>0</v>
      </c>
      <c r="BK729" s="281">
        <f>ROUND(C359,0)</f>
        <v>7430722</v>
      </c>
      <c r="BL729" s="281">
        <f>ROUND(C362,0)</f>
        <v>0</v>
      </c>
      <c r="BM729" s="281">
        <f>ROUND(C363,0)</f>
        <v>521296</v>
      </c>
      <c r="BN729" s="281">
        <f>ROUND(C364,0)</f>
        <v>13995288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17202430</v>
      </c>
      <c r="BT729" s="281">
        <f>ROUND(C379,0)</f>
        <v>3929506</v>
      </c>
      <c r="BU729" s="281">
        <f>ROUND(C380,0)</f>
        <v>1703174</v>
      </c>
      <c r="BV729" s="281">
        <f>ROUND(C381,0)</f>
        <v>2072897</v>
      </c>
      <c r="BW729" s="281">
        <f>ROUND(C382,0)</f>
        <v>517969</v>
      </c>
      <c r="BX729" s="281">
        <f>ROUND(C383,0)</f>
        <v>3077575</v>
      </c>
      <c r="BY729" s="281">
        <f>ROUND(C384,0)</f>
        <v>1720483</v>
      </c>
      <c r="BZ729" s="281">
        <f>ROUND(C385,0)</f>
        <v>223327</v>
      </c>
      <c r="CA729" s="281">
        <f>ROUND(C386,0)</f>
        <v>214205</v>
      </c>
      <c r="CB729" s="281">
        <f>ROUND(C387,0)</f>
        <v>241904</v>
      </c>
      <c r="CC729" s="281">
        <f>ROUND(C388,0)</f>
        <v>441484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lth*173*6010*A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>
        <f>ROUND(C62,0)</f>
        <v>0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>
        <f>ROUND(C67,0)</f>
        <v>0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lth*173*6030*A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>
        <f>ROUND(D62,0)</f>
        <v>0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>
        <f>ROUND(D67,0)</f>
        <v>0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>
        <f t="shared" ref="Z734:Z778" si="21">IF(M668&lt;&gt;0,ROUND(M668,0),0)</f>
        <v>0</v>
      </c>
    </row>
    <row r="735" spans="1:84" ht="12.65" customHeight="1" x14ac:dyDescent="0.3">
      <c r="A735" s="209" t="str">
        <f>RIGHT($C$84,3)&amp;"*"&amp;RIGHT($C$83,4)&amp;"*"&amp;E$55&amp;"*"&amp;"A"</f>
        <v>lth*173*6070*A</v>
      </c>
      <c r="B735" s="281">
        <f>ROUND(E59,0)</f>
        <v>517</v>
      </c>
      <c r="C735" s="284">
        <f>ROUND(E60,2)</f>
        <v>18.100000000000001</v>
      </c>
      <c r="D735" s="281">
        <f>ROUND(E61,0)</f>
        <v>2335036</v>
      </c>
      <c r="E735" s="281">
        <f>ROUND(E62,0)</f>
        <v>498015</v>
      </c>
      <c r="F735" s="281">
        <f>ROUND(E63,0)</f>
        <v>0</v>
      </c>
      <c r="G735" s="281">
        <f>ROUND(E64,0)</f>
        <v>82575</v>
      </c>
      <c r="H735" s="281">
        <f>ROUND(E65,0)</f>
        <v>0</v>
      </c>
      <c r="I735" s="281">
        <f>ROUND(E66,0)</f>
        <v>147707</v>
      </c>
      <c r="J735" s="281">
        <f>ROUND(E67,0)</f>
        <v>402111</v>
      </c>
      <c r="K735" s="281">
        <f>ROUND(E68,0)</f>
        <v>2873</v>
      </c>
      <c r="L735" s="281">
        <f>ROUND(E70,0)</f>
        <v>0</v>
      </c>
      <c r="M735" s="281">
        <f>ROUND(E71,0)</f>
        <v>3468317</v>
      </c>
      <c r="N735" s="281">
        <f>ROUND(E76,0)</f>
        <v>18333</v>
      </c>
      <c r="O735" s="281">
        <f>ROUND(E74,0)</f>
        <v>1634309</v>
      </c>
      <c r="P735" s="281">
        <f>IF(E77&gt;0,ROUND(E77,0),0)</f>
        <v>5391</v>
      </c>
      <c r="Q735" s="281">
        <f>IF(E78&gt;0,ROUND(E78,0),0)</f>
        <v>9000</v>
      </c>
      <c r="R735" s="281">
        <f>IF(E79&gt;0,ROUND(E79,0),0)</f>
        <v>28900</v>
      </c>
      <c r="S735" s="281">
        <f>IF(E80&gt;0,ROUND(E80,0),0)</f>
        <v>18</v>
      </c>
      <c r="T735" s="284">
        <f>IF(E81&gt;0,ROUND(E81,2),0)</f>
        <v>0</v>
      </c>
      <c r="U735" s="281"/>
      <c r="X735" s="281"/>
      <c r="Y735" s="281"/>
      <c r="Z735" s="281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lth*173*6100*A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>
        <f t="shared" si="21"/>
        <v>554464</v>
      </c>
    </row>
    <row r="737" spans="1:26" ht="12.65" customHeight="1" x14ac:dyDescent="0.3">
      <c r="A737" s="209" t="str">
        <f>RIGHT($C$84,3)&amp;"*"&amp;RIGHT($C$83,4)&amp;"*"&amp;G$55&amp;"*"&amp;"A"</f>
        <v>lth*173*6120*A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>
        <f>ROUND(G67,0)</f>
        <v>0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lth*173*6140*A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>
        <f>ROUND(H62,0)</f>
        <v>0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0</v>
      </c>
      <c r="J738" s="281">
        <f>ROUND(H67,0)</f>
        <v>0</v>
      </c>
      <c r="K738" s="281">
        <f>ROUND(H68,0)</f>
        <v>0</v>
      </c>
      <c r="L738" s="281">
        <f>ROUND(H70,0)</f>
        <v>0</v>
      </c>
      <c r="M738" s="281">
        <f>ROUND(H71,0)</f>
        <v>0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lth*173*6150*A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lth*173*6170*A</v>
      </c>
      <c r="B740" s="281">
        <f>ROUND(J59,0)</f>
        <v>0</v>
      </c>
      <c r="C740" s="284">
        <f>ROUND(J60,2)</f>
        <v>0</v>
      </c>
      <c r="D740" s="281">
        <f>ROUND(J61,0)</f>
        <v>0</v>
      </c>
      <c r="E740" s="281">
        <f>ROUND(J62,0)</f>
        <v>0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>
        <f>ROUND(J67,0)</f>
        <v>0</v>
      </c>
      <c r="K740" s="281">
        <f>ROUND(J68,0)</f>
        <v>0</v>
      </c>
      <c r="L740" s="281">
        <f>ROUND(J70,0)</f>
        <v>0</v>
      </c>
      <c r="M740" s="281">
        <f>ROUND(J71,0)</f>
        <v>0</v>
      </c>
      <c r="N740" s="281">
        <f>ROUND(J76,0)</f>
        <v>0</v>
      </c>
      <c r="O740" s="281">
        <f>ROUND(J74,0)</f>
        <v>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lth*173*6200*A</v>
      </c>
      <c r="B741" s="281">
        <f>ROUND(K59,0)</f>
        <v>2467</v>
      </c>
      <c r="C741" s="284">
        <f>ROUND(K60,2)</f>
        <v>11</v>
      </c>
      <c r="D741" s="281">
        <f>ROUND(K61,0)</f>
        <v>565422</v>
      </c>
      <c r="E741" s="281">
        <f>ROUND(K62,0)</f>
        <v>137697</v>
      </c>
      <c r="F741" s="281">
        <f>ROUND(K63,0)</f>
        <v>144</v>
      </c>
      <c r="G741" s="281">
        <f>ROUND(K64,0)</f>
        <v>21809</v>
      </c>
      <c r="H741" s="281">
        <f>ROUND(K65,0)</f>
        <v>0</v>
      </c>
      <c r="I741" s="281">
        <f>ROUND(K66,0)</f>
        <v>1271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726343</v>
      </c>
      <c r="N741" s="281">
        <f>ROUND(K76,0)</f>
        <v>0</v>
      </c>
      <c r="O741" s="281">
        <f>ROUND(K74,0)</f>
        <v>0</v>
      </c>
      <c r="P741" s="281">
        <f>IF(K77&gt;0,ROUND(K77,0),0)</f>
        <v>3640</v>
      </c>
      <c r="Q741" s="281">
        <f>IF(K78&gt;0,ROUND(K78,0),0)</f>
        <v>9000</v>
      </c>
      <c r="R741" s="281">
        <f>IF(K79&gt;0,ROUND(K79,0),0)</f>
        <v>17500</v>
      </c>
      <c r="S741" s="281">
        <f>IF(K80&gt;0,ROUND(K80,0),0)</f>
        <v>11</v>
      </c>
      <c r="T741" s="284">
        <f>IF(K81&gt;0,ROUND(K81,2),0)</f>
        <v>0</v>
      </c>
      <c r="U741" s="281"/>
      <c r="X741" s="281"/>
      <c r="Y741" s="281"/>
      <c r="Z741" s="281">
        <f t="shared" si="21"/>
        <v>0</v>
      </c>
    </row>
    <row r="742" spans="1:26" ht="12.65" customHeight="1" x14ac:dyDescent="0.3">
      <c r="A742" s="209" t="str">
        <f>RIGHT($C$84,3)&amp;"*"&amp;RIGHT($C$83,4)&amp;"*"&amp;L$55&amp;"*"&amp;"A"</f>
        <v>lth*173*6210*A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0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>
        <f t="shared" si="21"/>
        <v>878158</v>
      </c>
    </row>
    <row r="743" spans="1:26" ht="12.65" customHeight="1" x14ac:dyDescent="0.3">
      <c r="A743" s="209" t="str">
        <f>RIGHT($C$84,3)&amp;"*"&amp;RIGHT($C$83,4)&amp;"*"&amp;M$55&amp;"*"&amp;"A"</f>
        <v>lth*173*6330*A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lth*173*6400*A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lth*173*7010*A</v>
      </c>
      <c r="B745" s="281">
        <f>ROUND(O59,0)</f>
        <v>0</v>
      </c>
      <c r="C745" s="284">
        <f>ROUND(O60,2)</f>
        <v>0</v>
      </c>
      <c r="D745" s="281">
        <f>ROUND(O61,0)</f>
        <v>0</v>
      </c>
      <c r="E745" s="281">
        <f>ROUND(O62,0)</f>
        <v>0</v>
      </c>
      <c r="F745" s="281">
        <f>ROUND(O63,0)</f>
        <v>0</v>
      </c>
      <c r="G745" s="281">
        <f>ROUND(O64,0)</f>
        <v>0</v>
      </c>
      <c r="H745" s="281">
        <f>ROUND(O65,0)</f>
        <v>0</v>
      </c>
      <c r="I745" s="281">
        <f>ROUND(O66,0)</f>
        <v>0</v>
      </c>
      <c r="J745" s="281">
        <f>ROUND(O67,0)</f>
        <v>0</v>
      </c>
      <c r="K745" s="281">
        <f>ROUND(O68,0)</f>
        <v>0</v>
      </c>
      <c r="L745" s="281">
        <f>ROUND(O70,0)</f>
        <v>0</v>
      </c>
      <c r="M745" s="281">
        <f>ROUND(O71,0)</f>
        <v>0</v>
      </c>
      <c r="N745" s="281">
        <f>ROUND(O76,0)</f>
        <v>0</v>
      </c>
      <c r="O745" s="281">
        <f>ROUND(O74,0)</f>
        <v>0</v>
      </c>
      <c r="P745" s="281">
        <f>IF(O77&gt;0,ROUND(O77,0),0)</f>
        <v>0</v>
      </c>
      <c r="Q745" s="281">
        <f>IF(O78&gt;0,ROUND(O78,0),0)</f>
        <v>0</v>
      </c>
      <c r="R745" s="281">
        <f>IF(O79&gt;0,ROUND(O79,0),0)</f>
        <v>0</v>
      </c>
      <c r="S745" s="281">
        <f>IF(O80&gt;0,ROUND(O80,0),0)</f>
        <v>0</v>
      </c>
      <c r="T745" s="284">
        <f>IF(O81&gt;0,ROUND(O81,2),0)</f>
        <v>0</v>
      </c>
      <c r="U745" s="281"/>
      <c r="X745" s="281"/>
      <c r="Y745" s="281"/>
      <c r="Z745" s="281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lth*173*7020*A</v>
      </c>
      <c r="B746" s="281">
        <f>ROUND(P59,0)</f>
        <v>15676</v>
      </c>
      <c r="C746" s="284">
        <f>ROUND(P60,2)</f>
        <v>3.05</v>
      </c>
      <c r="D746" s="281">
        <f>ROUND(P61,0)</f>
        <v>444389</v>
      </c>
      <c r="E746" s="281">
        <f>ROUND(P62,0)</f>
        <v>102296</v>
      </c>
      <c r="F746" s="281">
        <f>ROUND(P63,0)</f>
        <v>7</v>
      </c>
      <c r="G746" s="281">
        <f>ROUND(P64,0)</f>
        <v>111162</v>
      </c>
      <c r="H746" s="281">
        <f>ROUND(P65,0)</f>
        <v>0</v>
      </c>
      <c r="I746" s="281">
        <f>ROUND(P66,0)</f>
        <v>30000</v>
      </c>
      <c r="J746" s="281">
        <f>ROUND(P67,0)</f>
        <v>28426</v>
      </c>
      <c r="K746" s="281">
        <f>ROUND(P68,0)</f>
        <v>0</v>
      </c>
      <c r="L746" s="281">
        <f>ROUND(P70,0)</f>
        <v>0</v>
      </c>
      <c r="M746" s="281">
        <f>ROUND(P71,0)</f>
        <v>716280</v>
      </c>
      <c r="N746" s="281">
        <f>ROUND(P76,0)</f>
        <v>1296</v>
      </c>
      <c r="O746" s="281">
        <f>ROUND(P74,0)</f>
        <v>1557711</v>
      </c>
      <c r="P746" s="281">
        <f>IF(P77&gt;0,ROUND(P77,0),0)</f>
        <v>0</v>
      </c>
      <c r="Q746" s="281">
        <f>IF(P78&gt;0,ROUND(P78,0),0)</f>
        <v>1000</v>
      </c>
      <c r="R746" s="281">
        <f>IF(P79&gt;0,ROUND(P79,0),0)</f>
        <v>8000</v>
      </c>
      <c r="S746" s="281">
        <f>IF(P80&gt;0,ROUND(P80,0),0)</f>
        <v>0</v>
      </c>
      <c r="T746" s="284">
        <f>IF(P81&gt;0,ROUND(P81,2),0)</f>
        <v>0</v>
      </c>
      <c r="U746" s="281"/>
      <c r="X746" s="281"/>
      <c r="Y746" s="281"/>
      <c r="Z746" s="281">
        <f t="shared" si="21"/>
        <v>0</v>
      </c>
    </row>
    <row r="747" spans="1:26" ht="12.65" customHeight="1" x14ac:dyDescent="0.3">
      <c r="A747" s="209" t="str">
        <f>RIGHT($C$84,3)&amp;"*"&amp;RIGHT($C$83,4)&amp;"*"&amp;Q$55&amp;"*"&amp;"A"</f>
        <v>lth*173*7030*A</v>
      </c>
      <c r="B747" s="281">
        <f>ROUND(Q59,0)</f>
        <v>0</v>
      </c>
      <c r="C747" s="284">
        <f>ROUND(Q60,2)</f>
        <v>0</v>
      </c>
      <c r="D747" s="281">
        <f>ROUND(Q61,0)</f>
        <v>0</v>
      </c>
      <c r="E747" s="281">
        <f>ROUND(Q62,0)</f>
        <v>0</v>
      </c>
      <c r="F747" s="281">
        <f>ROUND(Q63,0)</f>
        <v>0</v>
      </c>
      <c r="G747" s="281">
        <f>ROUND(Q64,0)</f>
        <v>0</v>
      </c>
      <c r="H747" s="281">
        <f>ROUND(Q65,0)</f>
        <v>0</v>
      </c>
      <c r="I747" s="281">
        <f>ROUND(Q66,0)</f>
        <v>0</v>
      </c>
      <c r="J747" s="281">
        <f>ROUND(Q67,0)</f>
        <v>0</v>
      </c>
      <c r="K747" s="281">
        <f>ROUND(Q68,0)</f>
        <v>0</v>
      </c>
      <c r="L747" s="281">
        <f>ROUND(Q70,0)</f>
        <v>0</v>
      </c>
      <c r="M747" s="281">
        <f>ROUND(Q71,0)</f>
        <v>0</v>
      </c>
      <c r="N747" s="281">
        <f>ROUND(Q76,0)</f>
        <v>0</v>
      </c>
      <c r="O747" s="281">
        <f>ROUND(Q74,0)</f>
        <v>0</v>
      </c>
      <c r="P747" s="281">
        <f>IF(Q77&gt;0,ROUND(Q77,0),0)</f>
        <v>0</v>
      </c>
      <c r="Q747" s="281">
        <f>IF(Q78&gt;0,ROUND(Q78,0),0)</f>
        <v>0</v>
      </c>
      <c r="R747" s="281">
        <f>IF(Q79&gt;0,ROUND(Q79,0),0)</f>
        <v>0</v>
      </c>
      <c r="S747" s="281">
        <f>IF(Q80&gt;0,ROUND(Q80,0),0)</f>
        <v>0</v>
      </c>
      <c r="T747" s="284">
        <f>IF(Q81&gt;0,ROUND(Q81,2),0)</f>
        <v>0</v>
      </c>
      <c r="U747" s="281"/>
      <c r="X747" s="281"/>
      <c r="Y747" s="281"/>
      <c r="Z747" s="281">
        <f t="shared" si="21"/>
        <v>267296</v>
      </c>
    </row>
    <row r="748" spans="1:26" ht="12.65" customHeight="1" x14ac:dyDescent="0.3">
      <c r="A748" s="209" t="str">
        <f>RIGHT($C$84,3)&amp;"*"&amp;RIGHT($C$83,4)&amp;"*"&amp;R$55&amp;"*"&amp;"A"</f>
        <v>lth*173*7040*A</v>
      </c>
      <c r="B748" s="281">
        <f>ROUND(R59,0)</f>
        <v>22263</v>
      </c>
      <c r="C748" s="284">
        <f>ROUND(R60,2)</f>
        <v>1</v>
      </c>
      <c r="D748" s="281">
        <f>ROUND(R61,0)</f>
        <v>439004</v>
      </c>
      <c r="E748" s="281">
        <f>ROUND(R62,0)</f>
        <v>111195</v>
      </c>
      <c r="F748" s="281">
        <f>ROUND(R63,0)</f>
        <v>5000</v>
      </c>
      <c r="G748" s="281">
        <f>ROUND(R64,0)</f>
        <v>6887</v>
      </c>
      <c r="H748" s="281">
        <f>ROUND(R65,0)</f>
        <v>0</v>
      </c>
      <c r="I748" s="281">
        <f>ROUND(R66,0)</f>
        <v>9206</v>
      </c>
      <c r="J748" s="281">
        <f>ROUND(R67,0)</f>
        <v>0</v>
      </c>
      <c r="K748" s="281">
        <f>ROUND(R68,0)</f>
        <v>0</v>
      </c>
      <c r="L748" s="281">
        <f>ROUND(R70,0)</f>
        <v>0</v>
      </c>
      <c r="M748" s="281">
        <f>ROUND(R71,0)</f>
        <v>571292</v>
      </c>
      <c r="N748" s="281">
        <f>ROUND(R76,0)</f>
        <v>0</v>
      </c>
      <c r="O748" s="281">
        <f>ROUND(R74,0)</f>
        <v>812201</v>
      </c>
      <c r="P748" s="281">
        <f>IF(R77&gt;0,ROUND(R77,0),0)</f>
        <v>0</v>
      </c>
      <c r="Q748" s="281">
        <f>IF(R78&gt;0,ROUND(R78,0),0)</f>
        <v>0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>
        <f t="shared" si="21"/>
        <v>0</v>
      </c>
    </row>
    <row r="749" spans="1:26" ht="12.65" customHeight="1" x14ac:dyDescent="0.3">
      <c r="A749" s="209" t="str">
        <f>RIGHT($C$84,3)&amp;"*"&amp;RIGHT($C$83,4)&amp;"*"&amp;S$55&amp;"*"&amp;"A"</f>
        <v>lth*173*7050*A</v>
      </c>
      <c r="B749" s="281"/>
      <c r="C749" s="284">
        <f>ROUND(S60,2)</f>
        <v>0</v>
      </c>
      <c r="D749" s="281">
        <f>ROUND(S61,0)</f>
        <v>0</v>
      </c>
      <c r="E749" s="281">
        <f>ROUND(S62,0)</f>
        <v>0</v>
      </c>
      <c r="F749" s="281">
        <f>ROUND(S63,0)</f>
        <v>0</v>
      </c>
      <c r="G749" s="281">
        <f>ROUND(S64,0)</f>
        <v>0</v>
      </c>
      <c r="H749" s="281">
        <f>ROUND(S65,0)</f>
        <v>0</v>
      </c>
      <c r="I749" s="281">
        <f>ROUND(S66,0)</f>
        <v>0</v>
      </c>
      <c r="J749" s="281">
        <f>ROUND(S67,0)</f>
        <v>0</v>
      </c>
      <c r="K749" s="281">
        <f>ROUND(S68,0)</f>
        <v>0</v>
      </c>
      <c r="L749" s="281">
        <f>ROUND(S70,0)</f>
        <v>0</v>
      </c>
      <c r="M749" s="281">
        <f>ROUND(S71,0)</f>
        <v>0</v>
      </c>
      <c r="N749" s="281">
        <f>ROUND(S76,0)</f>
        <v>0</v>
      </c>
      <c r="O749" s="281">
        <f>ROUND(S74,0)</f>
        <v>296272</v>
      </c>
      <c r="P749" s="281">
        <f>IF(S77&gt;0,ROUND(S77,0),0)</f>
        <v>0</v>
      </c>
      <c r="Q749" s="281">
        <f>IF(S78&gt;0,ROUND(S78,0),0)</f>
        <v>0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>
        <f t="shared" si="21"/>
        <v>187363</v>
      </c>
    </row>
    <row r="750" spans="1:26" ht="12.65" customHeight="1" x14ac:dyDescent="0.3">
      <c r="A750" s="209" t="str">
        <f>RIGHT($C$84,3)&amp;"*"&amp;RIGHT($C$83,4)&amp;"*"&amp;T$55&amp;"*"&amp;"A"</f>
        <v>lth*173*7060*A</v>
      </c>
      <c r="B750" s="281"/>
      <c r="C750" s="284">
        <f>ROUND(T60,2)</f>
        <v>0</v>
      </c>
      <c r="D750" s="281">
        <f>ROUND(T61,0)</f>
        <v>0</v>
      </c>
      <c r="E750" s="281">
        <f>ROUND(T62,0)</f>
        <v>0</v>
      </c>
      <c r="F750" s="281">
        <f>ROUND(T63,0)</f>
        <v>0</v>
      </c>
      <c r="G750" s="281">
        <f>ROUND(T64,0)</f>
        <v>0</v>
      </c>
      <c r="H750" s="281">
        <f>ROUND(T65,0)</f>
        <v>0</v>
      </c>
      <c r="I750" s="281">
        <f>ROUND(T66,0)</f>
        <v>0</v>
      </c>
      <c r="J750" s="281">
        <f>ROUND(T67,0)</f>
        <v>0</v>
      </c>
      <c r="K750" s="281">
        <f>ROUND(T68,0)</f>
        <v>0</v>
      </c>
      <c r="L750" s="281">
        <f>ROUND(T70,0)</f>
        <v>0</v>
      </c>
      <c r="M750" s="281">
        <f>ROUND(T71,0)</f>
        <v>0</v>
      </c>
      <c r="N750" s="281">
        <f>ROUND(T76,0)</f>
        <v>0</v>
      </c>
      <c r="O750" s="281">
        <f>ROUND(T74,0)</f>
        <v>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>
        <f t="shared" si="21"/>
        <v>33914</v>
      </c>
    </row>
    <row r="751" spans="1:26" ht="12.65" customHeight="1" x14ac:dyDescent="0.3">
      <c r="A751" s="209" t="str">
        <f>RIGHT($C$84,3)&amp;"*"&amp;RIGHT($C$83,4)&amp;"*"&amp;U$55&amp;"*"&amp;"A"</f>
        <v>lth*173*7070*A</v>
      </c>
      <c r="B751" s="281">
        <f>ROUND(U59,0)</f>
        <v>44529</v>
      </c>
      <c r="C751" s="284">
        <f>ROUND(U60,2)</f>
        <v>3.39</v>
      </c>
      <c r="D751" s="281">
        <f>ROUND(U61,0)</f>
        <v>635204</v>
      </c>
      <c r="E751" s="281">
        <f>ROUND(U62,0)</f>
        <v>151708</v>
      </c>
      <c r="F751" s="281">
        <f>ROUND(U63,0)</f>
        <v>10614</v>
      </c>
      <c r="G751" s="281">
        <f>ROUND(U64,0)</f>
        <v>235825</v>
      </c>
      <c r="H751" s="281">
        <f>ROUND(U65,0)</f>
        <v>0</v>
      </c>
      <c r="I751" s="281">
        <f>ROUND(U66,0)</f>
        <v>244213</v>
      </c>
      <c r="J751" s="281">
        <f>ROUND(U67,0)</f>
        <v>23096</v>
      </c>
      <c r="K751" s="281">
        <f>ROUND(U68,0)</f>
        <v>0</v>
      </c>
      <c r="L751" s="281">
        <f>ROUND(U70,0)</f>
        <v>0</v>
      </c>
      <c r="M751" s="281">
        <f>ROUND(U71,0)</f>
        <v>1300660</v>
      </c>
      <c r="N751" s="281">
        <f>ROUND(U76,0)</f>
        <v>1053</v>
      </c>
      <c r="O751" s="281">
        <f>ROUND(U74,0)</f>
        <v>4457004</v>
      </c>
      <c r="P751" s="281">
        <f>IF(U77&gt;0,ROUND(U77,0),0)</f>
        <v>0</v>
      </c>
      <c r="Q751" s="281">
        <f>IF(U78&gt;0,ROUND(U78,0),0)</f>
        <v>1000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lth*173*7110*A</v>
      </c>
      <c r="B752" s="281">
        <f>ROUND(V59,0)</f>
        <v>0</v>
      </c>
      <c r="C752" s="284">
        <f>ROUND(V60,2)</f>
        <v>0</v>
      </c>
      <c r="D752" s="281">
        <f>ROUND(V61,0)</f>
        <v>0</v>
      </c>
      <c r="E752" s="281">
        <f>ROUND(V62,0)</f>
        <v>0</v>
      </c>
      <c r="F752" s="281">
        <f>ROUND(V63,0)</f>
        <v>0</v>
      </c>
      <c r="G752" s="281">
        <f>ROUND(V64,0)</f>
        <v>0</v>
      </c>
      <c r="H752" s="281">
        <f>ROUND(V65,0)</f>
        <v>0</v>
      </c>
      <c r="I752" s="281">
        <f>ROUND(V66,0)</f>
        <v>0</v>
      </c>
      <c r="J752" s="281">
        <f>ROUND(V67,0)</f>
        <v>0</v>
      </c>
      <c r="K752" s="281">
        <f>ROUND(V68,0)</f>
        <v>0</v>
      </c>
      <c r="L752" s="281">
        <f>ROUND(V70,0)</f>
        <v>0</v>
      </c>
      <c r="M752" s="281">
        <f>ROUND(V71,0)</f>
        <v>0</v>
      </c>
      <c r="N752" s="281">
        <f>ROUND(V76,0)</f>
        <v>0</v>
      </c>
      <c r="O752" s="281">
        <f>ROUND(V74,0)</f>
        <v>0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>
        <f t="shared" si="21"/>
        <v>717185</v>
      </c>
    </row>
    <row r="753" spans="1:26" ht="12.65" customHeight="1" x14ac:dyDescent="0.3">
      <c r="A753" s="209" t="str">
        <f>RIGHT($C$84,3)&amp;"*"&amp;RIGHT($C$83,4)&amp;"*"&amp;W$55&amp;"*"&amp;"A"</f>
        <v>lth*173*7120*A</v>
      </c>
      <c r="B753" s="281">
        <f>ROUND(W59,0)</f>
        <v>252</v>
      </c>
      <c r="C753" s="284">
        <f>ROUND(W60,2)</f>
        <v>0</v>
      </c>
      <c r="D753" s="281">
        <f>ROUND(W61,0)</f>
        <v>0</v>
      </c>
      <c r="E753" s="281">
        <f>ROUND(W62,0)</f>
        <v>0</v>
      </c>
      <c r="F753" s="281">
        <f>ROUND(W63,0)</f>
        <v>0</v>
      </c>
      <c r="G753" s="281">
        <f>ROUND(W64,0)</f>
        <v>0</v>
      </c>
      <c r="H753" s="281">
        <f>ROUND(W65,0)</f>
        <v>0</v>
      </c>
      <c r="I753" s="281">
        <f>ROUND(W66,0)</f>
        <v>133706</v>
      </c>
      <c r="J753" s="281">
        <f>ROUND(W67,0)</f>
        <v>0</v>
      </c>
      <c r="K753" s="281">
        <f>ROUND(W68,0)</f>
        <v>0</v>
      </c>
      <c r="L753" s="281">
        <f>ROUND(W70,0)</f>
        <v>0</v>
      </c>
      <c r="M753" s="281">
        <f>ROUND(W71,0)</f>
        <v>133706</v>
      </c>
      <c r="N753" s="281">
        <f>ROUND(W76,0)</f>
        <v>0</v>
      </c>
      <c r="O753" s="281">
        <f>ROUND(W74,0)</f>
        <v>503017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>
        <f t="shared" si="21"/>
        <v>0</v>
      </c>
    </row>
    <row r="754" spans="1:26" ht="12.65" customHeight="1" x14ac:dyDescent="0.3">
      <c r="A754" s="209" t="str">
        <f>RIGHT($C$84,3)&amp;"*"&amp;RIGHT($C$83,4)&amp;"*"&amp;X$55&amp;"*"&amp;"A"</f>
        <v>lth*173*7130*A</v>
      </c>
      <c r="B754" s="281">
        <f>ROUND(X59,0)</f>
        <v>1730</v>
      </c>
      <c r="C754" s="284">
        <f>ROUND(X60,2)</f>
        <v>0</v>
      </c>
      <c r="D754" s="281">
        <f>ROUND(X61,0)</f>
        <v>0</v>
      </c>
      <c r="E754" s="281">
        <f>ROUND(X62,0)</f>
        <v>0</v>
      </c>
      <c r="F754" s="281">
        <f>ROUND(X63,0)</f>
        <v>0</v>
      </c>
      <c r="G754" s="281">
        <f>ROUND(X64,0)</f>
        <v>31105</v>
      </c>
      <c r="H754" s="281">
        <f>ROUND(X65,0)</f>
        <v>0</v>
      </c>
      <c r="I754" s="281">
        <f>ROUND(X66,0)</f>
        <v>128223</v>
      </c>
      <c r="J754" s="281">
        <f>ROUND(X67,0)</f>
        <v>0</v>
      </c>
      <c r="K754" s="281">
        <f>ROUND(X68,0)</f>
        <v>75820</v>
      </c>
      <c r="L754" s="281">
        <f>ROUND(X70,0)</f>
        <v>0</v>
      </c>
      <c r="M754" s="281">
        <f>ROUND(X71,0)</f>
        <v>235148</v>
      </c>
      <c r="N754" s="281">
        <f>ROUND(X76,0)</f>
        <v>0</v>
      </c>
      <c r="O754" s="281">
        <f>ROUND(X74,0)</f>
        <v>3475604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>
        <f t="shared" si="21"/>
        <v>75617</v>
      </c>
    </row>
    <row r="755" spans="1:26" ht="12.65" customHeight="1" x14ac:dyDescent="0.3">
      <c r="A755" s="209" t="str">
        <f>RIGHT($C$84,3)&amp;"*"&amp;RIGHT($C$83,4)&amp;"*"&amp;Y$55&amp;"*"&amp;"A"</f>
        <v>lth*173*7140*A</v>
      </c>
      <c r="B755" s="281">
        <f>ROUND(Y59,0)</f>
        <v>5620</v>
      </c>
      <c r="C755" s="284">
        <f>ROUND(Y60,2)</f>
        <v>6.87</v>
      </c>
      <c r="D755" s="281">
        <f>ROUND(Y61,0)</f>
        <v>712833</v>
      </c>
      <c r="E755" s="281">
        <f>ROUND(Y62,0)</f>
        <v>168609</v>
      </c>
      <c r="F755" s="281">
        <f>ROUND(Y63,0)</f>
        <v>0</v>
      </c>
      <c r="G755" s="281">
        <f>ROUND(Y64,0)</f>
        <v>30329</v>
      </c>
      <c r="H755" s="281">
        <f>ROUND(Y65,0)</f>
        <v>0</v>
      </c>
      <c r="I755" s="281">
        <f>ROUND(Y66,0)</f>
        <v>211430</v>
      </c>
      <c r="J755" s="281">
        <f>ROUND(Y67,0)</f>
        <v>53803</v>
      </c>
      <c r="K755" s="281">
        <f>ROUND(Y68,0)</f>
        <v>0</v>
      </c>
      <c r="L755" s="281">
        <f>ROUND(Y70,0)</f>
        <v>0</v>
      </c>
      <c r="M755" s="281">
        <f>ROUND(Y71,0)</f>
        <v>1177004</v>
      </c>
      <c r="N755" s="281">
        <f>ROUND(Y76,0)</f>
        <v>2453</v>
      </c>
      <c r="O755" s="281">
        <f>ROUND(Y74,0)</f>
        <v>2636135</v>
      </c>
      <c r="P755" s="281">
        <f>IF(Y77&gt;0,ROUND(Y77,0),0)</f>
        <v>0</v>
      </c>
      <c r="Q755" s="281">
        <f>IF(Y78&gt;0,ROUND(Y78,0),0)</f>
        <v>3000</v>
      </c>
      <c r="R755" s="281">
        <f>IF(Y79&gt;0,ROUND(Y79,0),0)</f>
        <v>7000</v>
      </c>
      <c r="S755" s="281">
        <f>IF(Y80&gt;0,ROUND(Y80,0),0)</f>
        <v>0</v>
      </c>
      <c r="T755" s="284">
        <f>IF(Y81&gt;0,ROUND(Y81,2),0)</f>
        <v>0</v>
      </c>
      <c r="U755" s="281"/>
      <c r="X755" s="281"/>
      <c r="Y755" s="281"/>
      <c r="Z755" s="281">
        <f t="shared" si="21"/>
        <v>438201</v>
      </c>
    </row>
    <row r="756" spans="1:26" ht="12.65" customHeight="1" x14ac:dyDescent="0.3">
      <c r="A756" s="209" t="str">
        <f>RIGHT($C$84,3)&amp;"*"&amp;RIGHT($C$83,4)&amp;"*"&amp;Z$55&amp;"*"&amp;"A"</f>
        <v>lth*173*7150*A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>
        <f t="shared" si="21"/>
        <v>414423</v>
      </c>
    </row>
    <row r="757" spans="1:26" ht="12.65" customHeight="1" x14ac:dyDescent="0.3">
      <c r="A757" s="209" t="str">
        <f>RIGHT($C$84,3)&amp;"*"&amp;RIGHT($C$83,4)&amp;"*"&amp;AA$55&amp;"*"&amp;"A"</f>
        <v>lth*173*7160*A</v>
      </c>
      <c r="B757" s="281">
        <f>ROUND(AA59,0)</f>
        <v>42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171214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lth*173*7170*A</v>
      </c>
      <c r="B758" s="281"/>
      <c r="C758" s="284">
        <f>ROUND(AB60,2)</f>
        <v>1.74</v>
      </c>
      <c r="D758" s="281">
        <f>ROUND(AB61,0)</f>
        <v>261632</v>
      </c>
      <c r="E758" s="281">
        <f>ROUND(AB62,0)</f>
        <v>36502</v>
      </c>
      <c r="F758" s="281">
        <f>ROUND(AB63,0)</f>
        <v>68239</v>
      </c>
      <c r="G758" s="281">
        <f>ROUND(AB64,0)</f>
        <v>478245</v>
      </c>
      <c r="H758" s="281">
        <f>ROUND(AB65,0)</f>
        <v>0</v>
      </c>
      <c r="I758" s="281">
        <f>ROUND(AB66,0)</f>
        <v>133130</v>
      </c>
      <c r="J758" s="281">
        <f>ROUND(AB67,0)</f>
        <v>10923</v>
      </c>
      <c r="K758" s="281">
        <f>ROUND(AB68,0)</f>
        <v>55337</v>
      </c>
      <c r="L758" s="281">
        <f>ROUND(AB70,0)</f>
        <v>0</v>
      </c>
      <c r="M758" s="281">
        <f>ROUND(AB71,0)</f>
        <v>1044008</v>
      </c>
      <c r="N758" s="281">
        <f>ROUND(AB76,0)</f>
        <v>498</v>
      </c>
      <c r="O758" s="281">
        <f>ROUND(AB74,0)</f>
        <v>2708302</v>
      </c>
      <c r="P758" s="281">
        <f>IF(AB77&gt;0,ROUND(AB77,0),0)</f>
        <v>0</v>
      </c>
      <c r="Q758" s="281">
        <f>IF(AB78&gt;0,ROUND(AB78,0),0)</f>
        <v>500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>
        <f t="shared" si="21"/>
        <v>19774</v>
      </c>
    </row>
    <row r="759" spans="1:26" ht="12.65" customHeight="1" x14ac:dyDescent="0.3">
      <c r="A759" s="209" t="str">
        <f>RIGHT($C$84,3)&amp;"*"&amp;RIGHT($C$83,4)&amp;"*"&amp;AC$55&amp;"*"&amp;"A"</f>
        <v>lth*173*7180*A</v>
      </c>
      <c r="B759" s="281">
        <f>ROUND(AC59,0)</f>
        <v>6699</v>
      </c>
      <c r="C759" s="284">
        <f>ROUND(AC60,2)</f>
        <v>3.36</v>
      </c>
      <c r="D759" s="281">
        <f>ROUND(AC61,0)</f>
        <v>294199</v>
      </c>
      <c r="E759" s="281">
        <f>ROUND(AC62,0)</f>
        <v>76353</v>
      </c>
      <c r="F759" s="281">
        <f>ROUND(AC63,0)</f>
        <v>3316</v>
      </c>
      <c r="G759" s="281">
        <f>ROUND(AC64,0)</f>
        <v>23740</v>
      </c>
      <c r="H759" s="281">
        <f>ROUND(AC65,0)</f>
        <v>0</v>
      </c>
      <c r="I759" s="281">
        <f>ROUND(AC66,0)</f>
        <v>24804</v>
      </c>
      <c r="J759" s="281">
        <f>ROUND(AC67,0)</f>
        <v>21758</v>
      </c>
      <c r="K759" s="281">
        <f>ROUND(AC68,0)</f>
        <v>13749</v>
      </c>
      <c r="L759" s="281">
        <f>ROUND(AC70,0)</f>
        <v>0</v>
      </c>
      <c r="M759" s="281">
        <f>ROUND(AC71,0)</f>
        <v>457919</v>
      </c>
      <c r="N759" s="281">
        <f>ROUND(AC76,0)</f>
        <v>992</v>
      </c>
      <c r="O759" s="281">
        <f>ROUND(AC74,0)</f>
        <v>1093276</v>
      </c>
      <c r="P759" s="281">
        <f>IF(AC77&gt;0,ROUND(AC77,0),0)</f>
        <v>0</v>
      </c>
      <c r="Q759" s="281">
        <f>IF(AC78&gt;0,ROUND(AC78,0),0)</f>
        <v>1000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>
        <f t="shared" si="21"/>
        <v>622636</v>
      </c>
    </row>
    <row r="760" spans="1:26" ht="12.65" customHeight="1" x14ac:dyDescent="0.3">
      <c r="A760" s="209" t="str">
        <f>RIGHT($C$84,3)&amp;"*"&amp;RIGHT($C$83,4)&amp;"*"&amp;AD$55&amp;"*"&amp;"A"</f>
        <v>lth*173*7190*A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>
        <f t="shared" si="21"/>
        <v>184841</v>
      </c>
    </row>
    <row r="761" spans="1:26" ht="12.65" customHeight="1" x14ac:dyDescent="0.3">
      <c r="A761" s="209" t="str">
        <f>RIGHT($C$84,3)&amp;"*"&amp;RIGHT($C$83,4)&amp;"*"&amp;AE$55&amp;"*"&amp;"A"</f>
        <v>lth*173*7200*A</v>
      </c>
      <c r="B761" s="281">
        <f>ROUND(AE59,0)</f>
        <v>18174</v>
      </c>
      <c r="C761" s="284">
        <f>ROUND(AE60,2)</f>
        <v>11.12</v>
      </c>
      <c r="D761" s="281">
        <f>ROUND(AE61,0)</f>
        <v>921485</v>
      </c>
      <c r="E761" s="281">
        <f>ROUND(AE62,0)</f>
        <v>211590</v>
      </c>
      <c r="F761" s="281">
        <f>ROUND(AE63,0)</f>
        <v>0</v>
      </c>
      <c r="G761" s="281">
        <f>ROUND(AE64,0)</f>
        <v>11715</v>
      </c>
      <c r="H761" s="281">
        <f>ROUND(AE65,0)</f>
        <v>0</v>
      </c>
      <c r="I761" s="281">
        <f>ROUND(AE66,0)</f>
        <v>11424</v>
      </c>
      <c r="J761" s="281">
        <f>ROUND(AE67,0)</f>
        <v>61985</v>
      </c>
      <c r="K761" s="281">
        <f>ROUND(AE68,0)</f>
        <v>0</v>
      </c>
      <c r="L761" s="281">
        <f>ROUND(AE70,0)</f>
        <v>0</v>
      </c>
      <c r="M761" s="281">
        <f>ROUND(AE71,0)</f>
        <v>1218199</v>
      </c>
      <c r="N761" s="281">
        <f>ROUND(AE76,0)</f>
        <v>2826</v>
      </c>
      <c r="O761" s="281">
        <f>ROUND(AE74,0)</f>
        <v>2208382</v>
      </c>
      <c r="P761" s="281">
        <f>IF(AE77&gt;0,ROUND(AE77,0),0)</f>
        <v>0</v>
      </c>
      <c r="Q761" s="281">
        <f>IF(AE78&gt;0,ROUND(AE78,0),0)</f>
        <v>3000</v>
      </c>
      <c r="R761" s="281">
        <f>IF(AE79&gt;0,ROUND(AE79,0),0)</f>
        <v>12000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lth*173*7220*A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>
        <f t="shared" si="21"/>
        <v>429025</v>
      </c>
    </row>
    <row r="763" spans="1:26" ht="12.65" customHeight="1" x14ac:dyDescent="0.3">
      <c r="A763" s="209" t="str">
        <f>RIGHT($C$84,3)&amp;"*"&amp;RIGHT($C$83,4)&amp;"*"&amp;AG$55&amp;"*"&amp;"A"</f>
        <v>lth*173*7230*A</v>
      </c>
      <c r="B763" s="281">
        <f>ROUND(AG59,0)</f>
        <v>4159</v>
      </c>
      <c r="C763" s="284">
        <f>ROUND(AG60,2)</f>
        <v>10.18</v>
      </c>
      <c r="D763" s="281">
        <f>ROUND(AG61,0)</f>
        <v>1445169</v>
      </c>
      <c r="E763" s="281">
        <f>ROUND(AG62,0)</f>
        <v>328948</v>
      </c>
      <c r="F763" s="281">
        <f>ROUND(AG63,0)</f>
        <v>794643</v>
      </c>
      <c r="G763" s="281">
        <f>ROUND(AG64,0)</f>
        <v>106986</v>
      </c>
      <c r="H763" s="281">
        <f>ROUND(AG65,0)</f>
        <v>0</v>
      </c>
      <c r="I763" s="281">
        <f>ROUND(AG66,0)</f>
        <v>30433</v>
      </c>
      <c r="J763" s="281">
        <f>ROUND(AG67,0)</f>
        <v>77602</v>
      </c>
      <c r="K763" s="281">
        <f>ROUND(AG68,0)</f>
        <v>2873</v>
      </c>
      <c r="L763" s="281">
        <f>ROUND(AG70,0)</f>
        <v>0</v>
      </c>
      <c r="M763" s="281">
        <f>ROUND(AG71,0)</f>
        <v>2786654</v>
      </c>
      <c r="N763" s="281">
        <f>ROUND(AG76,0)</f>
        <v>3538</v>
      </c>
      <c r="O763" s="281">
        <f>ROUND(AG74,0)</f>
        <v>7620506</v>
      </c>
      <c r="P763" s="281">
        <f>IF(AG77&gt;0,ROUND(AG77,0),0)</f>
        <v>0</v>
      </c>
      <c r="Q763" s="281">
        <f>IF(AG78&gt;0,ROUND(AG78,0),0)</f>
        <v>4000</v>
      </c>
      <c r="R763" s="281">
        <f>IF(AG79&gt;0,ROUND(AG79,0),0)</f>
        <v>24000</v>
      </c>
      <c r="S763" s="281">
        <f>IF(AG80&gt;0,ROUND(AG80,0),0)</f>
        <v>10</v>
      </c>
      <c r="T763" s="284">
        <f>IF(AG81&gt;0,ROUND(AG81,2),0)</f>
        <v>0</v>
      </c>
      <c r="U763" s="281"/>
      <c r="X763" s="281"/>
      <c r="Y763" s="281"/>
      <c r="Z763" s="281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lth*173*7240*A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>
        <f t="shared" si="21"/>
        <v>1438493</v>
      </c>
    </row>
    <row r="765" spans="1:26" ht="12.65" customHeight="1" x14ac:dyDescent="0.3">
      <c r="A765" s="209" t="str">
        <f>RIGHT($C$84,3)&amp;"*"&amp;RIGHT($C$83,4)&amp;"*"&amp;AI$55&amp;"*"&amp;"A"</f>
        <v>lth*173*7250*A</v>
      </c>
      <c r="B765" s="281">
        <f>ROUND(AI59,0)</f>
        <v>0</v>
      </c>
      <c r="C765" s="284">
        <f>ROUND(AI60,2)</f>
        <v>0</v>
      </c>
      <c r="D765" s="281">
        <f>ROUND(AI61,0)</f>
        <v>6256</v>
      </c>
      <c r="E765" s="281">
        <f>ROUND(AI62,0)</f>
        <v>1665</v>
      </c>
      <c r="F765" s="281">
        <f>ROUND(AI63,0)</f>
        <v>359551</v>
      </c>
      <c r="G765" s="281">
        <f>ROUND(AI64,0)</f>
        <v>13392</v>
      </c>
      <c r="H765" s="281">
        <f>ROUND(AI65,0)</f>
        <v>0</v>
      </c>
      <c r="I765" s="281">
        <f>ROUND(AI66,0)</f>
        <v>1158</v>
      </c>
      <c r="J765" s="281">
        <f>ROUND(AI67,0)</f>
        <v>0</v>
      </c>
      <c r="K765" s="281">
        <f>ROUND(AI68,0)</f>
        <v>905</v>
      </c>
      <c r="L765" s="281">
        <f>ROUND(AI70,0)</f>
        <v>0</v>
      </c>
      <c r="M765" s="281">
        <f>ROUND(AI71,0)</f>
        <v>382927</v>
      </c>
      <c r="N765" s="281">
        <f>ROUND(AI76,0)</f>
        <v>0</v>
      </c>
      <c r="O765" s="281">
        <f>ROUND(AI74,0)</f>
        <v>58378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lth*173*7260*A</v>
      </c>
      <c r="B766" s="281">
        <f>ROUND(AJ59,0)</f>
        <v>17479</v>
      </c>
      <c r="C766" s="284">
        <f>ROUND(AJ60,2)</f>
        <v>31.77</v>
      </c>
      <c r="D766" s="281">
        <f>ROUND(AJ61,0)</f>
        <v>3489300</v>
      </c>
      <c r="E766" s="281">
        <f>ROUND(AJ62,0)</f>
        <v>784019</v>
      </c>
      <c r="F766" s="281">
        <f>ROUND(AJ63,0)</f>
        <v>0</v>
      </c>
      <c r="G766" s="281">
        <f>ROUND(AJ64,0)</f>
        <v>200257</v>
      </c>
      <c r="H766" s="281">
        <f>ROUND(AJ65,0)</f>
        <v>29532</v>
      </c>
      <c r="I766" s="281">
        <f>ROUND(AJ66,0)</f>
        <v>171878</v>
      </c>
      <c r="J766" s="281">
        <f>ROUND(AJ67,0)</f>
        <v>177049</v>
      </c>
      <c r="K766" s="281">
        <f>ROUND(AJ68,0)</f>
        <v>10663</v>
      </c>
      <c r="L766" s="281">
        <f>ROUND(AJ70,0)</f>
        <v>0</v>
      </c>
      <c r="M766" s="281">
        <f>ROUND(AJ71,0)</f>
        <v>4862698</v>
      </c>
      <c r="N766" s="281">
        <f>ROUND(AJ76,0)</f>
        <v>8072</v>
      </c>
      <c r="O766" s="281">
        <f>ROUND(AJ74,0)</f>
        <v>3714707</v>
      </c>
      <c r="P766" s="281">
        <f>IF(AJ77&gt;0,ROUND(AJ77,0),0)</f>
        <v>0</v>
      </c>
      <c r="Q766" s="281">
        <f>IF(AJ78&gt;0,ROUND(AJ78,0),0)</f>
        <v>5000</v>
      </c>
      <c r="R766" s="281">
        <f>IF(AJ79&gt;0,ROUND(AJ79,0),0)</f>
        <v>0</v>
      </c>
      <c r="S766" s="281">
        <f>IF(AJ80&gt;0,ROUND(AJ80,0),0)</f>
        <v>4</v>
      </c>
      <c r="T766" s="284">
        <f>IF(AJ81&gt;0,ROUND(AJ81,2),0)</f>
        <v>0</v>
      </c>
      <c r="U766" s="281"/>
      <c r="X766" s="281"/>
      <c r="Y766" s="281"/>
      <c r="Z766" s="281">
        <f t="shared" si="21"/>
        <v>64117</v>
      </c>
    </row>
    <row r="767" spans="1:26" ht="12.65" customHeight="1" x14ac:dyDescent="0.3">
      <c r="A767" s="209" t="str">
        <f>RIGHT($C$84,3)&amp;"*"&amp;RIGHT($C$83,4)&amp;"*"&amp;AK$55&amp;"*"&amp;"A"</f>
        <v>lth*173*7310*A</v>
      </c>
      <c r="B767" s="281">
        <f>ROUND(AK59,0)</f>
        <v>0</v>
      </c>
      <c r="C767" s="284">
        <f>ROUND(AK60,2)</f>
        <v>0</v>
      </c>
      <c r="D767" s="281">
        <f>ROUND(AK61,0)</f>
        <v>0</v>
      </c>
      <c r="E767" s="281">
        <f>ROUND(AK62,0)</f>
        <v>0</v>
      </c>
      <c r="F767" s="281">
        <f>ROUND(AK63,0)</f>
        <v>0</v>
      </c>
      <c r="G767" s="281">
        <f>ROUND(AK64,0)</f>
        <v>0</v>
      </c>
      <c r="H767" s="281">
        <f>ROUND(AK65,0)</f>
        <v>0</v>
      </c>
      <c r="I767" s="281">
        <f>ROUND(AK66,0)</f>
        <v>0</v>
      </c>
      <c r="J767" s="281">
        <f>ROUND(AK67,0)</f>
        <v>0</v>
      </c>
      <c r="K767" s="281">
        <f>ROUND(AK68,0)</f>
        <v>0</v>
      </c>
      <c r="L767" s="281">
        <f>ROUND(AK70,0)</f>
        <v>0</v>
      </c>
      <c r="M767" s="281">
        <f>ROUND(AK71,0)</f>
        <v>0</v>
      </c>
      <c r="N767" s="281">
        <f>ROUND(AK76,0)</f>
        <v>0</v>
      </c>
      <c r="O767" s="281">
        <f>ROUND(AK74,0)</f>
        <v>0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>
        <f t="shared" si="21"/>
        <v>999989</v>
      </c>
    </row>
    <row r="768" spans="1:26" ht="12.65" customHeight="1" x14ac:dyDescent="0.3">
      <c r="A768" s="209" t="str">
        <f>RIGHT($C$84,3)&amp;"*"&amp;RIGHT($C$83,4)&amp;"*"&amp;AL$55&amp;"*"&amp;"A"</f>
        <v>lth*173*7320*A</v>
      </c>
      <c r="B768" s="281">
        <f>ROUND(AL59,0)</f>
        <v>0</v>
      </c>
      <c r="C768" s="284">
        <f>ROUND(AL60,2)</f>
        <v>0</v>
      </c>
      <c r="D768" s="281">
        <f>ROUND(AL61,0)</f>
        <v>0</v>
      </c>
      <c r="E768" s="281">
        <f>ROUND(AL62,0)</f>
        <v>0</v>
      </c>
      <c r="F768" s="281">
        <f>ROUND(AL63,0)</f>
        <v>0</v>
      </c>
      <c r="G768" s="281">
        <f>ROUND(AL64,0)</f>
        <v>0</v>
      </c>
      <c r="H768" s="281">
        <f>ROUND(AL65,0)</f>
        <v>0</v>
      </c>
      <c r="I768" s="281">
        <f>ROUND(AL66,0)</f>
        <v>0</v>
      </c>
      <c r="J768" s="281">
        <f>ROUND(AL67,0)</f>
        <v>0</v>
      </c>
      <c r="K768" s="281">
        <f>ROUND(AL68,0)</f>
        <v>0</v>
      </c>
      <c r="L768" s="281">
        <f>ROUND(AL70,0)</f>
        <v>0</v>
      </c>
      <c r="M768" s="281">
        <f>ROUND(AL71,0)</f>
        <v>0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>
        <f t="shared" si="21"/>
        <v>0</v>
      </c>
    </row>
    <row r="769" spans="1:26" ht="12.65" customHeight="1" x14ac:dyDescent="0.3">
      <c r="A769" s="209" t="str">
        <f>RIGHT($C$84,3)&amp;"*"&amp;RIGHT($C$83,4)&amp;"*"&amp;AM$55&amp;"*"&amp;"A"</f>
        <v>lth*173*7330*A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>
        <f t="shared" si="21"/>
        <v>0</v>
      </c>
    </row>
    <row r="770" spans="1:26" ht="12.65" customHeight="1" x14ac:dyDescent="0.3">
      <c r="A770" s="209" t="str">
        <f>RIGHT($C$84,3)&amp;"*"&amp;RIGHT($C$83,4)&amp;"*"&amp;AN$55&amp;"*"&amp;"A"</f>
        <v>lth*173*7340*A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lth*173*7350*A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lth*173*7380*A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>
        <f>ROUND(AP62,0)</f>
        <v>0</v>
      </c>
      <c r="F772" s="281">
        <f>ROUND(AP63,0)</f>
        <v>0</v>
      </c>
      <c r="G772" s="281">
        <f>ROUND(AP64,0)</f>
        <v>0</v>
      </c>
      <c r="H772" s="281">
        <f>ROUND(AP65,0)</f>
        <v>0</v>
      </c>
      <c r="I772" s="281">
        <f>ROUND(AP66,0)</f>
        <v>0</v>
      </c>
      <c r="J772" s="281">
        <f>ROUND(AP67,0)</f>
        <v>0</v>
      </c>
      <c r="K772" s="281">
        <f>ROUND(AP68,0)</f>
        <v>0</v>
      </c>
      <c r="L772" s="281">
        <f>ROUND(AP70,0)</f>
        <v>0</v>
      </c>
      <c r="M772" s="281">
        <f>ROUND(AP71,0)</f>
        <v>0</v>
      </c>
      <c r="N772" s="281">
        <f>ROUND(AP76,0)</f>
        <v>0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lth*173*7390*A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>
        <f t="shared" si="21"/>
        <v>0</v>
      </c>
    </row>
    <row r="774" spans="1:26" ht="12.65" customHeight="1" x14ac:dyDescent="0.3">
      <c r="A774" s="209" t="str">
        <f>RIGHT($C$84,3)&amp;"*"&amp;RIGHT($C$83,4)&amp;"*"&amp;AR$55&amp;"*"&amp;"A"</f>
        <v>lth*173*7400*A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lth*173*7410*A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lth*173*7420*A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lth*173*7430*A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lth*173*7490*A</v>
      </c>
      <c r="B778" s="281"/>
      <c r="C778" s="284">
        <f>ROUND(AV60,2)</f>
        <v>0</v>
      </c>
      <c r="D778" s="281">
        <f>ROUND(AV61,0)</f>
        <v>0</v>
      </c>
      <c r="E778" s="281">
        <f>ROUND(AV62,0)</f>
        <v>0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0</v>
      </c>
      <c r="J778" s="281">
        <f>ROUND(AV67,0)</f>
        <v>72666</v>
      </c>
      <c r="K778" s="281">
        <f>ROUND(AV68,0)</f>
        <v>0</v>
      </c>
      <c r="L778" s="281">
        <f>ROUND(AV70,0)</f>
        <v>0</v>
      </c>
      <c r="M778" s="281">
        <f>ROUND(AV71,0)</f>
        <v>72666</v>
      </c>
      <c r="N778" s="281">
        <f>ROUND(AV76,0)</f>
        <v>3313</v>
      </c>
      <c r="O778" s="281">
        <f>ROUND(AV74,0)</f>
        <v>608199</v>
      </c>
      <c r="P778" s="281">
        <f>IF(AV77&gt;0,ROUND(AV77,0),0)</f>
        <v>0</v>
      </c>
      <c r="Q778" s="281">
        <f>IF(AV78&gt;0,ROUND(AV78,0),0)</f>
        <v>2000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lth*173*8200*A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">
      <c r="A780" s="209" t="str">
        <f>RIGHT($C$84,3)&amp;"*"&amp;RIGHT($C$83,4)&amp;"*"&amp;AX$55&amp;"*"&amp;"A"</f>
        <v>lth*173*8310*A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">
      <c r="A781" s="209" t="str">
        <f>RIGHT($C$84,3)&amp;"*"&amp;RIGHT($C$83,4)&amp;"*"&amp;AY$55&amp;"*"&amp;"A"</f>
        <v>lth*173*8320*A</v>
      </c>
      <c r="B781" s="281">
        <f>ROUND(AY59,0)</f>
        <v>33412</v>
      </c>
      <c r="C781" s="284">
        <f>ROUND(AY60,2)</f>
        <v>9.85</v>
      </c>
      <c r="D781" s="281">
        <f>ROUND(AY61,0)</f>
        <v>404655</v>
      </c>
      <c r="E781" s="281">
        <f>ROUND(AY62,0)</f>
        <v>100606</v>
      </c>
      <c r="F781" s="281">
        <f>ROUND(AY63,0)</f>
        <v>1800</v>
      </c>
      <c r="G781" s="281">
        <f>ROUND(AY64,0)</f>
        <v>110224</v>
      </c>
      <c r="H781" s="281">
        <f>ROUND(AY65,0)</f>
        <v>0</v>
      </c>
      <c r="I781" s="281">
        <f>ROUND(AY66,0)</f>
        <v>156613</v>
      </c>
      <c r="J781" s="281">
        <f>ROUND(AY67,0)</f>
        <v>61765</v>
      </c>
      <c r="K781" s="281">
        <f>ROUND(AY68,0)</f>
        <v>581</v>
      </c>
      <c r="L781" s="281">
        <f>ROUND(AY70,0)</f>
        <v>0</v>
      </c>
      <c r="M781" s="281">
        <f>ROUND(AY71,0)</f>
        <v>836244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">
      <c r="A782" s="209" t="str">
        <f>RIGHT($C$84,3)&amp;"*"&amp;RIGHT($C$83,4)&amp;"*"&amp;AZ$55&amp;"*"&amp;"A"</f>
        <v>lth*173*8330*A</v>
      </c>
      <c r="B782" s="281">
        <f>ROUND(AZ59,0)</f>
        <v>0</v>
      </c>
      <c r="C782" s="284">
        <f>ROUND(AZ60,2)</f>
        <v>0</v>
      </c>
      <c r="D782" s="281">
        <f>ROUND(AZ61,0)</f>
        <v>0</v>
      </c>
      <c r="E782" s="281">
        <f>ROUND(AZ62,0)</f>
        <v>0</v>
      </c>
      <c r="F782" s="281">
        <f>ROUND(AZ63,0)</f>
        <v>0</v>
      </c>
      <c r="G782" s="281">
        <f>ROUND(AZ64,0)</f>
        <v>0</v>
      </c>
      <c r="H782" s="281">
        <f>ROUND(AZ65,0)</f>
        <v>0</v>
      </c>
      <c r="I782" s="281">
        <f>ROUND(AZ66,0)</f>
        <v>0</v>
      </c>
      <c r="J782" s="281">
        <f>ROUND(AZ67,0)</f>
        <v>0</v>
      </c>
      <c r="K782" s="281">
        <f>ROUND(AZ68,0)</f>
        <v>0</v>
      </c>
      <c r="L782" s="281">
        <f>ROUND(AZ70,0)</f>
        <v>0</v>
      </c>
      <c r="M782" s="281">
        <f>ROUND(AZ71,0)</f>
        <v>0</v>
      </c>
      <c r="N782" s="281"/>
      <c r="O782" s="281"/>
      <c r="P782" s="281">
        <f>IF(AZ77&gt;0,ROUND(AZ77,0),0)</f>
        <v>24381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">
      <c r="A783" s="209" t="str">
        <f>RIGHT($C$84,3)&amp;"*"&amp;RIGHT($C$83,4)&amp;"*"&amp;BA$55&amp;"*"&amp;"A"</f>
        <v>lth*173*8350*A</v>
      </c>
      <c r="B783" s="281">
        <f>ROUND(BA59,0)</f>
        <v>0</v>
      </c>
      <c r="C783" s="284">
        <f>ROUND(BA60,2)</f>
        <v>2.54</v>
      </c>
      <c r="D783" s="281">
        <f>ROUND(BA61,0)</f>
        <v>94031</v>
      </c>
      <c r="E783" s="281">
        <f>ROUND(BA62,0)</f>
        <v>23809</v>
      </c>
      <c r="F783" s="281">
        <f>ROUND(BA63,0)</f>
        <v>0</v>
      </c>
      <c r="G783" s="281">
        <f>ROUND(BA64,0)</f>
        <v>25436</v>
      </c>
      <c r="H783" s="281">
        <f>ROUND(BA65,0)</f>
        <v>0</v>
      </c>
      <c r="I783" s="281">
        <f>ROUND(BA66,0)</f>
        <v>2599</v>
      </c>
      <c r="J783" s="281">
        <f>ROUND(BA67,0)</f>
        <v>14849</v>
      </c>
      <c r="K783" s="281">
        <f>ROUND(BA68,0)</f>
        <v>0</v>
      </c>
      <c r="L783" s="281">
        <f>ROUND(BA70,0)</f>
        <v>0</v>
      </c>
      <c r="M783" s="281">
        <f>ROUND(BA71,0)</f>
        <v>160724</v>
      </c>
      <c r="N783" s="281"/>
      <c r="O783" s="281"/>
      <c r="P783" s="281">
        <f>IF(BA77&gt;0,ROUND(BA77,0),0)</f>
        <v>0</v>
      </c>
      <c r="Q783" s="281">
        <f>IF(BA78&gt;0,ROUND(BA78,0),0)</f>
        <v>0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">
      <c r="A784" s="209" t="str">
        <f>RIGHT($C$84,3)&amp;"*"&amp;RIGHT($C$83,4)&amp;"*"&amp;BB$55&amp;"*"&amp;"A"</f>
        <v>lth*173*8360*A</v>
      </c>
      <c r="B784" s="281"/>
      <c r="C784" s="284">
        <f>ROUND(BB60,2)</f>
        <v>0</v>
      </c>
      <c r="D784" s="281">
        <f>ROUND(BB61,0)</f>
        <v>0</v>
      </c>
      <c r="E784" s="281">
        <f>ROUND(BB62,0)</f>
        <v>0</v>
      </c>
      <c r="F784" s="281">
        <f>ROUND(BB63,0)</f>
        <v>0</v>
      </c>
      <c r="G784" s="281">
        <f>ROUND(BB64,0)</f>
        <v>0</v>
      </c>
      <c r="H784" s="281">
        <f>ROUND(BB65,0)</f>
        <v>0</v>
      </c>
      <c r="I784" s="281">
        <f>ROUND(BB66,0)</f>
        <v>0</v>
      </c>
      <c r="J784" s="281">
        <f>ROUND(BB67,0)</f>
        <v>0</v>
      </c>
      <c r="K784" s="281">
        <f>ROUND(BB68,0)</f>
        <v>0</v>
      </c>
      <c r="L784" s="281">
        <f>ROUND(BB70,0)</f>
        <v>0</v>
      </c>
      <c r="M784" s="281">
        <f>ROUND(BB71,0)</f>
        <v>0</v>
      </c>
      <c r="N784" s="281"/>
      <c r="O784" s="281"/>
      <c r="P784" s="281">
        <f>IF(BB77&gt;0,ROUND(BB77,0),0)</f>
        <v>0</v>
      </c>
      <c r="Q784" s="281">
        <f>IF(BB78&gt;0,ROUND(BB78,0),0)</f>
        <v>0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">
      <c r="A785" s="209" t="str">
        <f>RIGHT($C$84,3)&amp;"*"&amp;RIGHT($C$83,4)&amp;"*"&amp;BC$55&amp;"*"&amp;"A"</f>
        <v>lth*173*8370*A</v>
      </c>
      <c r="B785" s="281"/>
      <c r="C785" s="284">
        <f>ROUND(BC60,2)</f>
        <v>1</v>
      </c>
      <c r="D785" s="281">
        <f>ROUND(BC61,0)</f>
        <v>33084</v>
      </c>
      <c r="E785" s="281">
        <f>ROUND(BC62,0)</f>
        <v>7139</v>
      </c>
      <c r="F785" s="281">
        <f>ROUND(BC63,0)</f>
        <v>0</v>
      </c>
      <c r="G785" s="281">
        <f>ROUND(BC64,0)</f>
        <v>176</v>
      </c>
      <c r="H785" s="281">
        <f>ROUND(BC65,0)</f>
        <v>0</v>
      </c>
      <c r="I785" s="281">
        <f>ROUND(BC66,0)</f>
        <v>927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41326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">
      <c r="A786" s="209" t="str">
        <f>RIGHT($C$84,3)&amp;"*"&amp;RIGHT($C$83,4)&amp;"*"&amp;BD$55&amp;"*"&amp;"A"</f>
        <v>lth*173*8420*A</v>
      </c>
      <c r="B786" s="281"/>
      <c r="C786" s="284">
        <f>ROUND(BD60,2)</f>
        <v>2</v>
      </c>
      <c r="D786" s="281">
        <f>ROUND(BD61,0)</f>
        <v>85876</v>
      </c>
      <c r="E786" s="281">
        <f>ROUND(BD62,0)</f>
        <v>23969</v>
      </c>
      <c r="F786" s="281">
        <f>ROUND(BD63,0)</f>
        <v>0</v>
      </c>
      <c r="G786" s="281">
        <f>ROUND(BD64,0)</f>
        <v>2691</v>
      </c>
      <c r="H786" s="281">
        <f>ROUND(BD65,0)</f>
        <v>0</v>
      </c>
      <c r="I786" s="281">
        <f>ROUND(BD66,0)</f>
        <v>16375</v>
      </c>
      <c r="J786" s="281">
        <f>ROUND(BD67,0)</f>
        <v>16538</v>
      </c>
      <c r="K786" s="281">
        <f>ROUND(BD68,0)</f>
        <v>2839</v>
      </c>
      <c r="L786" s="281">
        <f>ROUND(BD70,0)</f>
        <v>0</v>
      </c>
      <c r="M786" s="281">
        <f>ROUND(BD71,0)</f>
        <v>148288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">
      <c r="A787" s="209" t="str">
        <f>RIGHT($C$84,3)&amp;"*"&amp;RIGHT($C$83,4)&amp;"*"&amp;BE$55&amp;"*"&amp;"A"</f>
        <v>lth*173*8430*A</v>
      </c>
      <c r="B787" s="281">
        <f>ROUND(BE59,0)</f>
        <v>78440</v>
      </c>
      <c r="C787" s="284">
        <f>ROUND(BE60,2)</f>
        <v>5.43</v>
      </c>
      <c r="D787" s="281">
        <f>ROUND(BE61,0)</f>
        <v>362511</v>
      </c>
      <c r="E787" s="281">
        <f>ROUND(BE62,0)</f>
        <v>83721</v>
      </c>
      <c r="F787" s="281">
        <f>ROUND(BE63,0)</f>
        <v>800</v>
      </c>
      <c r="G787" s="281">
        <f>ROUND(BE64,0)</f>
        <v>76189</v>
      </c>
      <c r="H787" s="281">
        <f>ROUND(BE65,0)</f>
        <v>260439</v>
      </c>
      <c r="I787" s="281">
        <f>ROUND(BE66,0)</f>
        <v>239242</v>
      </c>
      <c r="J787" s="281">
        <f>ROUND(BE67,0)</f>
        <v>531542</v>
      </c>
      <c r="K787" s="281">
        <f>ROUND(BE68,0)</f>
        <v>7971</v>
      </c>
      <c r="L787" s="281">
        <f>ROUND(BE70,0)</f>
        <v>0</v>
      </c>
      <c r="M787" s="281">
        <f>ROUND(BE71,0)</f>
        <v>1562415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">
      <c r="A788" s="209" t="str">
        <f>RIGHT($C$84,3)&amp;"*"&amp;RIGHT($C$83,4)&amp;"*"&amp;BF$55&amp;"*"&amp;"A"</f>
        <v>lth*173*8460*A</v>
      </c>
      <c r="B788" s="281"/>
      <c r="C788" s="284">
        <f>ROUND(BF60,2)</f>
        <v>9.0500000000000007</v>
      </c>
      <c r="D788" s="281">
        <f>ROUND(BF61,0)</f>
        <v>315428</v>
      </c>
      <c r="E788" s="281">
        <f>ROUND(BF62,0)</f>
        <v>72495</v>
      </c>
      <c r="F788" s="281">
        <f>ROUND(BF63,0)</f>
        <v>0</v>
      </c>
      <c r="G788" s="281">
        <f>ROUND(BF64,0)</f>
        <v>61595</v>
      </c>
      <c r="H788" s="281">
        <f>ROUND(BF65,0)</f>
        <v>0</v>
      </c>
      <c r="I788" s="281">
        <f>ROUND(BF66,0)</f>
        <v>4887</v>
      </c>
      <c r="J788" s="281">
        <f>ROUND(BF67,0)</f>
        <v>8752</v>
      </c>
      <c r="K788" s="281">
        <f>ROUND(BF68,0)</f>
        <v>0</v>
      </c>
      <c r="L788" s="281">
        <f>ROUND(BF70,0)</f>
        <v>0</v>
      </c>
      <c r="M788" s="281">
        <f>ROUND(BF71,0)</f>
        <v>463157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">
      <c r="A789" s="209" t="str">
        <f>RIGHT($C$84,3)&amp;"*"&amp;RIGHT($C$83,4)&amp;"*"&amp;BG$55&amp;"*"&amp;"A"</f>
        <v>lth*173*8470*A</v>
      </c>
      <c r="B789" s="281"/>
      <c r="C789" s="284">
        <f>ROUND(BG60,2)</f>
        <v>1</v>
      </c>
      <c r="D789" s="281">
        <f>ROUND(BG61,0)</f>
        <v>58114</v>
      </c>
      <c r="E789" s="281">
        <f>ROUND(BG62,0)</f>
        <v>15768</v>
      </c>
      <c r="F789" s="281">
        <f>ROUND(BG63,0)</f>
        <v>0</v>
      </c>
      <c r="G789" s="281">
        <f>ROUND(BG64,0)</f>
        <v>16921</v>
      </c>
      <c r="H789" s="281">
        <f>ROUND(BG65,0)</f>
        <v>0</v>
      </c>
      <c r="I789" s="281">
        <f>ROUND(BG66,0)</f>
        <v>223534</v>
      </c>
      <c r="J789" s="281">
        <f>ROUND(BG67,0)</f>
        <v>10002</v>
      </c>
      <c r="K789" s="281">
        <f>ROUND(BG68,0)</f>
        <v>0</v>
      </c>
      <c r="L789" s="281">
        <f>ROUND(BG70,0)</f>
        <v>0</v>
      </c>
      <c r="M789" s="281">
        <f>ROUND(BG71,0)</f>
        <v>324339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">
      <c r="A790" s="209" t="str">
        <f>RIGHT($C$84,3)&amp;"*"&amp;RIGHT($C$83,4)&amp;"*"&amp;BH$55&amp;"*"&amp;"A"</f>
        <v>lth*173*8480*A</v>
      </c>
      <c r="B790" s="281"/>
      <c r="C790" s="284">
        <f>ROUND(BH60,2)</f>
        <v>3.43</v>
      </c>
      <c r="D790" s="281">
        <f>ROUND(BH61,0)</f>
        <v>512095</v>
      </c>
      <c r="E790" s="281">
        <f>ROUND(BH62,0)</f>
        <v>122913</v>
      </c>
      <c r="F790" s="281">
        <f>ROUND(BH63,0)</f>
        <v>0</v>
      </c>
      <c r="G790" s="281">
        <f>ROUND(BH64,0)</f>
        <v>96348</v>
      </c>
      <c r="H790" s="281">
        <f>ROUND(BH65,0)</f>
        <v>219774</v>
      </c>
      <c r="I790" s="281">
        <f>ROUND(BH66,0)</f>
        <v>947656</v>
      </c>
      <c r="J790" s="281">
        <f>ROUND(BH67,0)</f>
        <v>1755</v>
      </c>
      <c r="K790" s="281">
        <f>ROUND(BH68,0)</f>
        <v>0</v>
      </c>
      <c r="L790" s="281">
        <f>ROUND(BH70,0)</f>
        <v>0</v>
      </c>
      <c r="M790" s="281">
        <f>ROUND(BH71,0)</f>
        <v>1900541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">
      <c r="A791" s="209" t="str">
        <f>RIGHT($C$84,3)&amp;"*"&amp;RIGHT($C$83,4)&amp;"*"&amp;BI$55&amp;"*"&amp;"A"</f>
        <v>lth*173*8490*A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50600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">
      <c r="A792" s="209" t="str">
        <f>RIGHT($C$84,3)&amp;"*"&amp;RIGHT($C$83,4)&amp;"*"&amp;BJ$55&amp;"*"&amp;"A"</f>
        <v>lth*173*8510*A</v>
      </c>
      <c r="B792" s="281"/>
      <c r="C792" s="284">
        <f>ROUND(BJ60,2)</f>
        <v>3</v>
      </c>
      <c r="D792" s="281">
        <f>ROUND(BJ61,0)</f>
        <v>237597</v>
      </c>
      <c r="E792" s="281">
        <f>ROUND(BJ62,0)</f>
        <v>64918</v>
      </c>
      <c r="F792" s="281">
        <f>ROUND(BJ63,0)</f>
        <v>53943</v>
      </c>
      <c r="G792" s="281">
        <f>ROUND(BJ64,0)</f>
        <v>1168</v>
      </c>
      <c r="H792" s="281">
        <f>ROUND(BJ65,0)</f>
        <v>0</v>
      </c>
      <c r="I792" s="281">
        <f>ROUND(BJ66,0)</f>
        <v>6026</v>
      </c>
      <c r="J792" s="281">
        <f>ROUND(BJ67,0)</f>
        <v>30049</v>
      </c>
      <c r="K792" s="281">
        <f>ROUND(BJ68,0)</f>
        <v>0</v>
      </c>
      <c r="L792" s="281">
        <f>ROUND(BJ70,0)</f>
        <v>0</v>
      </c>
      <c r="M792" s="281">
        <f>ROUND(BJ71,0)</f>
        <v>393701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">
      <c r="A793" s="209" t="str">
        <f>RIGHT($C$84,3)&amp;"*"&amp;RIGHT($C$83,4)&amp;"*"&amp;BK$55&amp;"*"&amp;"A"</f>
        <v>lth*173*8530*A</v>
      </c>
      <c r="B793" s="281"/>
      <c r="C793" s="284">
        <f>ROUND(BK60,2)</f>
        <v>11.04</v>
      </c>
      <c r="D793" s="281">
        <f>ROUND(BK61,0)</f>
        <v>547667</v>
      </c>
      <c r="E793" s="281">
        <f>ROUND(BK62,0)</f>
        <v>135677</v>
      </c>
      <c r="F793" s="281">
        <f>ROUND(BK63,0)</f>
        <v>265329</v>
      </c>
      <c r="G793" s="281">
        <f>ROUND(BK64,0)</f>
        <v>3252</v>
      </c>
      <c r="H793" s="281">
        <f>ROUND(BK65,0)</f>
        <v>0</v>
      </c>
      <c r="I793" s="281">
        <f>ROUND(BK66,0)</f>
        <v>16036</v>
      </c>
      <c r="J793" s="281">
        <f>ROUND(BK67,0)</f>
        <v>30049</v>
      </c>
      <c r="K793" s="281">
        <f>ROUND(BK68,0)</f>
        <v>3642</v>
      </c>
      <c r="L793" s="281">
        <f>ROUND(BK70,0)</f>
        <v>0</v>
      </c>
      <c r="M793" s="281">
        <f>ROUND(BK71,0)</f>
        <v>1001652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">
      <c r="A794" s="209" t="str">
        <f>RIGHT($C$84,3)&amp;"*"&amp;RIGHT($C$83,4)&amp;"*"&amp;BL$55&amp;"*"&amp;"A"</f>
        <v>lth*173*8560*A</v>
      </c>
      <c r="B794" s="281"/>
      <c r="C794" s="284">
        <f>ROUND(BL60,2)</f>
        <v>9.3800000000000008</v>
      </c>
      <c r="D794" s="281">
        <f>ROUND(BL61,0)</f>
        <v>355008</v>
      </c>
      <c r="E794" s="281">
        <f>ROUND(BL62,0)</f>
        <v>87789</v>
      </c>
      <c r="F794" s="281">
        <f>ROUND(BL63,0)</f>
        <v>0</v>
      </c>
      <c r="G794" s="281">
        <f>ROUND(BL64,0)</f>
        <v>7323</v>
      </c>
      <c r="H794" s="281">
        <f>ROUND(BL65,0)</f>
        <v>0</v>
      </c>
      <c r="I794" s="281">
        <f>ROUND(BL66,0)</f>
        <v>8007</v>
      </c>
      <c r="J794" s="281">
        <f>ROUND(BL67,0)</f>
        <v>13511</v>
      </c>
      <c r="K794" s="281">
        <f>ROUND(BL68,0)</f>
        <v>0</v>
      </c>
      <c r="L794" s="281">
        <f>ROUND(BL70,0)</f>
        <v>0</v>
      </c>
      <c r="M794" s="281">
        <f>ROUND(BL71,0)</f>
        <v>471638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">
      <c r="A795" s="209" t="str">
        <f>RIGHT($C$84,3)&amp;"*"&amp;RIGHT($C$83,4)&amp;"*"&amp;BM$55&amp;"*"&amp;"A"</f>
        <v>lth*173*8590*A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">
      <c r="A796" s="209" t="str">
        <f>RIGHT($C$84,3)&amp;"*"&amp;RIGHT($C$83,4)&amp;"*"&amp;BN$55&amp;"*"&amp;"A"</f>
        <v>lth*173*8610*A</v>
      </c>
      <c r="B796" s="281"/>
      <c r="C796" s="284">
        <f>ROUND(BN60,2)</f>
        <v>3.22</v>
      </c>
      <c r="D796" s="281">
        <f>ROUND(BN61,0)</f>
        <v>609869</v>
      </c>
      <c r="E796" s="281">
        <f>ROUND(BN62,0)</f>
        <v>144470</v>
      </c>
      <c r="F796" s="281">
        <f>ROUND(BN63,0)</f>
        <v>57824</v>
      </c>
      <c r="G796" s="281">
        <f>ROUND(BN64,0)</f>
        <v>9541</v>
      </c>
      <c r="H796" s="281">
        <f>ROUND(BN65,0)</f>
        <v>0</v>
      </c>
      <c r="I796" s="281">
        <f>ROUND(BN66,0)</f>
        <v>81404</v>
      </c>
      <c r="J796" s="281">
        <f>ROUND(BN67,0)</f>
        <v>19543</v>
      </c>
      <c r="K796" s="281">
        <f>ROUND(BN68,0)</f>
        <v>0</v>
      </c>
      <c r="L796" s="281">
        <f>ROUND(BN70,0)</f>
        <v>0</v>
      </c>
      <c r="M796" s="281">
        <f>ROUND(BN71,0)</f>
        <v>922651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">
      <c r="A797" s="209" t="str">
        <f>RIGHT($C$84,3)&amp;"*"&amp;RIGHT($C$83,4)&amp;"*"&amp;BO$55&amp;"*"&amp;"A"</f>
        <v>lth*173*8620*A</v>
      </c>
      <c r="B797" s="281"/>
      <c r="C797" s="284">
        <f>ROUND(BO60,2)</f>
        <v>1</v>
      </c>
      <c r="D797" s="281">
        <f>ROUND(BO61,0)</f>
        <v>73136</v>
      </c>
      <c r="E797" s="281">
        <f>ROUND(BO62,0)</f>
        <v>19663</v>
      </c>
      <c r="F797" s="281">
        <f>ROUND(BO63,0)</f>
        <v>2324</v>
      </c>
      <c r="G797" s="281">
        <f>ROUND(BO64,0)</f>
        <v>9411</v>
      </c>
      <c r="H797" s="281">
        <f>ROUND(BO65,0)</f>
        <v>0</v>
      </c>
      <c r="I797" s="281">
        <f>ROUND(BO66,0)</f>
        <v>8720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113254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">
      <c r="A798" s="209" t="str">
        <f>RIGHT($C$84,3)&amp;"*"&amp;RIGHT($C$83,4)&amp;"*"&amp;BP$55&amp;"*"&amp;"A"</f>
        <v>lth*173*8630*A</v>
      </c>
      <c r="B798" s="281"/>
      <c r="C798" s="284">
        <f>ROUND(BP60,2)</f>
        <v>0</v>
      </c>
      <c r="D798" s="281">
        <f>ROUND(BP61,0)</f>
        <v>0</v>
      </c>
      <c r="E798" s="281">
        <f>ROUND(BP62,0)</f>
        <v>0</v>
      </c>
      <c r="F798" s="281">
        <f>ROUND(BP63,0)</f>
        <v>0</v>
      </c>
      <c r="G798" s="281">
        <f>ROUND(BP64,0)</f>
        <v>0</v>
      </c>
      <c r="H798" s="281">
        <f>ROUND(BP65,0)</f>
        <v>0</v>
      </c>
      <c r="I798" s="281">
        <f>ROUND(BP66,0)</f>
        <v>0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0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">
      <c r="A799" s="209" t="str">
        <f>RIGHT($C$84,3)&amp;"*"&amp;RIGHT($C$83,4)&amp;"*"&amp;BQ$55&amp;"*"&amp;"A"</f>
        <v>lth*173*8640*A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">
      <c r="A800" s="209" t="str">
        <f>RIGHT($C$84,3)&amp;"*"&amp;RIGHT($C$83,4)&amp;"*"&amp;BR$55&amp;"*"&amp;"A"</f>
        <v>lth*173*8650*A</v>
      </c>
      <c r="B800" s="281"/>
      <c r="C800" s="284">
        <f>ROUND(BR60,2)</f>
        <v>3</v>
      </c>
      <c r="D800" s="281">
        <f>ROUND(BR61,0)</f>
        <v>291423</v>
      </c>
      <c r="E800" s="281">
        <f>ROUND(BR62,0)</f>
        <v>81349</v>
      </c>
      <c r="F800" s="281">
        <f>ROUND(BR63,0)</f>
        <v>6934</v>
      </c>
      <c r="G800" s="281">
        <f>ROUND(BR64,0)</f>
        <v>3706</v>
      </c>
      <c r="H800" s="281">
        <f>ROUND(BR65,0)</f>
        <v>0</v>
      </c>
      <c r="I800" s="281">
        <f>ROUND(BR66,0)</f>
        <v>31056</v>
      </c>
      <c r="J800" s="281">
        <f>ROUND(BR67,0)</f>
        <v>12327</v>
      </c>
      <c r="K800" s="281">
        <f>ROUND(BR68,0)</f>
        <v>0</v>
      </c>
      <c r="L800" s="281">
        <f>ROUND(BR70,0)</f>
        <v>0</v>
      </c>
      <c r="M800" s="281">
        <f>ROUND(BR71,0)</f>
        <v>426795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">
      <c r="A801" s="209" t="str">
        <f>RIGHT($C$84,3)&amp;"*"&amp;RIGHT($C$83,4)&amp;"*"&amp;BS$55&amp;"*"&amp;"A"</f>
        <v>lth*173*8660*A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">
      <c r="A802" s="209" t="str">
        <f>RIGHT($C$84,3)&amp;"*"&amp;RIGHT($C$83,4)&amp;"*"&amp;BT$55&amp;"*"&amp;"A"</f>
        <v>lth*173*8670*A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">
      <c r="A803" s="209" t="str">
        <f>RIGHT($C$84,3)&amp;"*"&amp;RIGHT($C$83,4)&amp;"*"&amp;BU$55&amp;"*"&amp;"A"</f>
        <v>lth*173*8680*A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">
      <c r="A804" s="209" t="str">
        <f>RIGHT($C$84,3)&amp;"*"&amp;RIGHT($C$83,4)&amp;"*"&amp;BV$55&amp;"*"&amp;"A"</f>
        <v>lth*173*8690*A</v>
      </c>
      <c r="B804" s="281"/>
      <c r="C804" s="284">
        <f>ROUND(BV60,2)</f>
        <v>3.28</v>
      </c>
      <c r="D804" s="281">
        <f>ROUND(BV61,0)</f>
        <v>137993</v>
      </c>
      <c r="E804" s="281">
        <f>ROUND(BV62,0)</f>
        <v>32434</v>
      </c>
      <c r="F804" s="281">
        <f>ROUND(BV63,0)</f>
        <v>0</v>
      </c>
      <c r="G804" s="281">
        <f>ROUND(BV64,0)</f>
        <v>2793</v>
      </c>
      <c r="H804" s="281">
        <f>ROUND(BV65,0)</f>
        <v>0</v>
      </c>
      <c r="I804" s="281">
        <f>ROUND(BV66,0)</f>
        <v>23645</v>
      </c>
      <c r="J804" s="281">
        <f>ROUND(BV67,0)</f>
        <v>24873</v>
      </c>
      <c r="K804" s="281">
        <f>ROUND(BV68,0)</f>
        <v>0</v>
      </c>
      <c r="L804" s="281">
        <f>ROUND(BV70,0)</f>
        <v>0</v>
      </c>
      <c r="M804" s="281">
        <f>ROUND(BV71,0)</f>
        <v>221738</v>
      </c>
      <c r="N804" s="281"/>
      <c r="O804" s="281"/>
      <c r="P804" s="281">
        <f>IF(BV77&gt;0,ROUND(BV77,0),0)</f>
        <v>0</v>
      </c>
      <c r="Q804" s="281">
        <f>IF(BV78&gt;0,ROUND(BV78,0),0)</f>
        <v>1000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">
      <c r="A805" s="209" t="str">
        <f>RIGHT($C$84,3)&amp;"*"&amp;RIGHT($C$83,4)&amp;"*"&amp;BW$55&amp;"*"&amp;"A"</f>
        <v>lth*173*8700*A</v>
      </c>
      <c r="B805" s="281"/>
      <c r="C805" s="284">
        <f>ROUND(BW60,2)</f>
        <v>0</v>
      </c>
      <c r="D805" s="281">
        <f>ROUND(BW61,0)</f>
        <v>0</v>
      </c>
      <c r="E805" s="281">
        <f>ROUND(BW62,0)</f>
        <v>0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">
      <c r="A806" s="209" t="str">
        <f>RIGHT($C$84,3)&amp;"*"&amp;RIGHT($C$83,4)&amp;"*"&amp;BX$55&amp;"*"&amp;"A"</f>
        <v>lth*173*8710*A</v>
      </c>
      <c r="B806" s="281"/>
      <c r="C806" s="284">
        <f>ROUND(BX60,2)</f>
        <v>1</v>
      </c>
      <c r="D806" s="281">
        <f>ROUND(BX61,0)</f>
        <v>113874</v>
      </c>
      <c r="E806" s="281">
        <f>ROUND(BX62,0)</f>
        <v>30543</v>
      </c>
      <c r="F806" s="281">
        <f>ROUND(BX63,0)</f>
        <v>11289</v>
      </c>
      <c r="G806" s="281">
        <f>ROUND(BX64,0)</f>
        <v>330</v>
      </c>
      <c r="H806" s="281">
        <f>ROUND(BX65,0)</f>
        <v>0</v>
      </c>
      <c r="I806" s="281">
        <f>ROUND(BX66,0)</f>
        <v>1552</v>
      </c>
      <c r="J806" s="281">
        <f>ROUND(BX67,0)</f>
        <v>0</v>
      </c>
      <c r="K806" s="281">
        <f>ROUND(BX68,0)</f>
        <v>0</v>
      </c>
      <c r="L806" s="281">
        <f>ROUND(BX70,0)</f>
        <v>0</v>
      </c>
      <c r="M806" s="281">
        <f>ROUND(BX71,0)</f>
        <v>157588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">
      <c r="A807" s="209" t="str">
        <f>RIGHT($C$84,3)&amp;"*"&amp;RIGHT($C$83,4)&amp;"*"&amp;BY$55&amp;"*"&amp;"A"</f>
        <v>lth*173*8720*A</v>
      </c>
      <c r="B807" s="281"/>
      <c r="C807" s="284">
        <f>ROUND(BY60,2)</f>
        <v>5.47</v>
      </c>
      <c r="D807" s="281">
        <f>ROUND(BY61,0)</f>
        <v>658189</v>
      </c>
      <c r="E807" s="281">
        <f>ROUND(BY62,0)</f>
        <v>167340</v>
      </c>
      <c r="F807" s="281">
        <f>ROUND(BY63,0)</f>
        <v>0</v>
      </c>
      <c r="G807" s="281">
        <f>ROUND(BY64,0)</f>
        <v>9890</v>
      </c>
      <c r="H807" s="281">
        <f>ROUND(BY65,0)</f>
        <v>0</v>
      </c>
      <c r="I807" s="281">
        <f>ROUND(BY66,0)</f>
        <v>30713</v>
      </c>
      <c r="J807" s="281">
        <f>ROUND(BY67,0)</f>
        <v>15507</v>
      </c>
      <c r="K807" s="281">
        <f>ROUND(BY68,0)</f>
        <v>0</v>
      </c>
      <c r="L807" s="281">
        <f>ROUND(BY70,0)</f>
        <v>0</v>
      </c>
      <c r="M807" s="281">
        <f>ROUND(BY71,0)</f>
        <v>881639</v>
      </c>
      <c r="N807" s="281"/>
      <c r="O807" s="281"/>
      <c r="P807" s="281">
        <f>IF(BY77&gt;0,ROUND(BY77,0),0)</f>
        <v>0</v>
      </c>
      <c r="Q807" s="281">
        <f>IF(BY78&gt;0,ROUND(BY78,0),0)</f>
        <v>800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">
      <c r="A808" s="209" t="str">
        <f>RIGHT($C$84,3)&amp;"*"&amp;RIGHT($C$83,4)&amp;"*"&amp;BZ$55&amp;"*"&amp;"A"</f>
        <v>lth*173*8730*A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">
      <c r="A809" s="209" t="str">
        <f>RIGHT($C$84,3)&amp;"*"&amp;RIGHT($C$83,4)&amp;"*"&amp;CA$55&amp;"*"&amp;"A"</f>
        <v>lth*173*8740*A</v>
      </c>
      <c r="B809" s="281"/>
      <c r="C809" s="284">
        <f>ROUND(CA60,2)</f>
        <v>0</v>
      </c>
      <c r="D809" s="281">
        <f>ROUND(CA61,0)</f>
        <v>0</v>
      </c>
      <c r="E809" s="281">
        <f>ROUND(CA62,0)</f>
        <v>0</v>
      </c>
      <c r="F809" s="281">
        <f>ROUND(CA63,0)</f>
        <v>0</v>
      </c>
      <c r="G809" s="281">
        <f>ROUND(CA64,0)</f>
        <v>0</v>
      </c>
      <c r="H809" s="281">
        <f>ROUND(CA65,0)</f>
        <v>0</v>
      </c>
      <c r="I809" s="281">
        <f>ROUND(CA66,0)</f>
        <v>0</v>
      </c>
      <c r="J809" s="281">
        <f>ROUND(CA67,0)</f>
        <v>0</v>
      </c>
      <c r="K809" s="281">
        <f>ROUND(CA68,0)</f>
        <v>0</v>
      </c>
      <c r="L809" s="281">
        <f>ROUND(CA70,0)</f>
        <v>0</v>
      </c>
      <c r="M809" s="281">
        <f>ROUND(CA71,0)</f>
        <v>0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">
      <c r="A810" s="209" t="str">
        <f>RIGHT($C$84,3)&amp;"*"&amp;RIGHT($C$83,4)&amp;"*"&amp;CB$55&amp;"*"&amp;"A"</f>
        <v>lth*173*8770*A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">
      <c r="A811" s="209" t="str">
        <f>RIGHT($C$84,3)&amp;"*"&amp;RIGHT($C$83,4)&amp;"*"&amp;CC$55&amp;"*"&amp;"A"</f>
        <v>lth*173*8790*A</v>
      </c>
      <c r="B811" s="281"/>
      <c r="C811" s="284">
        <f>ROUND(CC60,2)</f>
        <v>0</v>
      </c>
      <c r="D811" s="281">
        <f>ROUND(CC61,0)</f>
        <v>761951</v>
      </c>
      <c r="E811" s="281">
        <f>ROUND(CC62,0)</f>
        <v>106305</v>
      </c>
      <c r="F811" s="281">
        <f>ROUND(CC63,0)</f>
        <v>61417</v>
      </c>
      <c r="G811" s="281">
        <f>ROUND(CC64,0)</f>
        <v>281876</v>
      </c>
      <c r="H811" s="281">
        <f>ROUND(CC65,0)</f>
        <v>8224</v>
      </c>
      <c r="I811" s="281">
        <f>ROUND(CC66,0)</f>
        <v>0</v>
      </c>
      <c r="J811" s="281">
        <f>ROUND(CC67,0)</f>
        <v>0</v>
      </c>
      <c r="K811" s="281">
        <f>ROUND(CC68,0)</f>
        <v>46074</v>
      </c>
      <c r="L811" s="281">
        <f>ROUND(CC70,0)</f>
        <v>0</v>
      </c>
      <c r="M811" s="281">
        <f>ROUND(CC71,0)</f>
        <v>1875381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">
      <c r="A812" s="209" t="str">
        <f>RIGHT($C$84,3)&amp;"*"&amp;RIGHT($C$83,4)&amp;"*"&amp;"9000"&amp;"*"&amp;"A"</f>
        <v>lth*173*9000*A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5564336</v>
      </c>
      <c r="V812" s="180">
        <f>ROUND(CD69,0)</f>
        <v>897594</v>
      </c>
      <c r="W812" s="180">
        <f>ROUND(CD71,0)</f>
        <v>-4666742</v>
      </c>
      <c r="X812" s="281">
        <f>ROUND(CE73,0)</f>
        <v>7430722</v>
      </c>
      <c r="Y812" s="281">
        <f>ROUND(C132,0)</f>
        <v>0</v>
      </c>
      <c r="Z812" s="281"/>
    </row>
    <row r="814" spans="1:26" ht="12.65" customHeight="1" x14ac:dyDescent="0.3">
      <c r="B814" s="199" t="s">
        <v>1004</v>
      </c>
      <c r="C814" s="263">
        <f t="shared" ref="C814:K814" si="22">SUM(C733:C812)</f>
        <v>176.27</v>
      </c>
      <c r="D814" s="180">
        <f t="shared" si="22"/>
        <v>17202430</v>
      </c>
      <c r="E814" s="180">
        <f t="shared" si="22"/>
        <v>3929505</v>
      </c>
      <c r="F814" s="180">
        <f t="shared" si="22"/>
        <v>1703174</v>
      </c>
      <c r="G814" s="180">
        <f t="shared" si="22"/>
        <v>2072897</v>
      </c>
      <c r="H814" s="180">
        <f t="shared" si="22"/>
        <v>517969</v>
      </c>
      <c r="I814" s="180">
        <f t="shared" si="22"/>
        <v>3077575</v>
      </c>
      <c r="J814" s="180">
        <f t="shared" si="22"/>
        <v>1720481</v>
      </c>
      <c r="K814" s="180">
        <f t="shared" si="22"/>
        <v>223327</v>
      </c>
      <c r="L814" s="180">
        <f>SUM(L733:L812)+SUM(U733:U812)</f>
        <v>5564336</v>
      </c>
      <c r="M814" s="180">
        <f>SUM(M733:M812)+SUM(W733:W812)</f>
        <v>26390150</v>
      </c>
      <c r="N814" s="180">
        <f t="shared" ref="N814:Z814" si="23">SUM(N733:N812)</f>
        <v>42374</v>
      </c>
      <c r="O814" s="180">
        <f t="shared" si="23"/>
        <v>33555217</v>
      </c>
      <c r="P814" s="180">
        <f t="shared" si="23"/>
        <v>33412</v>
      </c>
      <c r="Q814" s="180">
        <f t="shared" si="23"/>
        <v>40300</v>
      </c>
      <c r="R814" s="180">
        <f t="shared" si="23"/>
        <v>148000</v>
      </c>
      <c r="S814" s="180">
        <f t="shared" si="23"/>
        <v>43</v>
      </c>
      <c r="T814" s="263">
        <f t="shared" si="23"/>
        <v>0</v>
      </c>
      <c r="U814" s="180">
        <f t="shared" si="23"/>
        <v>5564336</v>
      </c>
      <c r="V814" s="180">
        <f t="shared" si="23"/>
        <v>897594</v>
      </c>
      <c r="W814" s="180">
        <f t="shared" si="23"/>
        <v>-4666742</v>
      </c>
      <c r="X814" s="180">
        <f t="shared" si="23"/>
        <v>7430722</v>
      </c>
      <c r="Y814" s="180">
        <f t="shared" si="23"/>
        <v>0</v>
      </c>
      <c r="Z814" s="180">
        <f t="shared" si="23"/>
        <v>7325496</v>
      </c>
    </row>
    <row r="815" spans="1:26" ht="12.65" customHeight="1" x14ac:dyDescent="0.3">
      <c r="B815" s="180" t="s">
        <v>1005</v>
      </c>
      <c r="C815" s="263">
        <f>CE60</f>
        <v>176.27</v>
      </c>
      <c r="D815" s="180">
        <f>CE61</f>
        <v>17202430</v>
      </c>
      <c r="E815" s="180">
        <f>CE62</f>
        <v>3929505</v>
      </c>
      <c r="F815" s="180">
        <f>CE63</f>
        <v>1703174</v>
      </c>
      <c r="G815" s="180">
        <f>CE64</f>
        <v>2072897</v>
      </c>
      <c r="H815" s="240">
        <f>CE65</f>
        <v>517969</v>
      </c>
      <c r="I815" s="240">
        <f>CE66</f>
        <v>3077575</v>
      </c>
      <c r="J815" s="240">
        <f>CE67</f>
        <v>1720481</v>
      </c>
      <c r="K815" s="240">
        <f>CE68</f>
        <v>223327</v>
      </c>
      <c r="L815" s="240">
        <f>CE70</f>
        <v>5564336</v>
      </c>
      <c r="M815" s="240">
        <f>CE71</f>
        <v>26390150</v>
      </c>
      <c r="N815" s="180">
        <f>CE76</f>
        <v>78440</v>
      </c>
      <c r="O815" s="180">
        <f>CE74</f>
        <v>33555217</v>
      </c>
      <c r="P815" s="180">
        <f>CE77</f>
        <v>33412</v>
      </c>
      <c r="Q815" s="180">
        <f>CE78</f>
        <v>40300</v>
      </c>
      <c r="R815" s="180">
        <f>CE79</f>
        <v>148000</v>
      </c>
      <c r="S815" s="180">
        <f>CE80</f>
        <v>42.78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7236328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17202430</v>
      </c>
      <c r="G816" s="240">
        <f>C379</f>
        <v>3929506</v>
      </c>
      <c r="H816" s="240">
        <f>C380</f>
        <v>1703174</v>
      </c>
      <c r="I816" s="240">
        <f>C381</f>
        <v>2072897</v>
      </c>
      <c r="J816" s="240">
        <f>C382</f>
        <v>517969</v>
      </c>
      <c r="K816" s="240">
        <f>C383</f>
        <v>3077575</v>
      </c>
      <c r="L816" s="240">
        <f>C384+C385+C386+C388</f>
        <v>2599499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Arbor Health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H-173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521 Adams Ave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1138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Morton, WA 98356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5" sqref="D5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H-173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Arbor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Leianne Everett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Richard Boggess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Tom Herrin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360-496-5112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360-496-3511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195</v>
      </c>
      <c r="G23" s="21">
        <f>data!D111</f>
        <v>803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78</v>
      </c>
      <c r="G24" s="21">
        <f>data!D112</f>
        <v>1343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15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1780729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Arbor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135</v>
      </c>
      <c r="C7" s="48">
        <f>data!B139</f>
        <v>532</v>
      </c>
      <c r="D7" s="48">
        <f>data!B140</f>
        <v>10955</v>
      </c>
      <c r="E7" s="48">
        <f>data!B141</f>
        <v>3642250</v>
      </c>
      <c r="F7" s="48">
        <f>data!B142</f>
        <v>20546548</v>
      </c>
      <c r="G7" s="48">
        <f>data!B141+data!B142</f>
        <v>24188798</v>
      </c>
    </row>
    <row r="8" spans="1:13" ht="20.149999999999999" customHeight="1" x14ac:dyDescent="0.35">
      <c r="A8" s="23" t="s">
        <v>297</v>
      </c>
      <c r="B8" s="48">
        <f>data!C138</f>
        <v>25</v>
      </c>
      <c r="C8" s="48">
        <f>data!C139</f>
        <v>70</v>
      </c>
      <c r="D8" s="48">
        <f>data!C140</f>
        <v>4058</v>
      </c>
      <c r="E8" s="48">
        <f>data!C141</f>
        <v>617903</v>
      </c>
      <c r="F8" s="48">
        <f>data!C142</f>
        <v>7609832</v>
      </c>
      <c r="G8" s="48">
        <f>data!C141+data!C142</f>
        <v>8227735</v>
      </c>
    </row>
    <row r="9" spans="1:13" ht="20.149999999999999" customHeight="1" x14ac:dyDescent="0.35">
      <c r="A9" s="23" t="s">
        <v>1058</v>
      </c>
      <c r="B9" s="48">
        <f>data!D138</f>
        <v>35</v>
      </c>
      <c r="C9" s="48">
        <f>data!D139</f>
        <v>201</v>
      </c>
      <c r="D9" s="48">
        <f>data!D140</f>
        <v>5275</v>
      </c>
      <c r="E9" s="48">
        <f>data!D141</f>
        <v>1510742</v>
      </c>
      <c r="F9" s="48">
        <f>data!D142</f>
        <v>9892782</v>
      </c>
      <c r="G9" s="48">
        <f>data!D141+data!D142</f>
        <v>11403524</v>
      </c>
    </row>
    <row r="10" spans="1:13" ht="20.149999999999999" customHeight="1" x14ac:dyDescent="0.35">
      <c r="A10" s="111" t="s">
        <v>203</v>
      </c>
      <c r="B10" s="48">
        <f>data!E138</f>
        <v>195</v>
      </c>
      <c r="C10" s="48">
        <f>data!E139</f>
        <v>803</v>
      </c>
      <c r="D10" s="48">
        <f>data!E140</f>
        <v>20288</v>
      </c>
      <c r="E10" s="48">
        <f>data!E141</f>
        <v>5770895</v>
      </c>
      <c r="F10" s="48">
        <f>data!E142</f>
        <v>38049162</v>
      </c>
      <c r="G10" s="48">
        <f>data!E141+data!E142</f>
        <v>43820057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63</v>
      </c>
      <c r="C16" s="48">
        <f>data!B145</f>
        <v>979</v>
      </c>
      <c r="D16" s="48">
        <f>data!B146</f>
        <v>0</v>
      </c>
      <c r="E16" s="48">
        <f>data!B147</f>
        <v>1512746</v>
      </c>
      <c r="F16" s="48">
        <f>data!B148</f>
        <v>0</v>
      </c>
      <c r="G16" s="48">
        <f>data!B147+data!B148</f>
        <v>1512746</v>
      </c>
    </row>
    <row r="17" spans="1:7" ht="20.149999999999999" customHeight="1" x14ac:dyDescent="0.35">
      <c r="A17" s="23" t="s">
        <v>297</v>
      </c>
      <c r="B17" s="48">
        <f>data!C144</f>
        <v>8</v>
      </c>
      <c r="C17" s="48">
        <f>data!C145</f>
        <v>223</v>
      </c>
      <c r="D17" s="48">
        <f>data!C146</f>
        <v>0</v>
      </c>
      <c r="E17" s="48">
        <f>data!C147</f>
        <v>560276</v>
      </c>
      <c r="F17" s="48">
        <f>data!C148</f>
        <v>0</v>
      </c>
      <c r="G17" s="48">
        <f>data!C147+data!C148</f>
        <v>560276</v>
      </c>
    </row>
    <row r="18" spans="1:7" ht="20.149999999999999" customHeight="1" x14ac:dyDescent="0.35">
      <c r="A18" s="23" t="s">
        <v>1058</v>
      </c>
      <c r="B18" s="48">
        <f>data!D144</f>
        <v>7</v>
      </c>
      <c r="C18" s="48">
        <f>data!D145</f>
        <v>141</v>
      </c>
      <c r="D18" s="48">
        <f>data!D146</f>
        <v>0</v>
      </c>
      <c r="E18" s="48">
        <f>data!D147</f>
        <v>728360</v>
      </c>
      <c r="F18" s="48">
        <f>data!D148</f>
        <v>0</v>
      </c>
      <c r="G18" s="48">
        <f>data!D147+data!D148</f>
        <v>728360</v>
      </c>
    </row>
    <row r="19" spans="1:7" ht="20.149999999999999" customHeight="1" x14ac:dyDescent="0.35">
      <c r="A19" s="111" t="s">
        <v>203</v>
      </c>
      <c r="B19" s="48">
        <f>data!E144</f>
        <v>78</v>
      </c>
      <c r="C19" s="48">
        <f>data!E145</f>
        <v>1343</v>
      </c>
      <c r="D19" s="48">
        <f>data!E146</f>
        <v>0</v>
      </c>
      <c r="E19" s="48">
        <f>data!E147</f>
        <v>2801382</v>
      </c>
      <c r="F19" s="48">
        <f>data!E148</f>
        <v>0</v>
      </c>
      <c r="G19" s="48">
        <f>data!E147+data!E148</f>
        <v>2801382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2233751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2217222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Arbor Health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1130272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-102884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277356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1966789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116318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571382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184530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4143763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253016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253016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110493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136454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246947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9793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282760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22744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315297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426765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426765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Arbor Health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998600</v>
      </c>
      <c r="D7" s="21">
        <f>data!C195</f>
        <v>0</v>
      </c>
      <c r="E7" s="21">
        <f>data!D195</f>
        <v>0</v>
      </c>
      <c r="F7" s="21">
        <f>data!E195</f>
        <v>998600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1426739</v>
      </c>
      <c r="D8" s="21">
        <f>data!C196</f>
        <v>0</v>
      </c>
      <c r="E8" s="21">
        <f>data!D196</f>
        <v>0</v>
      </c>
      <c r="F8" s="21">
        <f>data!E196</f>
        <v>1426739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17436121</v>
      </c>
      <c r="D9" s="21">
        <f>data!C197</f>
        <v>3249854</v>
      </c>
      <c r="E9" s="21">
        <f>data!D197</f>
        <v>0</v>
      </c>
      <c r="F9" s="21">
        <f>data!E197</f>
        <v>20685975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2677876</v>
      </c>
      <c r="D11" s="21">
        <f>data!C199</f>
        <v>0</v>
      </c>
      <c r="E11" s="21">
        <f>data!D199</f>
        <v>63456</v>
      </c>
      <c r="F11" s="21">
        <f>data!E199</f>
        <v>2614420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8189866</v>
      </c>
      <c r="D12" s="21">
        <f>data!C200</f>
        <v>659844</v>
      </c>
      <c r="E12" s="21">
        <f>data!D200</f>
        <v>0</v>
      </c>
      <c r="F12" s="21">
        <f>data!E200</f>
        <v>8849710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492571</v>
      </c>
      <c r="D15" s="21">
        <f>data!C203</f>
        <v>0</v>
      </c>
      <c r="E15" s="21">
        <f>data!D203</f>
        <v>380237</v>
      </c>
      <c r="F15" s="21">
        <f>data!E203</f>
        <v>112334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31221773</v>
      </c>
      <c r="D16" s="21">
        <f>data!C204</f>
        <v>3909698</v>
      </c>
      <c r="E16" s="21">
        <f>data!D204</f>
        <v>443693</v>
      </c>
      <c r="F16" s="21">
        <f>data!E204</f>
        <v>34687778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1111492</v>
      </c>
      <c r="D24" s="21">
        <f>data!C209</f>
        <v>47904</v>
      </c>
      <c r="E24" s="21">
        <f>data!D209</f>
        <v>0</v>
      </c>
      <c r="F24" s="21">
        <f>data!E209</f>
        <v>1159396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12459420</v>
      </c>
      <c r="D25" s="21">
        <f>data!C210</f>
        <v>588791</v>
      </c>
      <c r="E25" s="21">
        <f>data!D210</f>
        <v>0</v>
      </c>
      <c r="F25" s="21">
        <f>data!E210</f>
        <v>13048211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1837991</v>
      </c>
      <c r="D27" s="21">
        <f>data!C212</f>
        <v>48966</v>
      </c>
      <c r="E27" s="21">
        <f>data!D212</f>
        <v>0</v>
      </c>
      <c r="F27" s="21">
        <f>data!E212</f>
        <v>1886957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6896571</v>
      </c>
      <c r="D28" s="21">
        <f>data!C213</f>
        <v>191291</v>
      </c>
      <c r="E28" s="21">
        <f>data!D213</f>
        <v>0</v>
      </c>
      <c r="F28" s="21">
        <f>data!E213</f>
        <v>7087862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22305474</v>
      </c>
      <c r="D32" s="21">
        <f>data!C217</f>
        <v>876952</v>
      </c>
      <c r="E32" s="21">
        <f>data!D217</f>
        <v>0</v>
      </c>
      <c r="F32" s="21">
        <f>data!E217</f>
        <v>23182426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Arbor Health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653074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5684480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5132182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494176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4291010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15601848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417768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417768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598810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17271500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Arbor Health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11725277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6796889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2675536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74277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44337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351873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299720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192811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16809648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1593539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1593539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998600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1426739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20685975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2614419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8849710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112334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34687777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23182426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11505351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29908538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Arbor Health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 t="str">
        <f>data!C304</f>
        <v xml:space="preserve"> 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748429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2028284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5311870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1012150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1366865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10467598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1566482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6396313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7962795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1366865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6595930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12845010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12845010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29908538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Arbor Health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8572277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38049163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46621440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653074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15601848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417768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598810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17271500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29349940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2286048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2161271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4447319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33797259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18707786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4143763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1380397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2330582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481941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4199687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1256255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253016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246947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315297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426765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0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33742436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54823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2634456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2689279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2689279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Arbor Health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803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2631408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573305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18617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106227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57195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293612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3680364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2791103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3532701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1917386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5450087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18333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7100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4000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46000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Arbor Health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1343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17360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4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20897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454555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6833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100375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1405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69735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70000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25735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20756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100375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42317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99135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813848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282274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520923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1400686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259583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1822207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1400686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2081790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1296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1000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9000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4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Arbor Health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27138</v>
      </c>
      <c r="E73" s="212"/>
      <c r="F73" s="212"/>
      <c r="G73" s="14">
        <f>data!U59</f>
        <v>52248</v>
      </c>
      <c r="H73" s="14">
        <f>data!V59</f>
        <v>0</v>
      </c>
      <c r="I73" s="14">
        <f>data!W59</f>
        <v>357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1</v>
      </c>
      <c r="E74" s="26">
        <f>data!S60</f>
        <v>0</v>
      </c>
      <c r="F74" s="26">
        <f>data!T60</f>
        <v>0</v>
      </c>
      <c r="G74" s="26">
        <f>data!U60</f>
        <v>8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417970</v>
      </c>
      <c r="E75" s="14">
        <f>data!S61</f>
        <v>293513</v>
      </c>
      <c r="F75" s="14">
        <f>data!T61</f>
        <v>0</v>
      </c>
      <c r="G75" s="14">
        <f>data!U61</f>
        <v>681854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103442</v>
      </c>
      <c r="E76" s="14">
        <f>data!S62</f>
        <v>57748</v>
      </c>
      <c r="F76" s="14">
        <f>data!T62</f>
        <v>0</v>
      </c>
      <c r="G76" s="14">
        <f>data!U62</f>
        <v>155117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6000</v>
      </c>
      <c r="E77" s="14">
        <f>data!S63</f>
        <v>11640</v>
      </c>
      <c r="F77" s="14">
        <f>data!T63</f>
        <v>0</v>
      </c>
      <c r="G77" s="14">
        <f>data!U63</f>
        <v>10106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6065</v>
      </c>
      <c r="E78" s="14">
        <f>data!S64</f>
        <v>202669</v>
      </c>
      <c r="F78" s="14">
        <f>data!T64</f>
        <v>0</v>
      </c>
      <c r="G78" s="14">
        <f>data!U64</f>
        <v>380564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2249</v>
      </c>
      <c r="E80" s="14">
        <f>data!S66</f>
        <v>22722</v>
      </c>
      <c r="F80" s="14">
        <f>data!T66</f>
        <v>0</v>
      </c>
      <c r="G80" s="14">
        <f>data!U66</f>
        <v>410318</v>
      </c>
      <c r="H80" s="14">
        <f>data!V66</f>
        <v>0</v>
      </c>
      <c r="I80" s="14">
        <f>data!W66</f>
        <v>164618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16864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38992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3052</v>
      </c>
      <c r="E83" s="14">
        <f>data!S69</f>
        <v>0</v>
      </c>
      <c r="F83" s="14">
        <f>data!T69</f>
        <v>0</v>
      </c>
      <c r="G83" s="14">
        <f>data!U69</f>
        <v>3281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538778</v>
      </c>
      <c r="E85" s="14">
        <f>data!S71</f>
        <v>588292</v>
      </c>
      <c r="F85" s="14">
        <f>data!T71</f>
        <v>0</v>
      </c>
      <c r="G85" s="14">
        <f>data!U71</f>
        <v>1697096</v>
      </c>
      <c r="H85" s="14">
        <f>data!V71</f>
        <v>0</v>
      </c>
      <c r="I85" s="14">
        <f>data!W71</f>
        <v>164618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7140</v>
      </c>
      <c r="D87" s="48">
        <f>+data!M683</f>
        <v>102336</v>
      </c>
      <c r="E87" s="48">
        <f>+data!M684</f>
        <v>180572</v>
      </c>
      <c r="F87" s="48">
        <f>+data!M685</f>
        <v>0</v>
      </c>
      <c r="G87" s="48">
        <f>+data!M686</f>
        <v>927129</v>
      </c>
      <c r="H87" s="48">
        <f>+data!M687</f>
        <v>0</v>
      </c>
      <c r="I87" s="48">
        <f>+data!M688</f>
        <v>81006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10116</v>
      </c>
      <c r="D88" s="14">
        <f>data!R73</f>
        <v>37337</v>
      </c>
      <c r="E88" s="14">
        <f>data!S73</f>
        <v>10107</v>
      </c>
      <c r="F88" s="14">
        <f>data!T73</f>
        <v>0</v>
      </c>
      <c r="G88" s="14">
        <f>data!U73</f>
        <v>562637</v>
      </c>
      <c r="H88" s="14">
        <f>data!V73</f>
        <v>0</v>
      </c>
      <c r="I88" s="14">
        <f>data!W73</f>
        <v>14727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58831</v>
      </c>
      <c r="D89" s="14">
        <f>data!R74</f>
        <v>489368</v>
      </c>
      <c r="E89" s="14">
        <f>data!S74</f>
        <v>1141112</v>
      </c>
      <c r="F89" s="14">
        <f>data!T74</f>
        <v>0</v>
      </c>
      <c r="G89" s="14">
        <f>data!U74</f>
        <v>5366804</v>
      </c>
      <c r="H89" s="14">
        <f>data!V74</f>
        <v>0</v>
      </c>
      <c r="I89" s="14">
        <f>data!W74</f>
        <v>653752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68947</v>
      </c>
      <c r="D90" s="14">
        <f>data!R75</f>
        <v>526705</v>
      </c>
      <c r="E90" s="14">
        <f>data!S75</f>
        <v>1151219</v>
      </c>
      <c r="F90" s="14">
        <f>data!T75</f>
        <v>0</v>
      </c>
      <c r="G90" s="14">
        <f>data!U75</f>
        <v>5929441</v>
      </c>
      <c r="H90" s="14">
        <f>data!V75</f>
        <v>0</v>
      </c>
      <c r="I90" s="14">
        <f>data!W75</f>
        <v>668479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1053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1000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Arbor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1811</v>
      </c>
      <c r="D105" s="14">
        <f>data!Y59</f>
        <v>6910</v>
      </c>
      <c r="E105" s="14">
        <f>data!Z59</f>
        <v>0</v>
      </c>
      <c r="F105" s="14">
        <f>data!AA59</f>
        <v>0</v>
      </c>
      <c r="G105" s="212"/>
      <c r="H105" s="14">
        <f>data!AC59</f>
        <v>4481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7</v>
      </c>
      <c r="E106" s="26">
        <f>data!Z60</f>
        <v>0</v>
      </c>
      <c r="F106" s="26">
        <f>data!AA60</f>
        <v>0</v>
      </c>
      <c r="G106" s="26">
        <f>data!AB60</f>
        <v>3</v>
      </c>
      <c r="H106" s="26">
        <f>data!AC60</f>
        <v>3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743785</v>
      </c>
      <c r="E107" s="14">
        <f>data!Z61</f>
        <v>0</v>
      </c>
      <c r="F107" s="14">
        <f>data!AA61</f>
        <v>0</v>
      </c>
      <c r="G107" s="14">
        <f>data!AB61</f>
        <v>434454</v>
      </c>
      <c r="H107" s="14">
        <f>data!AC61</f>
        <v>297449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168882</v>
      </c>
      <c r="E108" s="14">
        <f>data!Z62</f>
        <v>0</v>
      </c>
      <c r="F108" s="14">
        <f>data!AA62</f>
        <v>0</v>
      </c>
      <c r="G108" s="14">
        <f>data!AB62</f>
        <v>71741</v>
      </c>
      <c r="H108" s="14">
        <f>data!AC62</f>
        <v>65005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24884</v>
      </c>
      <c r="D110" s="14">
        <f>data!Y64</f>
        <v>22085</v>
      </c>
      <c r="E110" s="14">
        <f>data!Z64</f>
        <v>0</v>
      </c>
      <c r="F110" s="14">
        <f>data!AA64</f>
        <v>0</v>
      </c>
      <c r="G110" s="14">
        <f>data!AB64</f>
        <v>461280</v>
      </c>
      <c r="H110" s="14">
        <f>data!AC64</f>
        <v>34722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26932</v>
      </c>
      <c r="D112" s="14">
        <f>data!Y66</f>
        <v>219069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3247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39286</v>
      </c>
      <c r="E113" s="14">
        <f>data!Z67</f>
        <v>0</v>
      </c>
      <c r="F113" s="14">
        <f>data!AA67</f>
        <v>0</v>
      </c>
      <c r="G113" s="14">
        <f>data!AB67</f>
        <v>7976</v>
      </c>
      <c r="H113" s="14">
        <f>data!AC67</f>
        <v>15887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44215</v>
      </c>
      <c r="H114" s="14">
        <f>data!AC68</f>
        <v>12427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3612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51816</v>
      </c>
      <c r="D117" s="14">
        <f>data!Y71</f>
        <v>1193107</v>
      </c>
      <c r="E117" s="14">
        <f>data!Z71</f>
        <v>0</v>
      </c>
      <c r="F117" s="14">
        <f>data!AA71</f>
        <v>0</v>
      </c>
      <c r="G117" s="14">
        <f>data!AB71</f>
        <v>1023278</v>
      </c>
      <c r="H117" s="14">
        <f>data!AC71</f>
        <v>428737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465116</v>
      </c>
      <c r="D119" s="48">
        <f>+data!M690</f>
        <v>706898</v>
      </c>
      <c r="E119" s="48">
        <f>+data!M691</f>
        <v>0</v>
      </c>
      <c r="F119" s="48">
        <f>+data!M692</f>
        <v>0</v>
      </c>
      <c r="G119" s="48">
        <f>+data!M693</f>
        <v>540919</v>
      </c>
      <c r="H119" s="48">
        <f>+data!M694</f>
        <v>193592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237218</v>
      </c>
      <c r="D120" s="14">
        <f>data!Y73</f>
        <v>136228</v>
      </c>
      <c r="E120" s="14">
        <f>data!Z73</f>
        <v>0</v>
      </c>
      <c r="F120" s="14">
        <f>data!AA73</f>
        <v>0</v>
      </c>
      <c r="G120" s="14">
        <f>data!AB73</f>
        <v>1267767</v>
      </c>
      <c r="H120" s="14">
        <f>data!AC73</f>
        <v>287121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4195554</v>
      </c>
      <c r="D121" s="14">
        <f>data!Y74</f>
        <v>3360472</v>
      </c>
      <c r="E121" s="14">
        <f>data!Z74</f>
        <v>0</v>
      </c>
      <c r="F121" s="14">
        <f>data!AA74</f>
        <v>0</v>
      </c>
      <c r="G121" s="14">
        <f>data!AB74</f>
        <v>1924932</v>
      </c>
      <c r="H121" s="14">
        <f>data!AC74</f>
        <v>676198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4432772</v>
      </c>
      <c r="D122" s="14">
        <f>data!Y75</f>
        <v>3496700</v>
      </c>
      <c r="E122" s="14">
        <f>data!Z75</f>
        <v>0</v>
      </c>
      <c r="F122" s="14">
        <f>data!AA75</f>
        <v>0</v>
      </c>
      <c r="G122" s="14">
        <f>data!AB75</f>
        <v>3192699</v>
      </c>
      <c r="H122" s="14">
        <f>data!AC75</f>
        <v>963319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2453</v>
      </c>
      <c r="E124" s="14">
        <f>data!Z76</f>
        <v>0</v>
      </c>
      <c r="F124" s="14">
        <f>data!AA76</f>
        <v>0</v>
      </c>
      <c r="G124" s="14">
        <f>data!AB76</f>
        <v>498</v>
      </c>
      <c r="H124" s="14">
        <f>data!AC76</f>
        <v>992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2000</v>
      </c>
      <c r="E126" s="14">
        <f>data!Z78</f>
        <v>0</v>
      </c>
      <c r="F126" s="14">
        <f>data!AA78</f>
        <v>0</v>
      </c>
      <c r="G126" s="14">
        <f>data!AB78</f>
        <v>1000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7000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Arbor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19037</v>
      </c>
      <c r="D137" s="14">
        <f>data!AF59</f>
        <v>0</v>
      </c>
      <c r="E137" s="14">
        <f>data!AG59</f>
        <v>4950</v>
      </c>
      <c r="F137" s="14">
        <f>data!AH59</f>
        <v>0</v>
      </c>
      <c r="G137" s="14">
        <f>data!AI59</f>
        <v>0</v>
      </c>
      <c r="H137" s="14">
        <f>data!AJ59</f>
        <v>24096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11</v>
      </c>
      <c r="D138" s="26">
        <f>data!AF60</f>
        <v>0</v>
      </c>
      <c r="E138" s="26">
        <f>data!AG60</f>
        <v>12</v>
      </c>
      <c r="F138" s="26">
        <f>data!AH60</f>
        <v>0</v>
      </c>
      <c r="G138" s="26">
        <f>data!AI60</f>
        <v>0</v>
      </c>
      <c r="H138" s="26">
        <f>data!AJ60</f>
        <v>40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920457</v>
      </c>
      <c r="D139" s="14">
        <f>data!AF61</f>
        <v>0</v>
      </c>
      <c r="E139" s="14">
        <f>data!AG61</f>
        <v>1811866</v>
      </c>
      <c r="F139" s="14">
        <f>data!AH61</f>
        <v>0</v>
      </c>
      <c r="G139" s="14">
        <f>data!AI61</f>
        <v>1339</v>
      </c>
      <c r="H139" s="14">
        <f>data!AJ61</f>
        <v>4071325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208158</v>
      </c>
      <c r="D140" s="14">
        <f>data!AF62</f>
        <v>0</v>
      </c>
      <c r="E140" s="14">
        <f>data!AG62</f>
        <v>384673</v>
      </c>
      <c r="F140" s="14">
        <f>data!AH62</f>
        <v>0</v>
      </c>
      <c r="G140" s="14">
        <f>data!AI62</f>
        <v>320</v>
      </c>
      <c r="H140" s="14">
        <f>data!AJ62</f>
        <v>901177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788835</v>
      </c>
      <c r="F141" s="14">
        <f>data!AH63</f>
        <v>0</v>
      </c>
      <c r="G141" s="14">
        <f>data!AI63</f>
        <v>0</v>
      </c>
      <c r="H141" s="14">
        <f>data!AJ63</f>
        <v>117037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18410</v>
      </c>
      <c r="D142" s="14">
        <f>data!AF64</f>
        <v>0</v>
      </c>
      <c r="E142" s="14">
        <f>data!AG64</f>
        <v>139091</v>
      </c>
      <c r="F142" s="14">
        <f>data!AH64</f>
        <v>0</v>
      </c>
      <c r="G142" s="14">
        <f>data!AI64</f>
        <v>19766</v>
      </c>
      <c r="H142" s="14">
        <f>data!AJ64</f>
        <v>224003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37092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9935</v>
      </c>
      <c r="D144" s="14">
        <f>data!AF66</f>
        <v>0</v>
      </c>
      <c r="E144" s="14">
        <f>data!AG66</f>
        <v>12406</v>
      </c>
      <c r="F144" s="14">
        <f>data!AH66</f>
        <v>293527</v>
      </c>
      <c r="G144" s="14">
        <f>data!AI66</f>
        <v>803</v>
      </c>
      <c r="H144" s="14">
        <f>data!AJ66</f>
        <v>87389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45260</v>
      </c>
      <c r="D145" s="14">
        <f>data!AF67</f>
        <v>0</v>
      </c>
      <c r="E145" s="14">
        <f>data!AG67</f>
        <v>56663</v>
      </c>
      <c r="F145" s="14">
        <f>data!AH67</f>
        <v>0</v>
      </c>
      <c r="G145" s="14">
        <f>data!AI67</f>
        <v>0</v>
      </c>
      <c r="H145" s="14">
        <f>data!AJ67</f>
        <v>129277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500</v>
      </c>
      <c r="D147" s="14">
        <f>data!AF69</f>
        <v>0</v>
      </c>
      <c r="E147" s="14">
        <f>data!AG69</f>
        <v>150</v>
      </c>
      <c r="F147" s="14">
        <f>data!AH69</f>
        <v>0</v>
      </c>
      <c r="G147" s="14">
        <f>data!AI69</f>
        <v>0</v>
      </c>
      <c r="H147" s="14">
        <f>data!AJ69</f>
        <v>21544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1202720</v>
      </c>
      <c r="D149" s="14">
        <f>data!AF71</f>
        <v>0</v>
      </c>
      <c r="E149" s="14">
        <f>data!AG71</f>
        <v>3193684</v>
      </c>
      <c r="F149" s="14">
        <f>data!AH71</f>
        <v>293527</v>
      </c>
      <c r="G149" s="14">
        <f>data!AI71</f>
        <v>22228</v>
      </c>
      <c r="H149" s="14">
        <f>data!AJ71</f>
        <v>5588844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627523</v>
      </c>
      <c r="D151" s="48">
        <f>+data!M697</f>
        <v>0</v>
      </c>
      <c r="E151" s="48">
        <f>+data!M698</f>
        <v>1626700</v>
      </c>
      <c r="F151" s="48">
        <f>+data!M699</f>
        <v>21005</v>
      </c>
      <c r="G151" s="48">
        <f>+data!M700</f>
        <v>12112</v>
      </c>
      <c r="H151" s="48">
        <f>+data!M701</f>
        <v>1619983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494245</v>
      </c>
      <c r="D152" s="14">
        <f>data!AF73</f>
        <v>0</v>
      </c>
      <c r="E152" s="14">
        <f>data!AG73</f>
        <v>304592</v>
      </c>
      <c r="F152" s="14">
        <f>data!AH73</f>
        <v>0</v>
      </c>
      <c r="G152" s="14">
        <f>data!AI73</f>
        <v>17212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2380438</v>
      </c>
      <c r="D153" s="14">
        <f>data!AF74</f>
        <v>0</v>
      </c>
      <c r="E153" s="14">
        <f>data!AG74</f>
        <v>9397271</v>
      </c>
      <c r="F153" s="14">
        <f>data!AH74</f>
        <v>0</v>
      </c>
      <c r="G153" s="14">
        <f>data!AI74</f>
        <v>66256</v>
      </c>
      <c r="H153" s="14">
        <f>data!AJ74</f>
        <v>4598582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2874683</v>
      </c>
      <c r="D154" s="14">
        <f>data!AF75</f>
        <v>0</v>
      </c>
      <c r="E154" s="14">
        <f>data!AG75</f>
        <v>9701863</v>
      </c>
      <c r="F154" s="14">
        <f>data!AH75</f>
        <v>0</v>
      </c>
      <c r="G154" s="14">
        <f>data!AI75</f>
        <v>83468</v>
      </c>
      <c r="H154" s="14">
        <f>data!AJ75</f>
        <v>4598582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2826</v>
      </c>
      <c r="D156" s="14">
        <f>data!AF76</f>
        <v>0</v>
      </c>
      <c r="E156" s="14">
        <f>data!AG76</f>
        <v>3538</v>
      </c>
      <c r="F156" s="14">
        <f>data!AH76</f>
        <v>0</v>
      </c>
      <c r="G156" s="14">
        <f>data!AI76</f>
        <v>0</v>
      </c>
      <c r="H156" s="14">
        <f>data!AJ76</f>
        <v>8072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1000</v>
      </c>
      <c r="D158" s="14">
        <f>data!AF78</f>
        <v>0</v>
      </c>
      <c r="E158" s="14">
        <f>data!AG78</f>
        <v>2000</v>
      </c>
      <c r="F158" s="14">
        <f>data!AH78</f>
        <v>0</v>
      </c>
      <c r="G158" s="14">
        <f>data!AI78</f>
        <v>0</v>
      </c>
      <c r="H158" s="14">
        <f>data!AJ78</f>
        <v>2000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31000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Arbor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Arbor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25800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486995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114061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132067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10508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53059</v>
      </c>
      <c r="G209" s="14">
        <f>data!AW67</f>
        <v>0</v>
      </c>
      <c r="H209" s="14">
        <f>data!AX67</f>
        <v>0</v>
      </c>
      <c r="I209" s="14">
        <f>data!AY67</f>
        <v>45100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7165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53059</v>
      </c>
      <c r="G213" s="14">
        <f>data!AW71</f>
        <v>0</v>
      </c>
      <c r="H213" s="14">
        <f>data!AX71</f>
        <v>0</v>
      </c>
      <c r="I213" s="14">
        <f>data!AY71</f>
        <v>795896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116926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3313</v>
      </c>
      <c r="G220" s="14">
        <f>data!AW76</f>
        <v>0</v>
      </c>
      <c r="H220" s="14">
        <f>data!AX76</f>
        <v>0</v>
      </c>
      <c r="I220" s="85">
        <f>data!AY76</f>
        <v>2816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Arbor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78440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2</v>
      </c>
      <c r="E234" s="26">
        <f>data!BB60</f>
        <v>0</v>
      </c>
      <c r="F234" s="26">
        <f>data!BC60</f>
        <v>1</v>
      </c>
      <c r="G234" s="26">
        <f>data!BD60</f>
        <v>2</v>
      </c>
      <c r="H234" s="26">
        <f>data!BE60</f>
        <v>6</v>
      </c>
      <c r="I234" s="26">
        <f>data!BF60</f>
        <v>10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68599</v>
      </c>
      <c r="E235" s="14">
        <f>data!BB61</f>
        <v>0</v>
      </c>
      <c r="F235" s="14">
        <f>data!BC61</f>
        <v>38006</v>
      </c>
      <c r="G235" s="14">
        <f>data!BD61</f>
        <v>100232</v>
      </c>
      <c r="H235" s="14">
        <f>data!BE61</f>
        <v>467456</v>
      </c>
      <c r="I235" s="14">
        <f>data!BF61</f>
        <v>400172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15455</v>
      </c>
      <c r="E236" s="14">
        <f>data!BB62</f>
        <v>0</v>
      </c>
      <c r="F236" s="14">
        <f>data!BC62</f>
        <v>7799</v>
      </c>
      <c r="G236" s="14">
        <f>data!BD62</f>
        <v>26394</v>
      </c>
      <c r="H236" s="14">
        <f>data!BE62</f>
        <v>96205</v>
      </c>
      <c r="I236" s="14">
        <f>data!BF62</f>
        <v>90998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510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16643</v>
      </c>
      <c r="E238" s="14">
        <f>data!BB64</f>
        <v>0</v>
      </c>
      <c r="F238" s="14">
        <f>data!BC64</f>
        <v>75</v>
      </c>
      <c r="G238" s="14">
        <f>data!BD64</f>
        <v>1489</v>
      </c>
      <c r="H238" s="14">
        <f>data!BE64</f>
        <v>104955</v>
      </c>
      <c r="I238" s="14">
        <f>data!BF64</f>
        <v>55365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4609</v>
      </c>
      <c r="G239" s="14">
        <f>data!BD65</f>
        <v>0</v>
      </c>
      <c r="H239" s="14">
        <f>data!BE65</f>
        <v>285231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3246</v>
      </c>
      <c r="E240" s="14">
        <f>data!BB66</f>
        <v>0</v>
      </c>
      <c r="F240" s="14">
        <f>data!BC66</f>
        <v>1379</v>
      </c>
      <c r="G240" s="14">
        <f>data!BD66</f>
        <v>16540</v>
      </c>
      <c r="H240" s="14">
        <f>data!BE66</f>
        <v>385390</v>
      </c>
      <c r="I240" s="14">
        <f>data!BF66</f>
        <v>5216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10842</v>
      </c>
      <c r="E241" s="14">
        <f>data!BB67</f>
        <v>0</v>
      </c>
      <c r="F241" s="14">
        <f>data!BC67</f>
        <v>0</v>
      </c>
      <c r="G241" s="14">
        <f>data!BD67</f>
        <v>12076</v>
      </c>
      <c r="H241" s="14">
        <f>data!BE67</f>
        <v>388119</v>
      </c>
      <c r="I241" s="14">
        <f>data!BF67</f>
        <v>6390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114785</v>
      </c>
      <c r="E245" s="14">
        <f>data!BB71</f>
        <v>0</v>
      </c>
      <c r="F245" s="14">
        <f>data!BC71</f>
        <v>51868</v>
      </c>
      <c r="G245" s="14">
        <f>data!BD71</f>
        <v>157241</v>
      </c>
      <c r="H245" s="14">
        <f>data!BE71</f>
        <v>1727356</v>
      </c>
      <c r="I245" s="14">
        <f>data!BF71</f>
        <v>558141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677</v>
      </c>
      <c r="E252" s="85">
        <f>data!BB76</f>
        <v>0</v>
      </c>
      <c r="F252" s="85">
        <f>data!BC76</f>
        <v>0</v>
      </c>
      <c r="G252" s="85">
        <f>data!BD76</f>
        <v>754</v>
      </c>
      <c r="H252" s="85">
        <f>data!BE76</f>
        <v>24234</v>
      </c>
      <c r="I252" s="85">
        <f>data!BF76</f>
        <v>399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18700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Arbor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</v>
      </c>
      <c r="D266" s="26">
        <f>data!BH60</f>
        <v>5</v>
      </c>
      <c r="E266" s="26">
        <f>data!BI60</f>
        <v>0</v>
      </c>
      <c r="F266" s="26">
        <f>data!BJ60</f>
        <v>3</v>
      </c>
      <c r="G266" s="26">
        <f>data!BK60</f>
        <v>11</v>
      </c>
      <c r="H266" s="26">
        <f>data!BL60</f>
        <v>11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75459</v>
      </c>
      <c r="D267" s="14">
        <f>data!BH61</f>
        <v>438134</v>
      </c>
      <c r="E267" s="14">
        <f>data!BI61</f>
        <v>0</v>
      </c>
      <c r="F267" s="14">
        <f>data!BJ61</f>
        <v>241677</v>
      </c>
      <c r="G267" s="14">
        <f>data!BK61</f>
        <v>560499</v>
      </c>
      <c r="H267" s="14">
        <f>data!BL61</f>
        <v>433099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19264</v>
      </c>
      <c r="D268" s="14">
        <f>data!BH62</f>
        <v>99458</v>
      </c>
      <c r="E268" s="14">
        <f>data!BI62</f>
        <v>0</v>
      </c>
      <c r="F268" s="14">
        <f>data!BJ62</f>
        <v>63501</v>
      </c>
      <c r="G268" s="14">
        <f>data!BK62</f>
        <v>134108</v>
      </c>
      <c r="H268" s="14">
        <f>data!BL62</f>
        <v>99934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3500</v>
      </c>
      <c r="E269" s="14">
        <f>data!BI63</f>
        <v>0</v>
      </c>
      <c r="F269" s="14">
        <f>data!BJ63</f>
        <v>48173</v>
      </c>
      <c r="G269" s="14">
        <f>data!BK63</f>
        <v>280380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35391</v>
      </c>
      <c r="D270" s="14">
        <f>data!BH64</f>
        <v>90613</v>
      </c>
      <c r="E270" s="14">
        <f>data!BI64</f>
        <v>0</v>
      </c>
      <c r="F270" s="14">
        <f>data!BJ64</f>
        <v>1370</v>
      </c>
      <c r="G270" s="14">
        <f>data!BK64</f>
        <v>3682</v>
      </c>
      <c r="H270" s="14">
        <f>data!BL64</f>
        <v>7577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150263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4361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298539</v>
      </c>
      <c r="D272" s="14">
        <f>data!BH66</f>
        <v>1166906</v>
      </c>
      <c r="E272" s="14">
        <f>data!BI66</f>
        <v>0</v>
      </c>
      <c r="F272" s="14">
        <f>data!BJ66</f>
        <v>3259</v>
      </c>
      <c r="G272" s="14">
        <f>data!BK66</f>
        <v>46563</v>
      </c>
      <c r="H272" s="14">
        <f>data!BL66</f>
        <v>2005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7303</v>
      </c>
      <c r="D273" s="14">
        <f>data!BH67</f>
        <v>1281</v>
      </c>
      <c r="E273" s="14">
        <f>data!BI67</f>
        <v>0</v>
      </c>
      <c r="F273" s="14">
        <f>data!BJ67</f>
        <v>21941</v>
      </c>
      <c r="G273" s="14">
        <f>data!BK67</f>
        <v>21941</v>
      </c>
      <c r="H273" s="14">
        <f>data!BL67</f>
        <v>9866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46696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435956</v>
      </c>
      <c r="D277" s="14">
        <f>data!BH71</f>
        <v>1996851</v>
      </c>
      <c r="E277" s="14">
        <f>data!BI71</f>
        <v>0</v>
      </c>
      <c r="F277" s="14">
        <f>data!BJ71</f>
        <v>379921</v>
      </c>
      <c r="G277" s="14">
        <f>data!BK71</f>
        <v>1047173</v>
      </c>
      <c r="H277" s="14">
        <f>data!BL71</f>
        <v>556842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456</v>
      </c>
      <c r="D284" s="85">
        <f>data!BH76</f>
        <v>80</v>
      </c>
      <c r="E284" s="85">
        <f>data!BI76</f>
        <v>0</v>
      </c>
      <c r="F284" s="85">
        <f>data!BJ76</f>
        <v>1370</v>
      </c>
      <c r="G284" s="85">
        <f>data!BK76</f>
        <v>1370</v>
      </c>
      <c r="H284" s="85">
        <f>data!BL76</f>
        <v>616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Arbor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</v>
      </c>
      <c r="D298" s="26">
        <f>data!BO60</f>
        <v>1</v>
      </c>
      <c r="E298" s="26">
        <f>data!BP60</f>
        <v>0</v>
      </c>
      <c r="F298" s="26">
        <f>data!BQ60</f>
        <v>0</v>
      </c>
      <c r="G298" s="26">
        <f>data!BR60</f>
        <v>4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702574</v>
      </c>
      <c r="D299" s="14">
        <f>data!BO61</f>
        <v>57176</v>
      </c>
      <c r="E299" s="14">
        <f>data!BP61</f>
        <v>0</v>
      </c>
      <c r="F299" s="14">
        <f>data!BQ61</f>
        <v>0</v>
      </c>
      <c r="G299" s="14">
        <f>data!BR61</f>
        <v>365890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167826</v>
      </c>
      <c r="D300" s="14">
        <f>data!BO62</f>
        <v>14228</v>
      </c>
      <c r="E300" s="14">
        <f>data!BP62</f>
        <v>0</v>
      </c>
      <c r="F300" s="14">
        <f>data!BQ62</f>
        <v>0</v>
      </c>
      <c r="G300" s="14">
        <f>data!BR62</f>
        <v>98489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55081</v>
      </c>
      <c r="D301" s="14">
        <f>data!BO63</f>
        <v>5000</v>
      </c>
      <c r="E301" s="14">
        <f>data!BP63</f>
        <v>0</v>
      </c>
      <c r="F301" s="14">
        <f>data!BQ63</f>
        <v>0</v>
      </c>
      <c r="G301" s="14">
        <f>data!BR63</f>
        <v>7030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92141</v>
      </c>
      <c r="D302" s="14">
        <f>data!BO64</f>
        <v>4969</v>
      </c>
      <c r="E302" s="14">
        <f>data!BP64</f>
        <v>0</v>
      </c>
      <c r="F302" s="14">
        <f>data!BQ64</f>
        <v>5460</v>
      </c>
      <c r="G302" s="14">
        <f>data!BR64</f>
        <v>3252</v>
      </c>
      <c r="H302" s="14">
        <f>data!BS64</f>
        <v>13215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249327</v>
      </c>
      <c r="D304" s="14">
        <f>data!BO66</f>
        <v>6010</v>
      </c>
      <c r="E304" s="14">
        <f>data!BP66</f>
        <v>0</v>
      </c>
      <c r="F304" s="14">
        <f>data!BQ66</f>
        <v>391</v>
      </c>
      <c r="G304" s="14">
        <f>data!BR66</f>
        <v>33855</v>
      </c>
      <c r="H304" s="14">
        <f>data!BS66</f>
        <v>7726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14270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9001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652167</v>
      </c>
      <c r="D307" s="14">
        <f>data!BO69</f>
        <v>30161</v>
      </c>
      <c r="E307" s="14">
        <f>data!BP69</f>
        <v>0</v>
      </c>
      <c r="F307" s="14">
        <f>data!BQ69</f>
        <v>0</v>
      </c>
      <c r="G307" s="14">
        <f>data!BR69</f>
        <v>53597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1933386</v>
      </c>
      <c r="D309" s="14">
        <f>data!BO71</f>
        <v>117544</v>
      </c>
      <c r="E309" s="14">
        <f>data!BP71</f>
        <v>0</v>
      </c>
      <c r="F309" s="14">
        <f>data!BQ71</f>
        <v>5851</v>
      </c>
      <c r="G309" s="14">
        <f>data!BR71</f>
        <v>571114</v>
      </c>
      <c r="H309" s="14">
        <f>data!BS71</f>
        <v>20941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891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562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Arbor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</v>
      </c>
      <c r="E330" s="26">
        <f>data!BW60</f>
        <v>0</v>
      </c>
      <c r="F330" s="26">
        <f>data!BX60</f>
        <v>3</v>
      </c>
      <c r="G330" s="26">
        <f>data!BY60</f>
        <v>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153735</v>
      </c>
      <c r="E331" s="86">
        <f>data!BW61</f>
        <v>0</v>
      </c>
      <c r="F331" s="86">
        <f>data!BX61</f>
        <v>105001</v>
      </c>
      <c r="G331" s="86">
        <f>data!BY61</f>
        <v>483366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34609</v>
      </c>
      <c r="E332" s="86">
        <f>data!BW62</f>
        <v>0</v>
      </c>
      <c r="F332" s="86">
        <f>data!BX62</f>
        <v>26391</v>
      </c>
      <c r="G332" s="86">
        <f>data!BY62</f>
        <v>115211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18925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3692</v>
      </c>
      <c r="E334" s="86">
        <f>data!BW64</f>
        <v>0</v>
      </c>
      <c r="F334" s="86">
        <f>data!BX64</f>
        <v>1655</v>
      </c>
      <c r="G334" s="86">
        <f>data!BY64</f>
        <v>692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24348</v>
      </c>
      <c r="E336" s="86">
        <f>data!BW66</f>
        <v>0</v>
      </c>
      <c r="F336" s="86">
        <f>data!BX66</f>
        <v>57916</v>
      </c>
      <c r="G336" s="86">
        <f>data!BY66</f>
        <v>38312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18162</v>
      </c>
      <c r="E337" s="86">
        <f>data!BW67</f>
        <v>0</v>
      </c>
      <c r="F337" s="86">
        <f>data!BX67</f>
        <v>0</v>
      </c>
      <c r="G337" s="86">
        <f>data!BY67</f>
        <v>11323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234546</v>
      </c>
      <c r="E341" s="14">
        <f>data!BW71</f>
        <v>0</v>
      </c>
      <c r="F341" s="14">
        <f>data!BX71</f>
        <v>209888</v>
      </c>
      <c r="G341" s="14">
        <f>data!BY71</f>
        <v>648904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1134</v>
      </c>
      <c r="E348" s="85">
        <f>data!BW76</f>
        <v>0</v>
      </c>
      <c r="F348" s="85">
        <f>data!BX76</f>
        <v>0</v>
      </c>
      <c r="G348" s="85">
        <f>data!BY76</f>
        <v>707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Arbor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199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748844</v>
      </c>
      <c r="E363" s="218"/>
      <c r="F363" s="219"/>
      <c r="G363" s="219"/>
      <c r="H363" s="219"/>
      <c r="I363" s="86">
        <f>data!CE61</f>
        <v>18707786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123057</v>
      </c>
      <c r="E364" s="218"/>
      <c r="F364" s="219"/>
      <c r="G364" s="219"/>
      <c r="H364" s="219"/>
      <c r="I364" s="86">
        <f>data!CE62</f>
        <v>4143764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9563</v>
      </c>
      <c r="E365" s="218"/>
      <c r="F365" s="219"/>
      <c r="G365" s="219"/>
      <c r="H365" s="219"/>
      <c r="I365" s="86">
        <f>data!CE63</f>
        <v>1380397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75</v>
      </c>
      <c r="D366" s="86">
        <f>data!CC64</f>
        <v>45298</v>
      </c>
      <c r="E366" s="218"/>
      <c r="F366" s="219"/>
      <c r="G366" s="219"/>
      <c r="H366" s="219"/>
      <c r="I366" s="86">
        <f>data!CE64</f>
        <v>2330582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385</v>
      </c>
      <c r="E367" s="218"/>
      <c r="F367" s="219"/>
      <c r="G367" s="219"/>
      <c r="H367" s="219"/>
      <c r="I367" s="86">
        <f>data!CE65</f>
        <v>481941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540</v>
      </c>
      <c r="D368" s="86">
        <f>data!CC66</f>
        <v>435566</v>
      </c>
      <c r="E368" s="218"/>
      <c r="F368" s="219"/>
      <c r="G368" s="219"/>
      <c r="H368" s="219"/>
      <c r="I368" s="86">
        <f>data!CE66</f>
        <v>4199687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1256255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10311</v>
      </c>
      <c r="E370" s="218"/>
      <c r="F370" s="219"/>
      <c r="G370" s="219"/>
      <c r="H370" s="219"/>
      <c r="I370" s="86">
        <f>data!CE68</f>
        <v>253016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171462</v>
      </c>
      <c r="E371" s="86">
        <f>data!CD69</f>
        <v>0</v>
      </c>
      <c r="F371" s="219"/>
      <c r="G371" s="219"/>
      <c r="H371" s="219"/>
      <c r="I371" s="86">
        <f>data!CE69</f>
        <v>989008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-2286048</v>
      </c>
      <c r="E372" s="228">
        <f>data!CD70</f>
        <v>0</v>
      </c>
      <c r="F372" s="220"/>
      <c r="G372" s="220"/>
      <c r="H372" s="220"/>
      <c r="I372" s="14">
        <f>-data!CE70</f>
        <v>-2286048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615</v>
      </c>
      <c r="D373" s="86">
        <f>data!CC71</f>
        <v>-741562</v>
      </c>
      <c r="E373" s="86">
        <f>data!CD71</f>
        <v>0</v>
      </c>
      <c r="F373" s="219"/>
      <c r="G373" s="219"/>
      <c r="H373" s="219"/>
      <c r="I373" s="14">
        <f>data!CE71</f>
        <v>31456388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-2161271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8572277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38049163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46621440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78440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25800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14000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93000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Year End Report</cp:keywords>
  <cp:lastModifiedBy>Baranowski, Carrie (DOH)</cp:lastModifiedBy>
  <cp:lastPrinted>2022-05-23T22:48:45Z</cp:lastPrinted>
  <dcterms:created xsi:type="dcterms:W3CDTF">1999-06-02T22:01:56Z</dcterms:created>
  <dcterms:modified xsi:type="dcterms:W3CDTF">2022-06-09T16:59:24Z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2022-06-09T16:24:04Z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89301415-cdfa-43be-b85a-d11886f3b8f8</vt:lpwstr>
  </property>
  <property fmtid="{D5CDD505-2E9C-101B-9397-08002B2CF9AE}" pid="8" name="MSIP_Label_1520fa42-cf58-4c22-8b93-58cf1d3bd1cb_ContentBits">
    <vt:lpwstr>0</vt:lpwstr>
  </property>
</Properties>
</file>