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F96EEA7B-B83C-4AD0-A889-C0C0AC0C670A}" xr6:coauthVersionLast="45" xr6:coauthVersionMax="45" xr10:uidLastSave="{00000000-0000-0000-0000-000000000000}"/>
  <bookViews>
    <workbookView xWindow="-110" yWindow="-110" windowWidth="19420" windowHeight="10420" tabRatio="638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2" i="1" l="1"/>
  <c r="C307" i="1"/>
  <c r="C306" i="1"/>
  <c r="C255" i="1" l="1"/>
  <c r="C272" i="1" l="1"/>
  <c r="C213" i="1"/>
  <c r="C200" i="1"/>
  <c r="C228" i="1"/>
  <c r="C210" i="1"/>
  <c r="B210" i="1"/>
  <c r="C203" i="1"/>
  <c r="C201" i="1"/>
  <c r="C197" i="1"/>
  <c r="B203" i="1"/>
  <c r="B197" i="1"/>
  <c r="D142" i="1" l="1"/>
  <c r="D141" i="1"/>
  <c r="C142" i="1"/>
  <c r="C141" i="1"/>
  <c r="B142" i="1"/>
  <c r="B141" i="1"/>
  <c r="D139" i="1"/>
  <c r="D138" i="1"/>
  <c r="D111" i="1" l="1"/>
  <c r="C80" i="1" l="1"/>
  <c r="BV68" i="1" l="1"/>
  <c r="CC69" i="1"/>
  <c r="CC64" i="1"/>
  <c r="CC66" i="1"/>
  <c r="CC61" i="1"/>
  <c r="C168" i="1" l="1"/>
  <c r="BF76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E530" i="10"/>
  <c r="D530" i="10"/>
  <c r="B530" i="10"/>
  <c r="H530" i="10" s="1"/>
  <c r="E529" i="10"/>
  <c r="D529" i="10"/>
  <c r="B529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E525" i="10"/>
  <c r="D525" i="10"/>
  <c r="B525" i="10"/>
  <c r="H525" i="10" s="1"/>
  <c r="E524" i="10"/>
  <c r="D524" i="10"/>
  <c r="B524" i="10"/>
  <c r="F524" i="10" s="1"/>
  <c r="F523" i="10"/>
  <c r="E523" i="10"/>
  <c r="D523" i="10"/>
  <c r="B523" i="10"/>
  <c r="H523" i="10" s="1"/>
  <c r="E522" i="10"/>
  <c r="D522" i="10"/>
  <c r="B522" i="10"/>
  <c r="B521" i="10"/>
  <c r="E520" i="10"/>
  <c r="D520" i="10"/>
  <c r="B520" i="10"/>
  <c r="H520" i="10" s="1"/>
  <c r="E519" i="10"/>
  <c r="D519" i="10"/>
  <c r="B519" i="10"/>
  <c r="F519" i="10" s="1"/>
  <c r="E518" i="10"/>
  <c r="D518" i="10"/>
  <c r="B518" i="10"/>
  <c r="E517" i="10"/>
  <c r="D517" i="10"/>
  <c r="B517" i="10"/>
  <c r="F517" i="10" s="1"/>
  <c r="E516" i="10"/>
  <c r="D516" i="10"/>
  <c r="B516" i="10"/>
  <c r="E515" i="10"/>
  <c r="D515" i="10"/>
  <c r="B515" i="10"/>
  <c r="E514" i="10"/>
  <c r="D514" i="10"/>
  <c r="B514" i="10"/>
  <c r="B513" i="10"/>
  <c r="F513" i="10" s="1"/>
  <c r="B512" i="10"/>
  <c r="F512" i="10" s="1"/>
  <c r="E511" i="10"/>
  <c r="D511" i="10"/>
  <c r="B511" i="10"/>
  <c r="E510" i="10"/>
  <c r="D510" i="10"/>
  <c r="B510" i="10"/>
  <c r="E509" i="10"/>
  <c r="D509" i="10"/>
  <c r="B509" i="10"/>
  <c r="D508" i="10"/>
  <c r="B508" i="10"/>
  <c r="E507" i="10"/>
  <c r="D507" i="10"/>
  <c r="B507" i="10"/>
  <c r="F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D503" i="10"/>
  <c r="B503" i="10"/>
  <c r="F503" i="10" s="1"/>
  <c r="E502" i="10"/>
  <c r="D502" i="10"/>
  <c r="B502" i="10"/>
  <c r="F502" i="10" s="1"/>
  <c r="D501" i="10"/>
  <c r="B501" i="10"/>
  <c r="E500" i="10"/>
  <c r="D500" i="10"/>
  <c r="B500" i="10"/>
  <c r="H500" i="10" s="1"/>
  <c r="E499" i="10"/>
  <c r="D499" i="10"/>
  <c r="B499" i="10"/>
  <c r="F499" i="10" s="1"/>
  <c r="D498" i="10"/>
  <c r="B498" i="10"/>
  <c r="E497" i="10"/>
  <c r="D497" i="10"/>
  <c r="B497" i="10"/>
  <c r="F497" i="10" s="1"/>
  <c r="D496" i="10"/>
  <c r="B496" i="10"/>
  <c r="G493" i="10"/>
  <c r="F493" i="10"/>
  <c r="E493" i="10"/>
  <c r="D493" i="10"/>
  <c r="C493" i="10"/>
  <c r="B493" i="10"/>
  <c r="A493" i="10"/>
  <c r="B478" i="10"/>
  <c r="C474" i="10"/>
  <c r="B474" i="10"/>
  <c r="B473" i="10"/>
  <c r="C472" i="10"/>
  <c r="B472" i="10"/>
  <c r="B469" i="10"/>
  <c r="B468" i="10"/>
  <c r="C459" i="10"/>
  <c r="B459" i="10"/>
  <c r="B455" i="10"/>
  <c r="B453" i="10"/>
  <c r="C445" i="10"/>
  <c r="B439" i="10"/>
  <c r="C438" i="10"/>
  <c r="B424" i="10"/>
  <c r="B423" i="10"/>
  <c r="D421" i="10"/>
  <c r="B421" i="10"/>
  <c r="C420" i="10"/>
  <c r="B420" i="10"/>
  <c r="D418" i="10"/>
  <c r="B418" i="10"/>
  <c r="B417" i="10"/>
  <c r="B415" i="10"/>
  <c r="B414" i="10"/>
  <c r="A412" i="10"/>
  <c r="C392" i="10"/>
  <c r="C388" i="10"/>
  <c r="B437" i="10" s="1"/>
  <c r="C387" i="10"/>
  <c r="B436" i="10" s="1"/>
  <c r="C386" i="10"/>
  <c r="B435" i="10" s="1"/>
  <c r="C385" i="10"/>
  <c r="B434" i="10" s="1"/>
  <c r="C384" i="10"/>
  <c r="B433" i="10" s="1"/>
  <c r="C383" i="10"/>
  <c r="B432" i="10" s="1"/>
  <c r="C382" i="10"/>
  <c r="B431" i="10" s="1"/>
  <c r="C381" i="10"/>
  <c r="B430" i="10" s="1"/>
  <c r="C380" i="10"/>
  <c r="B429" i="10" s="1"/>
  <c r="C379" i="10"/>
  <c r="B428" i="10" s="1"/>
  <c r="C378" i="10"/>
  <c r="C370" i="10"/>
  <c r="B458" i="10" s="1"/>
  <c r="C366" i="10"/>
  <c r="C447" i="10" s="1"/>
  <c r="C365" i="10"/>
  <c r="C446" i="10" s="1"/>
  <c r="C363" i="10"/>
  <c r="C360" i="10"/>
  <c r="C359" i="10"/>
  <c r="B463" i="10" s="1"/>
  <c r="C337" i="10"/>
  <c r="C326" i="10"/>
  <c r="C322" i="10"/>
  <c r="D328" i="10" s="1"/>
  <c r="D330" i="10" s="1"/>
  <c r="D319" i="10"/>
  <c r="C313" i="10"/>
  <c r="C307" i="10"/>
  <c r="C306" i="10"/>
  <c r="C305" i="10"/>
  <c r="D290" i="10"/>
  <c r="D283" i="10"/>
  <c r="C274" i="10"/>
  <c r="B475" i="10" s="1"/>
  <c r="C270" i="10"/>
  <c r="B471" i="10" s="1"/>
  <c r="C269" i="10"/>
  <c r="D265" i="10"/>
  <c r="C257" i="10"/>
  <c r="C253" i="10"/>
  <c r="C252" i="10"/>
  <c r="C250" i="10"/>
  <c r="D240" i="10"/>
  <c r="B447" i="10" s="1"/>
  <c r="C233" i="10"/>
  <c r="D236" i="10" s="1"/>
  <c r="B446" i="10" s="1"/>
  <c r="C228" i="10"/>
  <c r="C224" i="10"/>
  <c r="C223" i="10"/>
  <c r="C221" i="10"/>
  <c r="D221" i="10" s="1"/>
  <c r="D217" i="10"/>
  <c r="E216" i="10"/>
  <c r="E215" i="10"/>
  <c r="C214" i="10"/>
  <c r="B214" i="10"/>
  <c r="C213" i="10"/>
  <c r="B213" i="10"/>
  <c r="E212" i="10"/>
  <c r="E211" i="10"/>
  <c r="C210" i="10"/>
  <c r="B210" i="10"/>
  <c r="B209" i="10"/>
  <c r="E209" i="10" s="1"/>
  <c r="D204" i="10"/>
  <c r="C203" i="10"/>
  <c r="B203" i="10"/>
  <c r="E203" i="10" s="1"/>
  <c r="C475" i="10" s="1"/>
  <c r="E202" i="10"/>
  <c r="B201" i="10"/>
  <c r="E201" i="10" s="1"/>
  <c r="C200" i="10"/>
  <c r="B200" i="10"/>
  <c r="E199" i="10"/>
  <c r="C198" i="10"/>
  <c r="B198" i="10"/>
  <c r="E198" i="10" s="1"/>
  <c r="C471" i="10" s="1"/>
  <c r="C197" i="10"/>
  <c r="E197" i="10" s="1"/>
  <c r="C470" i="10" s="1"/>
  <c r="B197" i="10"/>
  <c r="B196" i="10"/>
  <c r="E196" i="10" s="1"/>
  <c r="C469" i="10" s="1"/>
  <c r="B195" i="10"/>
  <c r="E195" i="10" s="1"/>
  <c r="C468" i="10" s="1"/>
  <c r="C189" i="10"/>
  <c r="D190" i="10" s="1"/>
  <c r="D437" i="10" s="1"/>
  <c r="C185" i="10"/>
  <c r="D186" i="10" s="1"/>
  <c r="D436" i="10" s="1"/>
  <c r="C180" i="10"/>
  <c r="D181" i="10" s="1"/>
  <c r="C179" i="10"/>
  <c r="D177" i="10"/>
  <c r="D434" i="10" s="1"/>
  <c r="C168" i="10"/>
  <c r="C167" i="10"/>
  <c r="C166" i="10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D142" i="10"/>
  <c r="C142" i="10"/>
  <c r="B142" i="10"/>
  <c r="D141" i="10"/>
  <c r="C141" i="10"/>
  <c r="B141" i="10"/>
  <c r="E140" i="10"/>
  <c r="C139" i="10"/>
  <c r="B139" i="10"/>
  <c r="D138" i="10"/>
  <c r="C138" i="10"/>
  <c r="B138" i="10"/>
  <c r="E127" i="10"/>
  <c r="AJ80" i="10"/>
  <c r="AG80" i="10"/>
  <c r="Q80" i="10"/>
  <c r="P80" i="10"/>
  <c r="O80" i="10"/>
  <c r="H80" i="10"/>
  <c r="E80" i="10"/>
  <c r="C80" i="10"/>
  <c r="CF79" i="10"/>
  <c r="AG79" i="10"/>
  <c r="Y79" i="10"/>
  <c r="P79" i="10"/>
  <c r="H79" i="10"/>
  <c r="E79" i="10"/>
  <c r="C79" i="10"/>
  <c r="CE78" i="10"/>
  <c r="I612" i="10" s="1"/>
  <c r="O77" i="10"/>
  <c r="H77" i="10"/>
  <c r="E77" i="10"/>
  <c r="C77" i="10"/>
  <c r="BF76" i="10"/>
  <c r="CE76" i="10" s="1"/>
  <c r="AU75" i="10"/>
  <c r="AT75" i="10"/>
  <c r="AS75" i="10"/>
  <c r="AR75" i="10"/>
  <c r="AQ75" i="10"/>
  <c r="AP75" i="10"/>
  <c r="AN75" i="10"/>
  <c r="AM75" i="10"/>
  <c r="AI75" i="10"/>
  <c r="AH75" i="10"/>
  <c r="AF75" i="10"/>
  <c r="AD75" i="10"/>
  <c r="AA75" i="10"/>
  <c r="Z75" i="10"/>
  <c r="T75" i="10"/>
  <c r="N75" i="10"/>
  <c r="M75" i="10"/>
  <c r="L75" i="10"/>
  <c r="K75" i="10"/>
  <c r="I75" i="10"/>
  <c r="G75" i="10"/>
  <c r="F75" i="10"/>
  <c r="D75" i="10"/>
  <c r="AV74" i="10"/>
  <c r="AO74" i="10"/>
  <c r="AK74" i="10"/>
  <c r="AJ74" i="10"/>
  <c r="AG74" i="10"/>
  <c r="AE74" i="10"/>
  <c r="AC74" i="10"/>
  <c r="AB74" i="10"/>
  <c r="Y74" i="10"/>
  <c r="X74" i="10"/>
  <c r="W74" i="10"/>
  <c r="V74" i="10"/>
  <c r="U74" i="10"/>
  <c r="S74" i="10"/>
  <c r="R74" i="10"/>
  <c r="Q74" i="10"/>
  <c r="P74" i="10"/>
  <c r="O74" i="10"/>
  <c r="E74" i="10"/>
  <c r="C74" i="10"/>
  <c r="AV73" i="10"/>
  <c r="AV75" i="10" s="1"/>
  <c r="AO73" i="10"/>
  <c r="AO75" i="10" s="1"/>
  <c r="AL73" i="10"/>
  <c r="AL75" i="10" s="1"/>
  <c r="AK73" i="10"/>
  <c r="AJ73" i="10"/>
  <c r="AG73" i="10"/>
  <c r="AE73" i="10"/>
  <c r="AE75" i="10" s="1"/>
  <c r="AC73" i="10"/>
  <c r="AC75" i="10" s="1"/>
  <c r="AB73" i="10"/>
  <c r="AB75" i="10" s="1"/>
  <c r="Y73" i="10"/>
  <c r="X73" i="10"/>
  <c r="W73" i="10"/>
  <c r="V73" i="10"/>
  <c r="U73" i="10"/>
  <c r="S73" i="10"/>
  <c r="S75" i="10" s="1"/>
  <c r="R73" i="10"/>
  <c r="R75" i="10" s="1"/>
  <c r="Q73" i="10"/>
  <c r="Q75" i="10" s="1"/>
  <c r="P73" i="10"/>
  <c r="O73" i="10"/>
  <c r="J73" i="10"/>
  <c r="J75" i="10" s="1"/>
  <c r="H73" i="10"/>
  <c r="H75" i="10" s="1"/>
  <c r="E73" i="10"/>
  <c r="C73" i="10"/>
  <c r="CD71" i="10"/>
  <c r="C575" i="10" s="1"/>
  <c r="CE70" i="10"/>
  <c r="C458" i="10" s="1"/>
  <c r="CC69" i="10"/>
  <c r="CA69" i="10"/>
  <c r="BY69" i="10"/>
  <c r="BV69" i="10"/>
  <c r="BN69" i="10"/>
  <c r="BH69" i="10"/>
  <c r="BF69" i="10"/>
  <c r="BE69" i="10"/>
  <c r="BD69" i="10"/>
  <c r="AZ69" i="10"/>
  <c r="AY69" i="10"/>
  <c r="AJ69" i="10"/>
  <c r="AG69" i="10"/>
  <c r="AC69" i="10"/>
  <c r="AB69" i="10"/>
  <c r="Y69" i="10"/>
  <c r="U69" i="10"/>
  <c r="S69" i="10"/>
  <c r="R69" i="10"/>
  <c r="P69" i="10"/>
  <c r="O69" i="10"/>
  <c r="H69" i="10"/>
  <c r="E69" i="10"/>
  <c r="C69" i="10"/>
  <c r="BV68" i="10"/>
  <c r="BN68" i="10"/>
  <c r="BE68" i="10"/>
  <c r="AJ68" i="10"/>
  <c r="AG68" i="10"/>
  <c r="AC68" i="10"/>
  <c r="U68" i="10"/>
  <c r="P68" i="10"/>
  <c r="O68" i="10"/>
  <c r="E68" i="10"/>
  <c r="C68" i="10"/>
  <c r="CC66" i="10"/>
  <c r="CA66" i="10"/>
  <c r="BY66" i="10"/>
  <c r="BX66" i="10"/>
  <c r="BV66" i="10"/>
  <c r="BR66" i="10"/>
  <c r="BN66" i="10"/>
  <c r="BM66" i="10"/>
  <c r="BK66" i="10"/>
  <c r="BH66" i="10"/>
  <c r="BG66" i="10"/>
  <c r="BE66" i="10"/>
  <c r="BD66" i="10"/>
  <c r="BA66" i="10"/>
  <c r="AZ66" i="10"/>
  <c r="AY66" i="10"/>
  <c r="AJ66" i="10"/>
  <c r="AG66" i="10"/>
  <c r="AE66" i="10"/>
  <c r="AC66" i="10"/>
  <c r="AB66" i="10"/>
  <c r="AA66" i="10"/>
  <c r="Y66" i="10"/>
  <c r="W66" i="10"/>
  <c r="U66" i="10"/>
  <c r="R66" i="10"/>
  <c r="Q66" i="10"/>
  <c r="P66" i="10"/>
  <c r="O66" i="10"/>
  <c r="H66" i="10"/>
  <c r="E66" i="10"/>
  <c r="C66" i="10"/>
  <c r="BY65" i="10"/>
  <c r="BN65" i="10"/>
  <c r="BH65" i="10"/>
  <c r="BE65" i="10"/>
  <c r="AJ65" i="10"/>
  <c r="CC64" i="10"/>
  <c r="CA64" i="10"/>
  <c r="BY64" i="10"/>
  <c r="BX64" i="10"/>
  <c r="BV64" i="10"/>
  <c r="BR64" i="10"/>
  <c r="BN64" i="10"/>
  <c r="BL64" i="10"/>
  <c r="BK64" i="10"/>
  <c r="BH64" i="10"/>
  <c r="BF64" i="10"/>
  <c r="BE64" i="10"/>
  <c r="BD64" i="10"/>
  <c r="AZ64" i="10"/>
  <c r="AY64" i="10"/>
  <c r="AJ64" i="10"/>
  <c r="AG64" i="10"/>
  <c r="AE64" i="10"/>
  <c r="AC64" i="10"/>
  <c r="AB64" i="10"/>
  <c r="Y64" i="10"/>
  <c r="X64" i="10"/>
  <c r="U64" i="10"/>
  <c r="S64" i="10"/>
  <c r="R64" i="10"/>
  <c r="Q64" i="10"/>
  <c r="P64" i="10"/>
  <c r="O64" i="10"/>
  <c r="J64" i="10"/>
  <c r="H64" i="10"/>
  <c r="E64" i="10"/>
  <c r="C64" i="10"/>
  <c r="BN63" i="10"/>
  <c r="AL63" i="10"/>
  <c r="AJ63" i="10"/>
  <c r="AG63" i="10"/>
  <c r="AE63" i="10"/>
  <c r="U63" i="10"/>
  <c r="R63" i="10"/>
  <c r="O63" i="10"/>
  <c r="H63" i="10"/>
  <c r="E63" i="10"/>
  <c r="C63" i="10"/>
  <c r="BY61" i="10"/>
  <c r="BX61" i="10"/>
  <c r="BV61" i="10"/>
  <c r="BR61" i="10"/>
  <c r="BN61" i="10"/>
  <c r="BM61" i="10"/>
  <c r="BL61" i="10"/>
  <c r="BH61" i="10"/>
  <c r="BF61" i="10"/>
  <c r="BE61" i="10"/>
  <c r="BD61" i="10"/>
  <c r="AZ61" i="10"/>
  <c r="AY61" i="10"/>
  <c r="AJ61" i="10"/>
  <c r="AG61" i="10"/>
  <c r="AC61" i="10"/>
  <c r="AB61" i="10"/>
  <c r="Y61" i="10"/>
  <c r="X61" i="10"/>
  <c r="W61" i="10"/>
  <c r="U61" i="10"/>
  <c r="Q61" i="10"/>
  <c r="P61" i="10"/>
  <c r="O61" i="10"/>
  <c r="H61" i="10"/>
  <c r="E61" i="10"/>
  <c r="C61" i="10"/>
  <c r="BY60" i="10"/>
  <c r="BX60" i="10"/>
  <c r="BV60" i="10"/>
  <c r="BR60" i="10"/>
  <c r="BN60" i="10"/>
  <c r="BM60" i="10"/>
  <c r="BL60" i="10"/>
  <c r="BF60" i="10"/>
  <c r="BE60" i="10"/>
  <c r="AZ60" i="10"/>
  <c r="AY60" i="10"/>
  <c r="AJ60" i="10"/>
  <c r="AG60" i="10"/>
  <c r="AC60" i="10"/>
  <c r="AB60" i="10"/>
  <c r="Y60" i="10"/>
  <c r="X60" i="10"/>
  <c r="W60" i="10"/>
  <c r="U60" i="10"/>
  <c r="Q60" i="10"/>
  <c r="P60" i="10"/>
  <c r="O60" i="10"/>
  <c r="H60" i="10"/>
  <c r="E60" i="10"/>
  <c r="C60" i="10"/>
  <c r="O59" i="10"/>
  <c r="E508" i="10" s="1"/>
  <c r="J59" i="10"/>
  <c r="D424" i="10" s="1"/>
  <c r="H59" i="10"/>
  <c r="E501" i="10" s="1"/>
  <c r="E59" i="10"/>
  <c r="E498" i="10" s="1"/>
  <c r="C59" i="10"/>
  <c r="E496" i="10" s="1"/>
  <c r="B52" i="10"/>
  <c r="B53" i="10" s="1"/>
  <c r="CE51" i="10"/>
  <c r="B49" i="10"/>
  <c r="BY47" i="10"/>
  <c r="BX47" i="10"/>
  <c r="BV47" i="10"/>
  <c r="BR47" i="10"/>
  <c r="BN47" i="10"/>
  <c r="BM47" i="10"/>
  <c r="BL47" i="10"/>
  <c r="BH47" i="10"/>
  <c r="BF47" i="10"/>
  <c r="BE47" i="10"/>
  <c r="BD47" i="10"/>
  <c r="AZ47" i="10"/>
  <c r="AY47" i="10"/>
  <c r="AJ47" i="10"/>
  <c r="AG47" i="10"/>
  <c r="AC47" i="10"/>
  <c r="AB47" i="10"/>
  <c r="Y47" i="10"/>
  <c r="X47" i="10"/>
  <c r="W47" i="10"/>
  <c r="U47" i="10"/>
  <c r="Q47" i="10"/>
  <c r="P47" i="10"/>
  <c r="O47" i="10"/>
  <c r="H47" i="10"/>
  <c r="E47" i="10"/>
  <c r="C47" i="10"/>
  <c r="F516" i="10" l="1"/>
  <c r="H506" i="10"/>
  <c r="F504" i="10"/>
  <c r="AJ75" i="10"/>
  <c r="D173" i="10"/>
  <c r="D428" i="10" s="1"/>
  <c r="AK75" i="10"/>
  <c r="D372" i="10"/>
  <c r="H537" i="10"/>
  <c r="V75" i="10"/>
  <c r="O75" i="10"/>
  <c r="H507" i="10"/>
  <c r="CE64" i="10"/>
  <c r="D361" i="10"/>
  <c r="B465" i="10" s="1"/>
  <c r="F508" i="10"/>
  <c r="F511" i="10"/>
  <c r="F515" i="10"/>
  <c r="F498" i="10"/>
  <c r="F518" i="10"/>
  <c r="F529" i="10"/>
  <c r="B454" i="10"/>
  <c r="CE61" i="10"/>
  <c r="X75" i="10"/>
  <c r="W75" i="10"/>
  <c r="E142" i="10"/>
  <c r="D464" i="10" s="1"/>
  <c r="E210" i="10"/>
  <c r="E213" i="10"/>
  <c r="D229" i="10"/>
  <c r="B445" i="10" s="1"/>
  <c r="F510" i="10"/>
  <c r="H533" i="10"/>
  <c r="CE63" i="10"/>
  <c r="C429" i="10" s="1"/>
  <c r="CE65" i="10"/>
  <c r="C431" i="10" s="1"/>
  <c r="CE66" i="10"/>
  <c r="C432" i="10" s="1"/>
  <c r="CE68" i="10"/>
  <c r="C434" i="10" s="1"/>
  <c r="CE74" i="10"/>
  <c r="C464" i="10" s="1"/>
  <c r="C75" i="10"/>
  <c r="E138" i="10"/>
  <c r="C414" i="10" s="1"/>
  <c r="D260" i="10"/>
  <c r="D314" i="10"/>
  <c r="D339" i="10" s="1"/>
  <c r="C482" i="10" s="1"/>
  <c r="P75" i="10"/>
  <c r="U75" i="10"/>
  <c r="Y75" i="10"/>
  <c r="AG75" i="10"/>
  <c r="CE77" i="10"/>
  <c r="CE80" i="10"/>
  <c r="L612" i="10" s="1"/>
  <c r="E139" i="10"/>
  <c r="C415" i="10" s="1"/>
  <c r="E141" i="10"/>
  <c r="D463" i="10" s="1"/>
  <c r="D465" i="10" s="1"/>
  <c r="E200" i="10"/>
  <c r="C473" i="10" s="1"/>
  <c r="C217" i="10"/>
  <c r="D433" i="10" s="1"/>
  <c r="H499" i="10"/>
  <c r="F501" i="10"/>
  <c r="H519" i="10"/>
  <c r="H502" i="10"/>
  <c r="F509" i="10"/>
  <c r="F514" i="10"/>
  <c r="F531" i="10"/>
  <c r="H540" i="10"/>
  <c r="F544" i="10"/>
  <c r="F612" i="10"/>
  <c r="C430" i="10"/>
  <c r="B444" i="10"/>
  <c r="D242" i="10"/>
  <c r="B448" i="10" s="1"/>
  <c r="B427" i="10"/>
  <c r="D390" i="10"/>
  <c r="B441" i="10" s="1"/>
  <c r="B438" i="10"/>
  <c r="B440" i="10" s="1"/>
  <c r="F48" i="10"/>
  <c r="F62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R48" i="10"/>
  <c r="BR62" i="10" s="1"/>
  <c r="C48" i="10"/>
  <c r="G48" i="10"/>
  <c r="G62" i="10" s="1"/>
  <c r="K48" i="10"/>
  <c r="K62" i="10" s="1"/>
  <c r="O48" i="10"/>
  <c r="O62" i="10" s="1"/>
  <c r="S48" i="10"/>
  <c r="S62" i="10" s="1"/>
  <c r="W48" i="10"/>
  <c r="W62" i="10" s="1"/>
  <c r="AA48" i="10"/>
  <c r="AA62" i="10" s="1"/>
  <c r="AE48" i="10"/>
  <c r="AE62" i="10" s="1"/>
  <c r="AI48" i="10"/>
  <c r="AI62" i="10" s="1"/>
  <c r="AM48" i="10"/>
  <c r="AM62" i="10" s="1"/>
  <c r="AQ48" i="10"/>
  <c r="AQ62" i="10" s="1"/>
  <c r="AU48" i="10"/>
  <c r="AU62" i="10" s="1"/>
  <c r="AY48" i="10"/>
  <c r="AY62" i="10" s="1"/>
  <c r="BC48" i="10"/>
  <c r="BC62" i="10" s="1"/>
  <c r="BG48" i="10"/>
  <c r="BG62" i="10" s="1"/>
  <c r="BK48" i="10"/>
  <c r="BK62" i="10" s="1"/>
  <c r="BO48" i="10"/>
  <c r="BO62" i="10" s="1"/>
  <c r="BS48" i="10"/>
  <c r="BS62" i="10" s="1"/>
  <c r="BW48" i="10"/>
  <c r="BW62" i="10" s="1"/>
  <c r="CB48" i="10"/>
  <c r="CB62" i="10" s="1"/>
  <c r="D435" i="10"/>
  <c r="D438" i="10"/>
  <c r="E214" i="10"/>
  <c r="E217" i="10" s="1"/>
  <c r="C478" i="10" s="1"/>
  <c r="B217" i="10"/>
  <c r="D367" i="10"/>
  <c r="C448" i="10" s="1"/>
  <c r="C444" i="10"/>
  <c r="E503" i="10"/>
  <c r="F522" i="10"/>
  <c r="CC48" i="10"/>
  <c r="CC62" i="10" s="1"/>
  <c r="CA48" i="10"/>
  <c r="CA62" i="10" s="1"/>
  <c r="G612" i="10"/>
  <c r="CF77" i="10"/>
  <c r="CE47" i="10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N48" i="10"/>
  <c r="BN62" i="10" s="1"/>
  <c r="BV48" i="10"/>
  <c r="BV62" i="10" s="1"/>
  <c r="BZ48" i="10"/>
  <c r="BZ62" i="10" s="1"/>
  <c r="CE79" i="10"/>
  <c r="J612" i="10" s="1"/>
  <c r="E204" i="10"/>
  <c r="C476" i="10" s="1"/>
  <c r="D48" i="10"/>
  <c r="D62" i="10" s="1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E60" i="10"/>
  <c r="H612" i="10" s="1"/>
  <c r="CE69" i="10"/>
  <c r="C440" i="10" s="1"/>
  <c r="E75" i="10"/>
  <c r="CE75" i="10" s="1"/>
  <c r="CE73" i="10"/>
  <c r="C463" i="10" s="1"/>
  <c r="D612" i="10"/>
  <c r="CF76" i="10"/>
  <c r="BZ52" i="10" s="1"/>
  <c r="BZ67" i="10" s="1"/>
  <c r="B204" i="10"/>
  <c r="B470" i="10"/>
  <c r="D275" i="10"/>
  <c r="C439" i="10"/>
  <c r="F496" i="10"/>
  <c r="F500" i="10"/>
  <c r="F520" i="10"/>
  <c r="BX52" i="10"/>
  <c r="BX67" i="10" s="1"/>
  <c r="D415" i="10"/>
  <c r="B464" i="10"/>
  <c r="H497" i="10"/>
  <c r="H505" i="10"/>
  <c r="F521" i="10"/>
  <c r="F545" i="10"/>
  <c r="C204" i="10"/>
  <c r="F525" i="10"/>
  <c r="F527" i="10"/>
  <c r="F535" i="10"/>
  <c r="F539" i="10"/>
  <c r="Z52" i="10"/>
  <c r="Z67" i="10" s="1"/>
  <c r="BN52" i="10"/>
  <c r="BN67" i="10" s="1"/>
  <c r="F550" i="10"/>
  <c r="F526" i="10"/>
  <c r="H528" i="10"/>
  <c r="F530" i="10"/>
  <c r="H532" i="10"/>
  <c r="F534" i="10"/>
  <c r="H536" i="10"/>
  <c r="F538" i="10"/>
  <c r="F546" i="10"/>
  <c r="N52" i="10" l="1"/>
  <c r="N67" i="10" s="1"/>
  <c r="AT52" i="10"/>
  <c r="AT67" i="10" s="1"/>
  <c r="AP52" i="10"/>
  <c r="AP67" i="10" s="1"/>
  <c r="AF52" i="10"/>
  <c r="AF67" i="10" s="1"/>
  <c r="AX52" i="10"/>
  <c r="AX67" i="10" s="1"/>
  <c r="AH52" i="10"/>
  <c r="AH67" i="10" s="1"/>
  <c r="AB52" i="10"/>
  <c r="AB67" i="10" s="1"/>
  <c r="BX71" i="10"/>
  <c r="C569" i="10" s="1"/>
  <c r="BV52" i="10"/>
  <c r="BV67" i="10" s="1"/>
  <c r="AD52" i="10"/>
  <c r="AD67" i="10" s="1"/>
  <c r="CB52" i="10"/>
  <c r="CB67" i="10" s="1"/>
  <c r="P52" i="10"/>
  <c r="P67" i="10" s="1"/>
  <c r="P71" i="10" s="1"/>
  <c r="BJ52" i="10"/>
  <c r="BJ67" i="10" s="1"/>
  <c r="R52" i="10"/>
  <c r="R67" i="10" s="1"/>
  <c r="BL52" i="10"/>
  <c r="BL67" i="10" s="1"/>
  <c r="L52" i="10"/>
  <c r="L67" i="10" s="1"/>
  <c r="L71" i="10" s="1"/>
  <c r="B505" i="1" s="1"/>
  <c r="BH52" i="10"/>
  <c r="BH67" i="10" s="1"/>
  <c r="BF52" i="10"/>
  <c r="BF67" i="10" s="1"/>
  <c r="J52" i="10"/>
  <c r="J67" i="10" s="1"/>
  <c r="AV52" i="10"/>
  <c r="AV67" i="10" s="1"/>
  <c r="AR52" i="10"/>
  <c r="AR67" i="10" s="1"/>
  <c r="BN71" i="10"/>
  <c r="BF71" i="10"/>
  <c r="C629" i="10" s="1"/>
  <c r="BL71" i="10"/>
  <c r="B557" i="1" s="1"/>
  <c r="C427" i="10"/>
  <c r="BY48" i="10"/>
  <c r="BY62" i="10" s="1"/>
  <c r="BI48" i="10"/>
  <c r="BI62" i="10" s="1"/>
  <c r="AS48" i="10"/>
  <c r="AS62" i="10" s="1"/>
  <c r="AC48" i="10"/>
  <c r="AC62" i="10" s="1"/>
  <c r="M48" i="10"/>
  <c r="M62" i="10" s="1"/>
  <c r="BQ48" i="10"/>
  <c r="BQ62" i="10" s="1"/>
  <c r="BA48" i="10"/>
  <c r="BA62" i="10" s="1"/>
  <c r="AK48" i="10"/>
  <c r="AK62" i="10" s="1"/>
  <c r="U48" i="10"/>
  <c r="U62" i="10" s="1"/>
  <c r="E48" i="10"/>
  <c r="E62" i="10" s="1"/>
  <c r="BM48" i="10"/>
  <c r="BM62" i="10" s="1"/>
  <c r="AW48" i="10"/>
  <c r="AW62" i="10" s="1"/>
  <c r="Q48" i="10"/>
  <c r="Q62" i="10" s="1"/>
  <c r="BU48" i="10"/>
  <c r="BU62" i="10" s="1"/>
  <c r="BE48" i="10"/>
  <c r="BE62" i="10" s="1"/>
  <c r="AO48" i="10"/>
  <c r="AO62" i="10" s="1"/>
  <c r="Y48" i="10"/>
  <c r="Y62" i="10" s="1"/>
  <c r="I48" i="10"/>
  <c r="I62" i="10" s="1"/>
  <c r="AG48" i="10"/>
  <c r="AG62" i="10" s="1"/>
  <c r="AB71" i="10"/>
  <c r="C693" i="10" s="1"/>
  <c r="BH71" i="10"/>
  <c r="BV71" i="10"/>
  <c r="C642" i="10" s="1"/>
  <c r="K612" i="10"/>
  <c r="C465" i="10"/>
  <c r="C559" i="10"/>
  <c r="C619" i="10"/>
  <c r="C521" i="10"/>
  <c r="C553" i="10"/>
  <c r="C636" i="10"/>
  <c r="BT52" i="10"/>
  <c r="BT67" i="10" s="1"/>
  <c r="BT71" i="10" s="1"/>
  <c r="BD52" i="10"/>
  <c r="BD67" i="10" s="1"/>
  <c r="BD71" i="10" s="1"/>
  <c r="AN52" i="10"/>
  <c r="AN67" i="10" s="1"/>
  <c r="X52" i="10"/>
  <c r="X67" i="10" s="1"/>
  <c r="X71" i="10" s="1"/>
  <c r="B517" i="1" s="1"/>
  <c r="H52" i="10"/>
  <c r="H67" i="10" s="1"/>
  <c r="H71" i="10" s="1"/>
  <c r="BY52" i="10"/>
  <c r="BY67" i="10" s="1"/>
  <c r="BY71" i="10" s="1"/>
  <c r="AV71" i="10"/>
  <c r="B541" i="1" s="1"/>
  <c r="AF71" i="10"/>
  <c r="AX71" i="10"/>
  <c r="R71" i="10"/>
  <c r="BR52" i="10"/>
  <c r="BR67" i="10" s="1"/>
  <c r="BR71" i="10" s="1"/>
  <c r="BB52" i="10"/>
  <c r="BB67" i="10" s="1"/>
  <c r="BB71" i="10" s="1"/>
  <c r="B547" i="1" s="1"/>
  <c r="AL52" i="10"/>
  <c r="AL67" i="10" s="1"/>
  <c r="AL71" i="10" s="1"/>
  <c r="B531" i="1" s="1"/>
  <c r="V52" i="10"/>
  <c r="V67" i="10" s="1"/>
  <c r="V71" i="10" s="1"/>
  <c r="B515" i="1" s="1"/>
  <c r="F52" i="10"/>
  <c r="F67" i="10" s="1"/>
  <c r="BP52" i="10"/>
  <c r="BP67" i="10" s="1"/>
  <c r="BP71" i="10" s="1"/>
  <c r="AZ52" i="10"/>
  <c r="AZ67" i="10" s="1"/>
  <c r="AZ71" i="10" s="1"/>
  <c r="AJ52" i="10"/>
  <c r="AJ67" i="10" s="1"/>
  <c r="AJ71" i="10" s="1"/>
  <c r="T52" i="10"/>
  <c r="T67" i="10" s="1"/>
  <c r="T71" i="10" s="1"/>
  <c r="D52" i="10"/>
  <c r="D67" i="10" s="1"/>
  <c r="CC52" i="10"/>
  <c r="CC67" i="10" s="1"/>
  <c r="CC71" i="10" s="1"/>
  <c r="B574" i="1" s="1"/>
  <c r="AR71" i="10"/>
  <c r="D368" i="10"/>
  <c r="D373" i="10" s="1"/>
  <c r="D391" i="10" s="1"/>
  <c r="D393" i="10" s="1"/>
  <c r="D396" i="10" s="1"/>
  <c r="BJ71" i="10"/>
  <c r="AD71" i="10"/>
  <c r="AP71" i="10"/>
  <c r="J71" i="10"/>
  <c r="AN71" i="10"/>
  <c r="BZ71" i="10"/>
  <c r="B571" i="1" s="1"/>
  <c r="AH71" i="10"/>
  <c r="F71" i="10"/>
  <c r="C62" i="10"/>
  <c r="B476" i="10"/>
  <c r="D277" i="10"/>
  <c r="D292" i="10" s="1"/>
  <c r="D341" i="10" s="1"/>
  <c r="C481" i="10" s="1"/>
  <c r="BW52" i="10"/>
  <c r="BW67" i="10" s="1"/>
  <c r="BW71" i="10" s="1"/>
  <c r="BO52" i="10"/>
  <c r="BO67" i="10" s="1"/>
  <c r="BO71" i="10" s="1"/>
  <c r="BG52" i="10"/>
  <c r="BG67" i="10" s="1"/>
  <c r="BG71" i="10" s="1"/>
  <c r="AY52" i="10"/>
  <c r="AY67" i="10" s="1"/>
  <c r="AY71" i="10" s="1"/>
  <c r="AQ52" i="10"/>
  <c r="AQ67" i="10" s="1"/>
  <c r="AQ71" i="10" s="1"/>
  <c r="AI52" i="10"/>
  <c r="AI67" i="10" s="1"/>
  <c r="AI71" i="10" s="1"/>
  <c r="AA52" i="10"/>
  <c r="AA67" i="10" s="1"/>
  <c r="AA71" i="10" s="1"/>
  <c r="S52" i="10"/>
  <c r="S67" i="10" s="1"/>
  <c r="S71" i="10" s="1"/>
  <c r="K52" i="10"/>
  <c r="K67" i="10" s="1"/>
  <c r="K71" i="10" s="1"/>
  <c r="C52" i="10"/>
  <c r="BS52" i="10"/>
  <c r="BS67" i="10" s="1"/>
  <c r="BS71" i="10" s="1"/>
  <c r="BK52" i="10"/>
  <c r="BK67" i="10" s="1"/>
  <c r="AU52" i="10"/>
  <c r="AU67" i="10" s="1"/>
  <c r="AU71" i="10" s="1"/>
  <c r="AE52" i="10"/>
  <c r="AE67" i="10" s="1"/>
  <c r="AE71" i="10" s="1"/>
  <c r="O52" i="10"/>
  <c r="O67" i="10" s="1"/>
  <c r="O71" i="10" s="1"/>
  <c r="G52" i="10"/>
  <c r="G67" i="10" s="1"/>
  <c r="G71" i="10" s="1"/>
  <c r="AK52" i="10"/>
  <c r="AK67" i="10" s="1"/>
  <c r="AK71" i="10" s="1"/>
  <c r="BU52" i="10"/>
  <c r="BU67" i="10" s="1"/>
  <c r="BM52" i="10"/>
  <c r="BM67" i="10" s="1"/>
  <c r="BM71" i="10" s="1"/>
  <c r="BE52" i="10"/>
  <c r="BE67" i="10" s="1"/>
  <c r="BE71" i="10" s="1"/>
  <c r="AW52" i="10"/>
  <c r="AW67" i="10" s="1"/>
  <c r="AW71" i="10" s="1"/>
  <c r="AO52" i="10"/>
  <c r="AO67" i="10" s="1"/>
  <c r="AO71" i="10" s="1"/>
  <c r="AG52" i="10"/>
  <c r="AG67" i="10" s="1"/>
  <c r="Y52" i="10"/>
  <c r="Y67" i="10" s="1"/>
  <c r="Y71" i="10" s="1"/>
  <c r="Q52" i="10"/>
  <c r="Q67" i="10" s="1"/>
  <c r="Q71" i="10" s="1"/>
  <c r="I52" i="10"/>
  <c r="I67" i="10" s="1"/>
  <c r="I71" i="10" s="1"/>
  <c r="BC52" i="10"/>
  <c r="BC67" i="10" s="1"/>
  <c r="BC71" i="10" s="1"/>
  <c r="B548" i="1" s="1"/>
  <c r="AM52" i="10"/>
  <c r="AM67" i="10" s="1"/>
  <c r="AM71" i="10" s="1"/>
  <c r="W52" i="10"/>
  <c r="W67" i="10" s="1"/>
  <c r="W71" i="10" s="1"/>
  <c r="B516" i="1" s="1"/>
  <c r="BQ52" i="10"/>
  <c r="BQ67" i="10" s="1"/>
  <c r="BA52" i="10"/>
  <c r="BA67" i="10" s="1"/>
  <c r="BA71" i="10" s="1"/>
  <c r="B546" i="1" s="1"/>
  <c r="AC52" i="10"/>
  <c r="AC67" i="10" s="1"/>
  <c r="AC71" i="10" s="1"/>
  <c r="M52" i="10"/>
  <c r="M67" i="10" s="1"/>
  <c r="M71" i="10" s="1"/>
  <c r="CA52" i="10"/>
  <c r="CA67" i="10" s="1"/>
  <c r="CA71" i="10" s="1"/>
  <c r="BI52" i="10"/>
  <c r="BI67" i="10" s="1"/>
  <c r="BI71" i="10" s="1"/>
  <c r="AS52" i="10"/>
  <c r="AS67" i="10" s="1"/>
  <c r="AS71" i="10" s="1"/>
  <c r="B538" i="1" s="1"/>
  <c r="U52" i="10"/>
  <c r="U67" i="10" s="1"/>
  <c r="U71" i="10" s="1"/>
  <c r="E52" i="10"/>
  <c r="E67" i="10" s="1"/>
  <c r="E71" i="10" s="1"/>
  <c r="D71" i="10"/>
  <c r="AT71" i="10"/>
  <c r="B539" i="1" s="1"/>
  <c r="N71" i="10"/>
  <c r="CB71" i="10"/>
  <c r="BK71" i="10"/>
  <c r="Z71" i="10"/>
  <c r="B519" i="1" s="1"/>
  <c r="B575" i="1"/>
  <c r="B567" i="1"/>
  <c r="B559" i="1"/>
  <c r="B555" i="1"/>
  <c r="B554" i="1"/>
  <c r="B553" i="1"/>
  <c r="B551" i="1"/>
  <c r="B543" i="1"/>
  <c r="B535" i="1"/>
  <c r="B534" i="1"/>
  <c r="B527" i="1"/>
  <c r="B525" i="1"/>
  <c r="B523" i="1"/>
  <c r="B521" i="1"/>
  <c r="B511" i="1"/>
  <c r="B507" i="1"/>
  <c r="B503" i="1"/>
  <c r="B502" i="1"/>
  <c r="B499" i="1"/>
  <c r="F493" i="1"/>
  <c r="D493" i="1"/>
  <c r="B493" i="1"/>
  <c r="B509" i="1" l="1"/>
  <c r="C681" i="10"/>
  <c r="C509" i="10"/>
  <c r="H509" i="10" s="1"/>
  <c r="C644" i="10"/>
  <c r="BQ71" i="10"/>
  <c r="B562" i="1" s="1"/>
  <c r="AG71" i="10"/>
  <c r="B526" i="1" s="1"/>
  <c r="B569" i="1"/>
  <c r="C637" i="10"/>
  <c r="CE48" i="10"/>
  <c r="C557" i="10"/>
  <c r="BU71" i="10"/>
  <c r="B566" i="1" s="1"/>
  <c r="C567" i="10"/>
  <c r="C551" i="10"/>
  <c r="C572" i="10"/>
  <c r="C647" i="10"/>
  <c r="B572" i="1"/>
  <c r="C545" i="10"/>
  <c r="C628" i="10"/>
  <c r="B545" i="1"/>
  <c r="C712" i="10"/>
  <c r="C540" i="10"/>
  <c r="G539" i="10" s="1"/>
  <c r="B540" i="1"/>
  <c r="C708" i="10"/>
  <c r="C536" i="10"/>
  <c r="G535" i="10" s="1"/>
  <c r="B536" i="1"/>
  <c r="C561" i="10"/>
  <c r="C621" i="10"/>
  <c r="B561" i="1"/>
  <c r="C704" i="10"/>
  <c r="C532" i="10"/>
  <c r="G531" i="10" s="1"/>
  <c r="B532" i="1"/>
  <c r="C684" i="10"/>
  <c r="C512" i="10"/>
  <c r="B512" i="1"/>
  <c r="C565" i="10"/>
  <c r="C640" i="10"/>
  <c r="B565" i="1"/>
  <c r="C670" i="10"/>
  <c r="C498" i="10"/>
  <c r="B498" i="1"/>
  <c r="C696" i="10"/>
  <c r="C524" i="10"/>
  <c r="B524" i="1"/>
  <c r="C627" i="10"/>
  <c r="C560" i="10"/>
  <c r="B560" i="1"/>
  <c r="C682" i="10"/>
  <c r="C510" i="10"/>
  <c r="B510" i="1"/>
  <c r="C676" i="10"/>
  <c r="C504" i="10"/>
  <c r="G504" i="10" s="1"/>
  <c r="B504" i="1"/>
  <c r="C643" i="10"/>
  <c r="C568" i="10"/>
  <c r="B568" i="1"/>
  <c r="C549" i="10"/>
  <c r="C624" i="10"/>
  <c r="B549" i="1"/>
  <c r="C694" i="10"/>
  <c r="C522" i="10"/>
  <c r="B522" i="1"/>
  <c r="C690" i="10"/>
  <c r="C518" i="10"/>
  <c r="B518" i="1"/>
  <c r="C672" i="10"/>
  <c r="C500" i="10"/>
  <c r="G500" i="10" s="1"/>
  <c r="B500" i="1"/>
  <c r="C685" i="10"/>
  <c r="C513" i="10"/>
  <c r="B513" i="1"/>
  <c r="C626" i="10"/>
  <c r="C563" i="10"/>
  <c r="B563" i="1"/>
  <c r="C673" i="10"/>
  <c r="C501" i="10"/>
  <c r="B501" i="1"/>
  <c r="C638" i="10"/>
  <c r="C558" i="10"/>
  <c r="B558" i="1"/>
  <c r="C680" i="10"/>
  <c r="C508" i="10"/>
  <c r="B508" i="1"/>
  <c r="C618" i="10"/>
  <c r="C552" i="10"/>
  <c r="B552" i="1"/>
  <c r="C701" i="10"/>
  <c r="C529" i="10"/>
  <c r="B529" i="1"/>
  <c r="C635" i="10"/>
  <c r="C556" i="10"/>
  <c r="C669" i="10"/>
  <c r="C497" i="10"/>
  <c r="G497" i="10" s="1"/>
  <c r="C678" i="10"/>
  <c r="C506" i="10"/>
  <c r="G506" i="10" s="1"/>
  <c r="C702" i="10"/>
  <c r="C530" i="10"/>
  <c r="G529" i="10" s="1"/>
  <c r="C671" i="10"/>
  <c r="C499" i="10"/>
  <c r="G499" i="10" s="1"/>
  <c r="C700" i="10"/>
  <c r="C528" i="10"/>
  <c r="G527" i="10" s="1"/>
  <c r="C687" i="10"/>
  <c r="C515" i="10"/>
  <c r="C550" i="10"/>
  <c r="C614" i="10"/>
  <c r="C707" i="10"/>
  <c r="C535" i="10"/>
  <c r="G534" i="10" s="1"/>
  <c r="C639" i="10"/>
  <c r="C564" i="10"/>
  <c r="C709" i="10"/>
  <c r="C537" i="10"/>
  <c r="G536" i="10" s="1"/>
  <c r="C692" i="10"/>
  <c r="C520" i="10"/>
  <c r="G519" i="10" s="1"/>
  <c r="C703" i="10"/>
  <c r="C531" i="10"/>
  <c r="C645" i="10"/>
  <c r="C570" i="10"/>
  <c r="C625" i="10"/>
  <c r="C544" i="10"/>
  <c r="B520" i="1"/>
  <c r="B528" i="1"/>
  <c r="B544" i="1"/>
  <c r="B556" i="1"/>
  <c r="B564" i="1"/>
  <c r="C691" i="10"/>
  <c r="C519" i="10"/>
  <c r="G518" i="10" s="1"/>
  <c r="C622" i="10"/>
  <c r="C573" i="10"/>
  <c r="C710" i="10"/>
  <c r="C538" i="10"/>
  <c r="G537" i="10" s="1"/>
  <c r="C699" i="10"/>
  <c r="C527" i="10"/>
  <c r="G526" i="10" s="1"/>
  <c r="C632" i="10"/>
  <c r="C547" i="10"/>
  <c r="C705" i="10"/>
  <c r="C533" i="10"/>
  <c r="G532" i="10" s="1"/>
  <c r="C683" i="10"/>
  <c r="C511" i="10"/>
  <c r="C698" i="10"/>
  <c r="C526" i="10"/>
  <c r="B497" i="1"/>
  <c r="B533" i="1"/>
  <c r="B537" i="1"/>
  <c r="B573" i="1"/>
  <c r="C679" i="10"/>
  <c r="C507" i="10"/>
  <c r="G507" i="10" s="1"/>
  <c r="C634" i="10"/>
  <c r="C554" i="10"/>
  <c r="C546" i="10"/>
  <c r="C630" i="10"/>
  <c r="C620" i="10"/>
  <c r="C574" i="10"/>
  <c r="C646" i="10"/>
  <c r="C571" i="10"/>
  <c r="C695" i="10"/>
  <c r="C523" i="10"/>
  <c r="G522" i="10" s="1"/>
  <c r="C616" i="10"/>
  <c r="C543" i="10"/>
  <c r="C697" i="10"/>
  <c r="C525" i="10"/>
  <c r="G524" i="10" s="1"/>
  <c r="C686" i="10"/>
  <c r="C514" i="10"/>
  <c r="C688" i="10"/>
  <c r="C516" i="10"/>
  <c r="C631" i="10"/>
  <c r="C542" i="10"/>
  <c r="B506" i="1"/>
  <c r="B514" i="1"/>
  <c r="B530" i="1"/>
  <c r="B542" i="1"/>
  <c r="B550" i="1"/>
  <c r="B570" i="1"/>
  <c r="C711" i="10"/>
  <c r="C539" i="10"/>
  <c r="G538" i="10" s="1"/>
  <c r="C623" i="10"/>
  <c r="C562" i="10"/>
  <c r="C674" i="10"/>
  <c r="C502" i="10"/>
  <c r="G502" i="10" s="1"/>
  <c r="C706" i="10"/>
  <c r="C534" i="10"/>
  <c r="G533" i="10" s="1"/>
  <c r="C641" i="10"/>
  <c r="C566" i="10"/>
  <c r="CE52" i="10"/>
  <c r="C67" i="10"/>
  <c r="CE67" i="10" s="1"/>
  <c r="C433" i="10" s="1"/>
  <c r="CE62" i="10"/>
  <c r="C675" i="10"/>
  <c r="C503" i="10"/>
  <c r="C548" i="10"/>
  <c r="C633" i="10"/>
  <c r="C555" i="10"/>
  <c r="C617" i="10"/>
  <c r="C677" i="10"/>
  <c r="C505" i="10"/>
  <c r="G505" i="10" s="1"/>
  <c r="C713" i="10"/>
  <c r="C541" i="10"/>
  <c r="G520" i="10"/>
  <c r="H521" i="10"/>
  <c r="C689" i="10"/>
  <c r="C51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S48" i="1"/>
  <c r="AS62" i="1" s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1" i="1"/>
  <c r="C434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30" i="1"/>
  <c r="C86" i="8" s="1"/>
  <c r="N766" i="1"/>
  <c r="N743" i="1"/>
  <c r="N769" i="1"/>
  <c r="N758" i="1"/>
  <c r="N753" i="1"/>
  <c r="N747" i="1"/>
  <c r="C469" i="1"/>
  <c r="F8" i="6"/>
  <c r="G122" i="9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K816" i="1"/>
  <c r="C615" i="1"/>
  <c r="C48" i="1"/>
  <c r="C62" i="1" s="1"/>
  <c r="E734" i="1" s="1"/>
  <c r="V815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CF77" i="1"/>
  <c r="Q816" i="1"/>
  <c r="G612" i="1"/>
  <c r="B445" i="1" l="1"/>
  <c r="M816" i="1"/>
  <c r="N757" i="1"/>
  <c r="I380" i="9"/>
  <c r="H58" i="9"/>
  <c r="K814" i="10"/>
  <c r="F814" i="10"/>
  <c r="C71" i="10"/>
  <c r="M733" i="10" s="1"/>
  <c r="M814" i="10" s="1"/>
  <c r="D186" i="9"/>
  <c r="B10" i="4"/>
  <c r="B441" i="1"/>
  <c r="D368" i="1"/>
  <c r="C120" i="8" s="1"/>
  <c r="G10" i="4"/>
  <c r="C473" i="1"/>
  <c r="I372" i="9"/>
  <c r="N760" i="1"/>
  <c r="N752" i="1"/>
  <c r="N748" i="1"/>
  <c r="C464" i="1"/>
  <c r="C430" i="1"/>
  <c r="I366" i="9"/>
  <c r="G816" i="1"/>
  <c r="F815" i="1"/>
  <c r="E788" i="1"/>
  <c r="H236" i="9"/>
  <c r="D815" i="1"/>
  <c r="E800" i="1"/>
  <c r="E300" i="9"/>
  <c r="E44" i="9"/>
  <c r="E749" i="1"/>
  <c r="E787" i="1"/>
  <c r="E737" i="1"/>
  <c r="E757" i="1"/>
  <c r="I140" i="9"/>
  <c r="I300" i="9"/>
  <c r="E790" i="1"/>
  <c r="H300" i="9"/>
  <c r="I172" i="9"/>
  <c r="E775" i="1"/>
  <c r="E791" i="1"/>
  <c r="D268" i="9"/>
  <c r="E807" i="1"/>
  <c r="F332" i="9"/>
  <c r="C12" i="9"/>
  <c r="C204" i="9"/>
  <c r="E792" i="1"/>
  <c r="E776" i="1"/>
  <c r="E108" i="9"/>
  <c r="E783" i="1"/>
  <c r="E752" i="1"/>
  <c r="C27" i="5"/>
  <c r="C428" i="10"/>
  <c r="C441" i="10" s="1"/>
  <c r="CE71" i="10"/>
  <c r="H511" i="10"/>
  <c r="G510" i="10"/>
  <c r="G508" i="10"/>
  <c r="H508" i="10" s="1"/>
  <c r="G512" i="10"/>
  <c r="H513" i="10"/>
  <c r="G511" i="10"/>
  <c r="H512" i="10"/>
  <c r="G545" i="10"/>
  <c r="H545" i="10"/>
  <c r="T814" i="10"/>
  <c r="H814" i="10"/>
  <c r="R814" i="10"/>
  <c r="P814" i="10"/>
  <c r="G516" i="10"/>
  <c r="H517" i="10"/>
  <c r="G503" i="10"/>
  <c r="H503" i="10" s="1"/>
  <c r="G515" i="10"/>
  <c r="H516" i="10"/>
  <c r="G546" i="10"/>
  <c r="H546" i="10"/>
  <c r="C648" i="10"/>
  <c r="M716" i="10" s="1"/>
  <c r="D615" i="10"/>
  <c r="G521" i="10"/>
  <c r="H522" i="10"/>
  <c r="H510" i="10"/>
  <c r="G509" i="10"/>
  <c r="G525" i="10"/>
  <c r="H526" i="10"/>
  <c r="G550" i="10"/>
  <c r="H550" i="10" s="1"/>
  <c r="H529" i="10"/>
  <c r="G528" i="10"/>
  <c r="G501" i="10"/>
  <c r="H501" i="10" s="1"/>
  <c r="H518" i="10"/>
  <c r="G517" i="10"/>
  <c r="G498" i="10"/>
  <c r="H498" i="10" s="1"/>
  <c r="H514" i="10"/>
  <c r="G513" i="10"/>
  <c r="G544" i="10"/>
  <c r="H544" i="10"/>
  <c r="G530" i="10"/>
  <c r="H531" i="10"/>
  <c r="H515" i="10"/>
  <c r="G514" i="10"/>
  <c r="G523" i="10"/>
  <c r="H52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AN52" i="1" s="1"/>
  <c r="AN67" i="1" s="1"/>
  <c r="J771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F52" i="1"/>
  <c r="F67" i="1" s="1"/>
  <c r="F71" i="1" s="1"/>
  <c r="F21" i="9" s="1"/>
  <c r="M52" i="1"/>
  <c r="M67" i="1" s="1"/>
  <c r="AA52" i="1"/>
  <c r="AA67" i="1" s="1"/>
  <c r="AA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B52" i="1" l="1"/>
  <c r="CB67" i="1" s="1"/>
  <c r="BD52" i="1"/>
  <c r="BD67" i="1" s="1"/>
  <c r="BD71" i="1" s="1"/>
  <c r="B496" i="1"/>
  <c r="C496" i="10"/>
  <c r="BR52" i="1"/>
  <c r="BR67" i="1" s="1"/>
  <c r="BR71" i="1" s="1"/>
  <c r="C668" i="10"/>
  <c r="C715" i="10" s="1"/>
  <c r="D373" i="1"/>
  <c r="BE52" i="1"/>
  <c r="BE67" i="1" s="1"/>
  <c r="BE71" i="1" s="1"/>
  <c r="C614" i="1" s="1"/>
  <c r="AK52" i="1"/>
  <c r="AK67" i="1" s="1"/>
  <c r="AK71" i="1" s="1"/>
  <c r="AW52" i="1"/>
  <c r="AW67" i="1" s="1"/>
  <c r="AW71" i="1" s="1"/>
  <c r="G213" i="9" s="1"/>
  <c r="BY52" i="1"/>
  <c r="BY67" i="1" s="1"/>
  <c r="BY71" i="1" s="1"/>
  <c r="AM52" i="1"/>
  <c r="AM67" i="1" s="1"/>
  <c r="BP52" i="1"/>
  <c r="BP67" i="1" s="1"/>
  <c r="J799" i="1" s="1"/>
  <c r="G52" i="1"/>
  <c r="G67" i="1" s="1"/>
  <c r="G71" i="1" s="1"/>
  <c r="D52" i="1"/>
  <c r="D67" i="1" s="1"/>
  <c r="D71" i="1" s="1"/>
  <c r="BN52" i="1"/>
  <c r="BN67" i="1" s="1"/>
  <c r="BN71" i="1" s="1"/>
  <c r="C619" i="1" s="1"/>
  <c r="BM52" i="1"/>
  <c r="BM67" i="1" s="1"/>
  <c r="BM71" i="1" s="1"/>
  <c r="C638" i="1" s="1"/>
  <c r="BQ52" i="1"/>
  <c r="BQ67" i="1" s="1"/>
  <c r="BQ71" i="1" s="1"/>
  <c r="C623" i="1" s="1"/>
  <c r="AX52" i="1"/>
  <c r="AX67" i="1" s="1"/>
  <c r="AX71" i="1" s="1"/>
  <c r="BV52" i="1"/>
  <c r="BV67" i="1" s="1"/>
  <c r="BV71" i="1" s="1"/>
  <c r="T52" i="1"/>
  <c r="T67" i="1" s="1"/>
  <c r="AY52" i="1"/>
  <c r="AY67" i="1" s="1"/>
  <c r="AY71" i="1" s="1"/>
  <c r="BF52" i="1"/>
  <c r="BF67" i="1" s="1"/>
  <c r="BF71" i="1" s="1"/>
  <c r="AF52" i="1"/>
  <c r="AF67" i="1" s="1"/>
  <c r="AF71" i="1" s="1"/>
  <c r="C697" i="1" s="1"/>
  <c r="BX52" i="1"/>
  <c r="BX67" i="1" s="1"/>
  <c r="BX71" i="1" s="1"/>
  <c r="C644" i="1" s="1"/>
  <c r="P52" i="1"/>
  <c r="P67" i="1" s="1"/>
  <c r="H52" i="1"/>
  <c r="H67" i="1" s="1"/>
  <c r="H71" i="1" s="1"/>
  <c r="AJ52" i="1"/>
  <c r="AJ67" i="1" s="1"/>
  <c r="AJ71" i="1" s="1"/>
  <c r="H149" i="9" s="1"/>
  <c r="AB52" i="1"/>
  <c r="AB67" i="1" s="1"/>
  <c r="G113" i="9" s="1"/>
  <c r="V52" i="1"/>
  <c r="V67" i="1" s="1"/>
  <c r="J753" i="1" s="1"/>
  <c r="BO52" i="1"/>
  <c r="BO67" i="1" s="1"/>
  <c r="BO71" i="1" s="1"/>
  <c r="D309" i="9" s="1"/>
  <c r="J52" i="1"/>
  <c r="J67" i="1" s="1"/>
  <c r="J71" i="1" s="1"/>
  <c r="AG52" i="1"/>
  <c r="AG67" i="1" s="1"/>
  <c r="E145" i="9" s="1"/>
  <c r="AH52" i="1"/>
  <c r="AH67" i="1" s="1"/>
  <c r="BT52" i="1"/>
  <c r="BT67" i="1" s="1"/>
  <c r="AN71" i="1"/>
  <c r="E181" i="9" s="1"/>
  <c r="BP71" i="1"/>
  <c r="C561" i="1" s="1"/>
  <c r="F309" i="9"/>
  <c r="C530" i="1"/>
  <c r="G530" i="1" s="1"/>
  <c r="I149" i="9"/>
  <c r="C702" i="1"/>
  <c r="BT71" i="1"/>
  <c r="C640" i="1" s="1"/>
  <c r="C562" i="1"/>
  <c r="C542" i="1"/>
  <c r="C558" i="1"/>
  <c r="C631" i="1"/>
  <c r="C671" i="1"/>
  <c r="C499" i="1"/>
  <c r="G499" i="1" s="1"/>
  <c r="E744" i="1"/>
  <c r="CE62" i="1"/>
  <c r="H172" i="9"/>
  <c r="E811" i="1"/>
  <c r="M71" i="1"/>
  <c r="F53" i="9" s="1"/>
  <c r="CE48" i="1"/>
  <c r="C569" i="1"/>
  <c r="F341" i="9"/>
  <c r="E756" i="1"/>
  <c r="D108" i="9"/>
  <c r="I277" i="9"/>
  <c r="C716" i="10"/>
  <c r="M815" i="10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705" i="10"/>
  <c r="D689" i="10"/>
  <c r="D684" i="10"/>
  <c r="D680" i="10"/>
  <c r="D676" i="10"/>
  <c r="D672" i="10"/>
  <c r="D668" i="10"/>
  <c r="D709" i="10"/>
  <c r="D693" i="10"/>
  <c r="D685" i="10"/>
  <c r="D681" i="10"/>
  <c r="D677" i="10"/>
  <c r="D673" i="10"/>
  <c r="D669" i="10"/>
  <c r="D647" i="10"/>
  <c r="D646" i="10"/>
  <c r="D645" i="10"/>
  <c r="D697" i="10"/>
  <c r="D686" i="10"/>
  <c r="D674" i="10"/>
  <c r="D629" i="10"/>
  <c r="D626" i="10"/>
  <c r="D713" i="10"/>
  <c r="D678" i="10"/>
  <c r="D644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3" i="10"/>
  <c r="D621" i="10"/>
  <c r="D619" i="10"/>
  <c r="D617" i="10"/>
  <c r="D682" i="10"/>
  <c r="D642" i="10"/>
  <c r="D641" i="10"/>
  <c r="D628" i="10"/>
  <c r="D624" i="10"/>
  <c r="D622" i="10"/>
  <c r="D620" i="10"/>
  <c r="D618" i="10"/>
  <c r="D643" i="10"/>
  <c r="D616" i="10"/>
  <c r="D670" i="10"/>
  <c r="D627" i="10"/>
  <c r="G496" i="10"/>
  <c r="H496" i="10" s="1"/>
  <c r="F76" i="9"/>
  <c r="E751" i="1"/>
  <c r="T71" i="1"/>
  <c r="C549" i="1"/>
  <c r="G245" i="9"/>
  <c r="C624" i="1"/>
  <c r="I49" i="9"/>
  <c r="J747" i="1"/>
  <c r="H17" i="9"/>
  <c r="J739" i="1"/>
  <c r="C705" i="1"/>
  <c r="J765" i="1"/>
  <c r="J806" i="10"/>
  <c r="J776" i="10"/>
  <c r="J755" i="10"/>
  <c r="N815" i="1"/>
  <c r="F51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C691" i="1" s="1"/>
  <c r="BB52" i="1"/>
  <c r="BB67" i="1" s="1"/>
  <c r="BB71" i="1" s="1"/>
  <c r="C547" i="1" s="1"/>
  <c r="L52" i="1"/>
  <c r="L67" i="1" s="1"/>
  <c r="L71" i="1" s="1"/>
  <c r="C677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I85" i="9" s="1"/>
  <c r="AS52" i="1"/>
  <c r="AS67" i="1" s="1"/>
  <c r="AS71" i="1" s="1"/>
  <c r="AQ52" i="1"/>
  <c r="AQ67" i="1" s="1"/>
  <c r="AQ71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E760" i="1"/>
  <c r="F236" i="9"/>
  <c r="E786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C568" i="1" s="1"/>
  <c r="BI52" i="1"/>
  <c r="BI67" i="1" s="1"/>
  <c r="BI71" i="1" s="1"/>
  <c r="E277" i="9" s="1"/>
  <c r="K52" i="1"/>
  <c r="K67" i="1" s="1"/>
  <c r="K71" i="1" s="1"/>
  <c r="C701" i="1"/>
  <c r="C529" i="1"/>
  <c r="G529" i="1" s="1"/>
  <c r="D465" i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713" i="1"/>
  <c r="F213" i="9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520" i="1"/>
  <c r="G520" i="1" s="1"/>
  <c r="C692" i="1"/>
  <c r="F117" i="9"/>
  <c r="C616" i="1"/>
  <c r="C543" i="1"/>
  <c r="H213" i="9"/>
  <c r="E766" i="10"/>
  <c r="E790" i="10"/>
  <c r="C126" i="8"/>
  <c r="D391" i="1"/>
  <c r="F32" i="6"/>
  <c r="C478" i="1"/>
  <c r="J748" i="10"/>
  <c r="J763" i="10"/>
  <c r="J795" i="10"/>
  <c r="C102" i="8"/>
  <c r="C482" i="1"/>
  <c r="C670" i="1"/>
  <c r="E760" i="10"/>
  <c r="E770" i="10"/>
  <c r="E786" i="10"/>
  <c r="E802" i="10"/>
  <c r="E810" i="10"/>
  <c r="F498" i="1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63" i="1"/>
  <c r="G309" i="9"/>
  <c r="C626" i="1"/>
  <c r="C632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J735" i="1"/>
  <c r="D17" i="9"/>
  <c r="J800" i="1"/>
  <c r="F305" i="9"/>
  <c r="J771" i="10"/>
  <c r="C707" i="1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6" i="1"/>
  <c r="G506" i="1" s="1"/>
  <c r="G53" i="9"/>
  <c r="C507" i="1"/>
  <c r="G507" i="1" s="1"/>
  <c r="C679" i="1"/>
  <c r="F277" i="9"/>
  <c r="J797" i="1" l="1"/>
  <c r="C309" i="9"/>
  <c r="D305" i="9"/>
  <c r="V71" i="1"/>
  <c r="C515" i="1" s="1"/>
  <c r="G515" i="1" s="1"/>
  <c r="C305" i="9"/>
  <c r="C559" i="1"/>
  <c r="C560" i="1"/>
  <c r="J798" i="1"/>
  <c r="H241" i="9"/>
  <c r="C627" i="1"/>
  <c r="C525" i="1"/>
  <c r="G525" i="1" s="1"/>
  <c r="H245" i="9"/>
  <c r="J788" i="1"/>
  <c r="D149" i="9"/>
  <c r="J763" i="1"/>
  <c r="C550" i="1"/>
  <c r="G550" i="1" s="1"/>
  <c r="D145" i="9"/>
  <c r="J764" i="1"/>
  <c r="E305" i="9"/>
  <c r="E814" i="10"/>
  <c r="C673" i="1"/>
  <c r="C501" i="1"/>
  <c r="G501" i="1" s="1"/>
  <c r="H501" i="1" s="1"/>
  <c r="H21" i="9"/>
  <c r="C545" i="1"/>
  <c r="G545" i="1" s="1"/>
  <c r="C533" i="1"/>
  <c r="G533" i="1" s="1"/>
  <c r="AG71" i="1"/>
  <c r="C526" i="1" s="1"/>
  <c r="G526" i="1" s="1"/>
  <c r="C555" i="1"/>
  <c r="E245" i="9"/>
  <c r="E21" i="9"/>
  <c r="C698" i="1"/>
  <c r="C531" i="1"/>
  <c r="G531" i="1" s="1"/>
  <c r="H85" i="9"/>
  <c r="C703" i="1"/>
  <c r="G181" i="9"/>
  <c r="J759" i="1"/>
  <c r="AB71" i="1"/>
  <c r="C49" i="9"/>
  <c r="J741" i="1"/>
  <c r="H309" i="9"/>
  <c r="I309" i="9"/>
  <c r="J803" i="1"/>
  <c r="I305" i="9"/>
  <c r="F145" i="9"/>
  <c r="AH71" i="1"/>
  <c r="C565" i="1"/>
  <c r="E149" i="9"/>
  <c r="E309" i="9"/>
  <c r="C505" i="1"/>
  <c r="G505" i="1" s="1"/>
  <c r="C502" i="1"/>
  <c r="G502" i="1" s="1"/>
  <c r="C700" i="1"/>
  <c r="C528" i="1"/>
  <c r="G528" i="1" s="1"/>
  <c r="C537" i="1"/>
  <c r="G537" i="1" s="1"/>
  <c r="C621" i="1"/>
  <c r="D373" i="9"/>
  <c r="C574" i="1"/>
  <c r="I21" i="9"/>
  <c r="C695" i="1"/>
  <c r="C516" i="1"/>
  <c r="C647" i="1"/>
  <c r="C694" i="1"/>
  <c r="C522" i="1"/>
  <c r="G522" i="1" s="1"/>
  <c r="C708" i="1"/>
  <c r="H181" i="9"/>
  <c r="C690" i="1"/>
  <c r="C518" i="1"/>
  <c r="G518" i="1" s="1"/>
  <c r="D117" i="9"/>
  <c r="C546" i="1"/>
  <c r="G546" i="1" s="1"/>
  <c r="D245" i="9"/>
  <c r="C630" i="1"/>
  <c r="C618" i="1"/>
  <c r="C552" i="1"/>
  <c r="C523" i="1"/>
  <c r="G523" i="1" s="1"/>
  <c r="E341" i="9"/>
  <c r="C689" i="1"/>
  <c r="C117" i="9"/>
  <c r="C517" i="1"/>
  <c r="G517" i="1" s="1"/>
  <c r="C521" i="1"/>
  <c r="G521" i="1" s="1"/>
  <c r="C628" i="1"/>
  <c r="C566" i="1"/>
  <c r="C641" i="1"/>
  <c r="C341" i="9"/>
  <c r="H511" i="1"/>
  <c r="I341" i="9"/>
  <c r="C709" i="1"/>
  <c r="E117" i="9"/>
  <c r="D277" i="9"/>
  <c r="C683" i="1"/>
  <c r="D615" i="1"/>
  <c r="C540" i="1"/>
  <c r="G540" i="1" s="1"/>
  <c r="E213" i="9"/>
  <c r="C712" i="1"/>
  <c r="C688" i="1"/>
  <c r="C557" i="1"/>
  <c r="C637" i="1"/>
  <c r="H277" i="9"/>
  <c r="C676" i="1"/>
  <c r="C504" i="1"/>
  <c r="G504" i="1" s="1"/>
  <c r="D53" i="9"/>
  <c r="F181" i="9"/>
  <c r="C534" i="1"/>
  <c r="G534" i="1" s="1"/>
  <c r="C706" i="1"/>
  <c r="D85" i="9"/>
  <c r="C643" i="1"/>
  <c r="C524" i="1"/>
  <c r="C696" i="1"/>
  <c r="C149" i="9"/>
  <c r="C554" i="1"/>
  <c r="C634" i="1"/>
  <c r="C510" i="1"/>
  <c r="G510" i="1" s="1"/>
  <c r="C85" i="9"/>
  <c r="C682" i="1"/>
  <c r="C710" i="1"/>
  <c r="C538" i="1"/>
  <c r="G538" i="1" s="1"/>
  <c r="C213" i="9"/>
  <c r="G85" i="9"/>
  <c r="C686" i="1"/>
  <c r="C514" i="1"/>
  <c r="G514" i="1" s="1"/>
  <c r="C553" i="1"/>
  <c r="C564" i="1"/>
  <c r="C519" i="1"/>
  <c r="G519" i="1" s="1"/>
  <c r="E53" i="9"/>
  <c r="C675" i="1"/>
  <c r="C503" i="1"/>
  <c r="G503" i="1" s="1"/>
  <c r="C53" i="9"/>
  <c r="C678" i="1"/>
  <c r="C536" i="1"/>
  <c r="G536" i="1" s="1"/>
  <c r="E816" i="1"/>
  <c r="I364" i="9"/>
  <c r="E815" i="1"/>
  <c r="C428" i="1"/>
  <c r="C573" i="1"/>
  <c r="H117" i="9"/>
  <c r="H498" i="1"/>
  <c r="C373" i="9"/>
  <c r="H544" i="1"/>
  <c r="H520" i="1"/>
  <c r="D715" i="10"/>
  <c r="E623" i="10"/>
  <c r="E612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F508" i="1"/>
  <c r="H508" i="1" s="1"/>
  <c r="F514" i="1"/>
  <c r="H507" i="1"/>
  <c r="F507" i="1"/>
  <c r="H518" i="1"/>
  <c r="F518" i="1"/>
  <c r="F546" i="1"/>
  <c r="F506" i="1"/>
  <c r="H506" i="1"/>
  <c r="H500" i="1"/>
  <c r="F500" i="1"/>
  <c r="F509" i="1"/>
  <c r="C648" i="1" l="1"/>
  <c r="M716" i="1" s="1"/>
  <c r="Y816" i="1" s="1"/>
  <c r="C687" i="1"/>
  <c r="H550" i="1"/>
  <c r="C693" i="1"/>
  <c r="G117" i="9"/>
  <c r="C699" i="1"/>
  <c r="C527" i="1"/>
  <c r="G527" i="1" s="1"/>
  <c r="F149" i="9"/>
  <c r="H503" i="1"/>
  <c r="H514" i="1"/>
  <c r="G516" i="1"/>
  <c r="H516" i="1"/>
  <c r="H546" i="1"/>
  <c r="G524" i="1"/>
  <c r="H524" i="1"/>
  <c r="H510" i="1"/>
  <c r="C668" i="1"/>
  <c r="C21" i="9"/>
  <c r="C496" i="1"/>
  <c r="H517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41" i="1"/>
  <c r="D643" i="1"/>
  <c r="D708" i="1"/>
  <c r="D679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68" i="1"/>
  <c r="D619" i="1"/>
  <c r="D688" i="1"/>
  <c r="D624" i="1"/>
  <c r="D625" i="1"/>
  <c r="D681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80" i="1"/>
  <c r="D633" i="1"/>
  <c r="D646" i="1"/>
  <c r="D695" i="1"/>
  <c r="D683" i="1"/>
  <c r="D693" i="1"/>
  <c r="H509" i="1"/>
  <c r="H512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4" i="10"/>
  <c r="E680" i="10"/>
  <c r="E676" i="10"/>
  <c r="E672" i="10"/>
  <c r="E668" i="10"/>
  <c r="E702" i="10"/>
  <c r="E685" i="10"/>
  <c r="E681" i="10"/>
  <c r="E677" i="10"/>
  <c r="E673" i="10"/>
  <c r="E669" i="10"/>
  <c r="E647" i="10"/>
  <c r="E646" i="10"/>
  <c r="E645" i="10"/>
  <c r="E706" i="10"/>
  <c r="E690" i="10"/>
  <c r="E686" i="10"/>
  <c r="E682" i="10"/>
  <c r="E678" i="10"/>
  <c r="E674" i="10"/>
  <c r="E670" i="10"/>
  <c r="E644" i="10"/>
  <c r="E643" i="10"/>
  <c r="E642" i="10"/>
  <c r="E641" i="10"/>
  <c r="E67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75" i="10"/>
  <c r="E628" i="10"/>
  <c r="E624" i="10"/>
  <c r="E694" i="10"/>
  <c r="E679" i="10"/>
  <c r="E627" i="10"/>
  <c r="E710" i="10"/>
  <c r="E629" i="10"/>
  <c r="E626" i="10"/>
  <c r="E683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716" i="1" s="1"/>
  <c r="C716" i="1"/>
  <c r="I373" i="9"/>
  <c r="D715" i="1"/>
  <c r="C715" i="1"/>
  <c r="E612" i="1"/>
  <c r="G496" i="1"/>
  <c r="H496" i="1" s="1"/>
  <c r="E715" i="10"/>
  <c r="F624" i="10"/>
  <c r="C433" i="1"/>
  <c r="C441" i="1" s="1"/>
  <c r="J816" i="1"/>
  <c r="I369" i="9"/>
  <c r="J815" i="10"/>
  <c r="E639" i="1" l="1"/>
  <c r="E633" i="1"/>
  <c r="E676" i="1"/>
  <c r="E687" i="1"/>
  <c r="E673" i="1"/>
  <c r="E668" i="1"/>
  <c r="E679" i="1"/>
  <c r="E691" i="1"/>
  <c r="E628" i="1"/>
  <c r="E703" i="1"/>
  <c r="E705" i="1"/>
  <c r="E681" i="1"/>
  <c r="E684" i="1"/>
  <c r="E640" i="1"/>
  <c r="E643" i="1"/>
  <c r="E630" i="1"/>
  <c r="E697" i="1"/>
  <c r="E706" i="1"/>
  <c r="E674" i="1"/>
  <c r="E634" i="1"/>
  <c r="E690" i="1"/>
  <c r="E710" i="1"/>
  <c r="E698" i="1"/>
  <c r="E636" i="1"/>
  <c r="E626" i="1"/>
  <c r="E669" i="1"/>
  <c r="E713" i="1"/>
  <c r="E695" i="1"/>
  <c r="E632" i="1"/>
  <c r="E647" i="1"/>
  <c r="E646" i="1"/>
  <c r="E712" i="1"/>
  <c r="E642" i="1"/>
  <c r="E678" i="1"/>
  <c r="E637" i="1"/>
  <c r="E699" i="1"/>
  <c r="E672" i="1"/>
  <c r="E644" i="1"/>
  <c r="E677" i="1"/>
  <c r="E675" i="1"/>
  <c r="E671" i="1"/>
  <c r="E709" i="1"/>
  <c r="E686" i="1"/>
  <c r="E680" i="1"/>
  <c r="E694" i="1"/>
  <c r="E693" i="1"/>
  <c r="E696" i="1"/>
  <c r="E635" i="1"/>
  <c r="E627" i="1"/>
  <c r="E711" i="1"/>
  <c r="E645" i="1"/>
  <c r="E704" i="1"/>
  <c r="E638" i="1"/>
  <c r="E685" i="1"/>
  <c r="E682" i="1"/>
  <c r="E708" i="1"/>
  <c r="E688" i="1"/>
  <c r="E670" i="1"/>
  <c r="E702" i="1"/>
  <c r="E683" i="1"/>
  <c r="E692" i="1"/>
  <c r="E629" i="1"/>
  <c r="E641" i="1"/>
  <c r="E707" i="1"/>
  <c r="E624" i="1"/>
  <c r="F624" i="1" s="1"/>
  <c r="E701" i="1"/>
  <c r="E631" i="1"/>
  <c r="E700" i="1"/>
  <c r="E689" i="1"/>
  <c r="E625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1" i="10"/>
  <c r="F677" i="10"/>
  <c r="F673" i="10"/>
  <c r="F669" i="10"/>
  <c r="F647" i="10"/>
  <c r="F646" i="10"/>
  <c r="F645" i="10"/>
  <c r="F716" i="10"/>
  <c r="F699" i="10"/>
  <c r="F682" i="10"/>
  <c r="F678" i="10"/>
  <c r="F674" i="10"/>
  <c r="F670" i="10"/>
  <c r="F644" i="10"/>
  <c r="F643" i="10"/>
  <c r="F703" i="10"/>
  <c r="F687" i="10"/>
  <c r="F683" i="10"/>
  <c r="F679" i="10"/>
  <c r="F675" i="10"/>
  <c r="F671" i="10"/>
  <c r="F691" i="10"/>
  <c r="F684" i="10"/>
  <c r="F668" i="10"/>
  <c r="F628" i="10"/>
  <c r="F707" i="10"/>
  <c r="F672" i="10"/>
  <c r="F642" i="10"/>
  <c r="F641" i="10"/>
  <c r="F627" i="10"/>
  <c r="F676" i="10"/>
  <c r="F629" i="10"/>
  <c r="F626" i="10"/>
  <c r="F680" i="10"/>
  <c r="F639" i="10"/>
  <c r="F637" i="10"/>
  <c r="F635" i="10"/>
  <c r="F633" i="10"/>
  <c r="F631" i="10"/>
  <c r="F625" i="10"/>
  <c r="F640" i="10"/>
  <c r="F638" i="10"/>
  <c r="F636" i="10"/>
  <c r="F634" i="10"/>
  <c r="F632" i="10"/>
  <c r="F630" i="10"/>
  <c r="F707" i="1" l="1"/>
  <c r="F671" i="1"/>
  <c r="F688" i="1"/>
  <c r="F708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32" i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89" i="1"/>
  <c r="F675" i="1"/>
  <c r="F711" i="1"/>
  <c r="F634" i="1"/>
  <c r="F676" i="1"/>
  <c r="F704" i="1"/>
  <c r="F627" i="1"/>
  <c r="F700" i="1"/>
  <c r="F674" i="1"/>
  <c r="F713" i="1"/>
  <c r="F709" i="1"/>
  <c r="F683" i="1"/>
  <c r="F625" i="1"/>
  <c r="G625" i="1" s="1"/>
  <c r="F643" i="1"/>
  <c r="F681" i="1"/>
  <c r="F680" i="1"/>
  <c r="F703" i="1"/>
  <c r="F631" i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E715" i="1"/>
  <c r="F715" i="10"/>
  <c r="G624" i="10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88" i="1"/>
  <c r="G638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44" i="1"/>
  <c r="G711" i="1"/>
  <c r="G709" i="1"/>
  <c r="G639" i="1"/>
  <c r="G687" i="1"/>
  <c r="G700" i="1"/>
  <c r="G682" i="1"/>
  <c r="G694" i="1"/>
  <c r="G672" i="1"/>
  <c r="G628" i="1"/>
  <c r="G676" i="1"/>
  <c r="G702" i="1"/>
  <c r="G669" i="1"/>
  <c r="G645" i="1"/>
  <c r="G640" i="1"/>
  <c r="G626" i="1"/>
  <c r="G689" i="1"/>
  <c r="G707" i="1"/>
  <c r="G696" i="1"/>
  <c r="G632" i="1"/>
  <c r="G705" i="1"/>
  <c r="G686" i="1"/>
  <c r="G671" i="1"/>
  <c r="G629" i="1"/>
  <c r="G681" i="1"/>
  <c r="G674" i="1"/>
  <c r="G690" i="1"/>
  <c r="G695" i="1"/>
  <c r="G710" i="1"/>
  <c r="G646" i="1"/>
  <c r="G636" i="1"/>
  <c r="G634" i="1"/>
  <c r="G706" i="1"/>
  <c r="F715" i="1"/>
  <c r="G713" i="10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2" i="10"/>
  <c r="G678" i="10"/>
  <c r="G674" i="10"/>
  <c r="G670" i="10"/>
  <c r="G644" i="10"/>
  <c r="G643" i="10"/>
  <c r="G642" i="10"/>
  <c r="G641" i="10"/>
  <c r="G712" i="10"/>
  <c r="G696" i="10"/>
  <c r="G683" i="10"/>
  <c r="G679" i="10"/>
  <c r="G675" i="10"/>
  <c r="G671" i="10"/>
  <c r="G700" i="10"/>
  <c r="G684" i="10"/>
  <c r="G680" i="10"/>
  <c r="G676" i="10"/>
  <c r="G672" i="10"/>
  <c r="G668" i="10"/>
  <c r="G681" i="10"/>
  <c r="G646" i="10"/>
  <c r="G627" i="10"/>
  <c r="G669" i="10"/>
  <c r="G629" i="10"/>
  <c r="G626" i="10"/>
  <c r="G688" i="10"/>
  <c r="G673" i="10"/>
  <c r="G645" i="10"/>
  <c r="G640" i="10"/>
  <c r="G639" i="10"/>
  <c r="G638" i="10"/>
  <c r="G637" i="10"/>
  <c r="G636" i="10"/>
  <c r="G635" i="10"/>
  <c r="G634" i="10"/>
  <c r="G633" i="10"/>
  <c r="G632" i="10"/>
  <c r="G631" i="10"/>
  <c r="G630" i="10"/>
  <c r="G625" i="10"/>
  <c r="G704" i="10"/>
  <c r="G628" i="10"/>
  <c r="G677" i="10"/>
  <c r="H628" i="10" l="1"/>
  <c r="G715" i="1"/>
  <c r="H628" i="1"/>
  <c r="G715" i="10"/>
  <c r="H710" i="10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3" i="10"/>
  <c r="H679" i="10"/>
  <c r="H675" i="10"/>
  <c r="H671" i="10"/>
  <c r="H709" i="10"/>
  <c r="H693" i="10"/>
  <c r="H686" i="10"/>
  <c r="H684" i="10"/>
  <c r="H680" i="10"/>
  <c r="H676" i="10"/>
  <c r="H672" i="10"/>
  <c r="H668" i="10"/>
  <c r="H713" i="10"/>
  <c r="H697" i="10"/>
  <c r="H681" i="10"/>
  <c r="H677" i="10"/>
  <c r="H673" i="10"/>
  <c r="H669" i="10"/>
  <c r="H646" i="10"/>
  <c r="H645" i="10"/>
  <c r="H678" i="10"/>
  <c r="H644" i="10"/>
  <c r="H642" i="10"/>
  <c r="H641" i="10"/>
  <c r="H629" i="10"/>
  <c r="H701" i="10"/>
  <c r="H685" i="10"/>
  <c r="H682" i="10"/>
  <c r="H640" i="10"/>
  <c r="H639" i="10"/>
  <c r="H638" i="10"/>
  <c r="H637" i="10"/>
  <c r="H636" i="10"/>
  <c r="H635" i="10"/>
  <c r="H634" i="10"/>
  <c r="H633" i="10"/>
  <c r="H632" i="10"/>
  <c r="H631" i="10"/>
  <c r="H630" i="10"/>
  <c r="H670" i="10"/>
  <c r="H647" i="10"/>
  <c r="H643" i="10"/>
  <c r="H674" i="10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36" i="1"/>
  <c r="H685" i="1"/>
  <c r="H689" i="1"/>
  <c r="H681" i="1"/>
  <c r="H708" i="1"/>
  <c r="H693" i="1"/>
  <c r="H692" i="1"/>
  <c r="H716" i="1"/>
  <c r="H640" i="1"/>
  <c r="H700" i="1"/>
  <c r="H677" i="1"/>
  <c r="H683" i="1"/>
  <c r="H633" i="1"/>
  <c r="H680" i="1"/>
  <c r="H675" i="1"/>
  <c r="H647" i="1"/>
  <c r="H682" i="1"/>
  <c r="H638" i="1"/>
  <c r="H703" i="1"/>
  <c r="H679" i="1"/>
  <c r="H686" i="1"/>
  <c r="H632" i="1"/>
  <c r="H676" i="1"/>
  <c r="H668" i="1"/>
  <c r="H669" i="1"/>
  <c r="H646" i="1"/>
  <c r="H630" i="1"/>
  <c r="H712" i="1"/>
  <c r="H707" i="1"/>
  <c r="H698" i="1"/>
  <c r="H634" i="1"/>
  <c r="H706" i="1"/>
  <c r="H715" i="10"/>
  <c r="I629" i="10"/>
  <c r="H715" i="1" l="1"/>
  <c r="I629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4" i="10"/>
  <c r="I680" i="10"/>
  <c r="I676" i="10"/>
  <c r="I672" i="10"/>
  <c r="I668" i="10"/>
  <c r="I706" i="10"/>
  <c r="I690" i="10"/>
  <c r="I681" i="10"/>
  <c r="I677" i="10"/>
  <c r="I673" i="10"/>
  <c r="I669" i="10"/>
  <c r="I646" i="10"/>
  <c r="I645" i="10"/>
  <c r="I710" i="10"/>
  <c r="I694" i="10"/>
  <c r="I685" i="10"/>
  <c r="I682" i="10"/>
  <c r="I678" i="10"/>
  <c r="I674" i="10"/>
  <c r="I670" i="10"/>
  <c r="I647" i="10"/>
  <c r="I644" i="10"/>
  <c r="I643" i="10"/>
  <c r="I642" i="10"/>
  <c r="I641" i="10"/>
  <c r="I640" i="10"/>
  <c r="I675" i="10"/>
  <c r="I639" i="10"/>
  <c r="I638" i="10"/>
  <c r="I637" i="10"/>
  <c r="I636" i="10"/>
  <c r="I635" i="10"/>
  <c r="I634" i="10"/>
  <c r="I633" i="10"/>
  <c r="I632" i="10"/>
  <c r="I631" i="10"/>
  <c r="I630" i="10"/>
  <c r="I679" i="10"/>
  <c r="I683" i="10"/>
  <c r="I698" i="10"/>
  <c r="I671" i="10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96" i="1"/>
  <c r="I643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700" i="1"/>
  <c r="I699" i="1"/>
  <c r="I691" i="1"/>
  <c r="I688" i="1"/>
  <c r="I698" i="1"/>
  <c r="I701" i="1"/>
  <c r="I679" i="1"/>
  <c r="I632" i="1"/>
  <c r="I635" i="1"/>
  <c r="I644" i="1"/>
  <c r="I680" i="1"/>
  <c r="I695" i="1"/>
  <c r="I713" i="1"/>
  <c r="I678" i="1"/>
  <c r="I633" i="1"/>
  <c r="I715" i="10"/>
  <c r="J630" i="10"/>
  <c r="I715" i="1" l="1"/>
  <c r="J630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1" i="10"/>
  <c r="J677" i="10"/>
  <c r="J673" i="10"/>
  <c r="J669" i="10"/>
  <c r="J646" i="10"/>
  <c r="J645" i="10"/>
  <c r="J703" i="10"/>
  <c r="J687" i="10"/>
  <c r="J682" i="10"/>
  <c r="J678" i="10"/>
  <c r="J674" i="10"/>
  <c r="J670" i="10"/>
  <c r="J647" i="10"/>
  <c r="L647" i="10" s="1"/>
  <c r="J644" i="10"/>
  <c r="K644" i="10" s="1"/>
  <c r="J643" i="10"/>
  <c r="J642" i="10"/>
  <c r="J707" i="10"/>
  <c r="J691" i="10"/>
  <c r="J683" i="10"/>
  <c r="J679" i="10"/>
  <c r="J675" i="10"/>
  <c r="J671" i="10"/>
  <c r="J672" i="10"/>
  <c r="J640" i="10"/>
  <c r="J695" i="10"/>
  <c r="J676" i="10"/>
  <c r="J711" i="10"/>
  <c r="J680" i="10"/>
  <c r="J668" i="10"/>
  <c r="J641" i="10"/>
  <c r="J684" i="10"/>
  <c r="J638" i="10"/>
  <c r="J636" i="10"/>
  <c r="J634" i="10"/>
  <c r="J632" i="10"/>
  <c r="J633" i="10"/>
  <c r="J637" i="10"/>
  <c r="J635" i="10"/>
  <c r="J639" i="10"/>
  <c r="J631" i="10"/>
  <c r="J715" i="10" l="1"/>
  <c r="J679" i="1"/>
  <c r="J672" i="1"/>
  <c r="J646" i="1"/>
  <c r="J699" i="1"/>
  <c r="J704" i="1"/>
  <c r="J633" i="1"/>
  <c r="J690" i="1"/>
  <c r="J694" i="1"/>
  <c r="J678" i="1"/>
  <c r="J710" i="1"/>
  <c r="J684" i="1"/>
  <c r="J634" i="1"/>
  <c r="J674" i="1"/>
  <c r="J692" i="1"/>
  <c r="J712" i="1"/>
  <c r="J643" i="1"/>
  <c r="J637" i="1"/>
  <c r="J647" i="1"/>
  <c r="L647" i="1" s="1"/>
  <c r="J693" i="1"/>
  <c r="J682" i="1"/>
  <c r="J716" i="1"/>
  <c r="J639" i="1"/>
  <c r="J703" i="1"/>
  <c r="J681" i="1"/>
  <c r="J670" i="1"/>
  <c r="J636" i="1"/>
  <c r="J689" i="1"/>
  <c r="J645" i="1"/>
  <c r="J638" i="1"/>
  <c r="J691" i="1"/>
  <c r="J631" i="1"/>
  <c r="J683" i="1"/>
  <c r="J642" i="1"/>
  <c r="J713" i="1"/>
  <c r="J685" i="1"/>
  <c r="J644" i="1"/>
  <c r="K644" i="1" s="1"/>
  <c r="J695" i="1"/>
  <c r="J641" i="1"/>
  <c r="J711" i="1"/>
  <c r="J707" i="1"/>
  <c r="J700" i="1"/>
  <c r="J701" i="1"/>
  <c r="J671" i="1"/>
  <c r="J635" i="1"/>
  <c r="J632" i="1"/>
  <c r="J698" i="1"/>
  <c r="J673" i="1"/>
  <c r="J640" i="1"/>
  <c r="J677" i="1"/>
  <c r="J705" i="1"/>
  <c r="J669" i="1"/>
  <c r="J709" i="1"/>
  <c r="J708" i="1"/>
  <c r="J686" i="1"/>
  <c r="J697" i="1"/>
  <c r="J675" i="1"/>
  <c r="J696" i="1"/>
  <c r="J676" i="1"/>
  <c r="J680" i="1"/>
  <c r="J702" i="1"/>
  <c r="J668" i="1"/>
  <c r="J706" i="1"/>
  <c r="J688" i="1"/>
  <c r="J687" i="1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2" i="10"/>
  <c r="K678" i="10"/>
  <c r="K674" i="10"/>
  <c r="K670" i="10"/>
  <c r="K700" i="10"/>
  <c r="K685" i="10"/>
  <c r="K683" i="10"/>
  <c r="K679" i="10"/>
  <c r="K675" i="10"/>
  <c r="K671" i="10"/>
  <c r="K704" i="10"/>
  <c r="K688" i="10"/>
  <c r="K684" i="10"/>
  <c r="K680" i="10"/>
  <c r="K676" i="10"/>
  <c r="K672" i="10"/>
  <c r="K668" i="10"/>
  <c r="K715" i="10" s="1"/>
  <c r="K708" i="10"/>
  <c r="K669" i="10"/>
  <c r="K673" i="10"/>
  <c r="K677" i="10"/>
  <c r="K692" i="10"/>
  <c r="K681" i="10"/>
  <c r="L710" i="10"/>
  <c r="M710" i="10" s="1"/>
  <c r="Z776" i="10" s="1"/>
  <c r="L706" i="10"/>
  <c r="M706" i="10" s="1"/>
  <c r="Z772" i="10" s="1"/>
  <c r="L702" i="10"/>
  <c r="M702" i="10" s="1"/>
  <c r="Z768" i="10" s="1"/>
  <c r="L698" i="10"/>
  <c r="M698" i="10" s="1"/>
  <c r="Z764" i="10" s="1"/>
  <c r="L694" i="10"/>
  <c r="M694" i="10" s="1"/>
  <c r="Z760" i="10" s="1"/>
  <c r="L690" i="10"/>
  <c r="M690" i="10" s="1"/>
  <c r="Z756" i="10" s="1"/>
  <c r="L686" i="10"/>
  <c r="M686" i="10" s="1"/>
  <c r="Z752" i="10" s="1"/>
  <c r="L716" i="10"/>
  <c r="L711" i="10"/>
  <c r="M711" i="10" s="1"/>
  <c r="Z777" i="10" s="1"/>
  <c r="L707" i="10"/>
  <c r="M707" i="10" s="1"/>
  <c r="Z773" i="10" s="1"/>
  <c r="L703" i="10"/>
  <c r="M703" i="10" s="1"/>
  <c r="Z769" i="10" s="1"/>
  <c r="L699" i="10"/>
  <c r="M699" i="10" s="1"/>
  <c r="Z765" i="10" s="1"/>
  <c r="L695" i="10"/>
  <c r="M695" i="10" s="1"/>
  <c r="Z761" i="10" s="1"/>
  <c r="L691" i="10"/>
  <c r="M691" i="10" s="1"/>
  <c r="Z757" i="10" s="1"/>
  <c r="L687" i="10"/>
  <c r="M687" i="10" s="1"/>
  <c r="Z753" i="10" s="1"/>
  <c r="L712" i="10"/>
  <c r="M712" i="10" s="1"/>
  <c r="Z778" i="10" s="1"/>
  <c r="L708" i="10"/>
  <c r="M708" i="10" s="1"/>
  <c r="Z774" i="10" s="1"/>
  <c r="L704" i="10"/>
  <c r="M704" i="10" s="1"/>
  <c r="Z770" i="10" s="1"/>
  <c r="L700" i="10"/>
  <c r="M700" i="10" s="1"/>
  <c r="Z766" i="10" s="1"/>
  <c r="L696" i="10"/>
  <c r="M696" i="10" s="1"/>
  <c r="Z762" i="10" s="1"/>
  <c r="L692" i="10"/>
  <c r="M692" i="10" s="1"/>
  <c r="Z758" i="10" s="1"/>
  <c r="L688" i="10"/>
  <c r="M688" i="10" s="1"/>
  <c r="Z754" i="10" s="1"/>
  <c r="L709" i="10"/>
  <c r="M709" i="10" s="1"/>
  <c r="Z775" i="10" s="1"/>
  <c r="L693" i="10"/>
  <c r="M693" i="10" s="1"/>
  <c r="Z759" i="10" s="1"/>
  <c r="L685" i="10"/>
  <c r="M685" i="10" s="1"/>
  <c r="Z751" i="10" s="1"/>
  <c r="L683" i="10"/>
  <c r="M683" i="10" s="1"/>
  <c r="Z749" i="10" s="1"/>
  <c r="L679" i="10"/>
  <c r="M679" i="10" s="1"/>
  <c r="Z745" i="10" s="1"/>
  <c r="L675" i="10"/>
  <c r="M675" i="10" s="1"/>
  <c r="Z741" i="10" s="1"/>
  <c r="L671" i="10"/>
  <c r="M671" i="10" s="1"/>
  <c r="Z737" i="10" s="1"/>
  <c r="L713" i="10"/>
  <c r="M713" i="10" s="1"/>
  <c r="L697" i="10"/>
  <c r="M697" i="10" s="1"/>
  <c r="Z763" i="10" s="1"/>
  <c r="L684" i="10"/>
  <c r="M684" i="10" s="1"/>
  <c r="Z750" i="10" s="1"/>
  <c r="L680" i="10"/>
  <c r="M680" i="10" s="1"/>
  <c r="Z746" i="10" s="1"/>
  <c r="L676" i="10"/>
  <c r="M676" i="10" s="1"/>
  <c r="Z742" i="10" s="1"/>
  <c r="L672" i="10"/>
  <c r="M672" i="10" s="1"/>
  <c r="Z738" i="10" s="1"/>
  <c r="L668" i="10"/>
  <c r="L701" i="10"/>
  <c r="M701" i="10" s="1"/>
  <c r="Z767" i="10" s="1"/>
  <c r="L681" i="10"/>
  <c r="M681" i="10" s="1"/>
  <c r="Z747" i="10" s="1"/>
  <c r="L677" i="10"/>
  <c r="M677" i="10" s="1"/>
  <c r="Z743" i="10" s="1"/>
  <c r="L673" i="10"/>
  <c r="M673" i="10" s="1"/>
  <c r="Z739" i="10" s="1"/>
  <c r="L669" i="10"/>
  <c r="M669" i="10" s="1"/>
  <c r="Z735" i="10" s="1"/>
  <c r="L682" i="10"/>
  <c r="M682" i="10" s="1"/>
  <c r="Z748" i="10" s="1"/>
  <c r="L689" i="10"/>
  <c r="M689" i="10" s="1"/>
  <c r="Z755" i="10" s="1"/>
  <c r="L670" i="10"/>
  <c r="M670" i="10" s="1"/>
  <c r="Z736" i="10" s="1"/>
  <c r="L705" i="10"/>
  <c r="M705" i="10" s="1"/>
  <c r="Z771" i="10" s="1"/>
  <c r="L674" i="10"/>
  <c r="M674" i="10" s="1"/>
  <c r="Z740" i="10" s="1"/>
  <c r="L678" i="10"/>
  <c r="M678" i="10" s="1"/>
  <c r="Z744" i="10" s="1"/>
  <c r="K716" i="1" l="1"/>
  <c r="K688" i="1"/>
  <c r="K686" i="1"/>
  <c r="K704" i="1"/>
  <c r="K702" i="1"/>
  <c r="K684" i="1"/>
  <c r="K712" i="1"/>
  <c r="K675" i="1"/>
  <c r="K691" i="1"/>
  <c r="K669" i="1"/>
  <c r="K692" i="1"/>
  <c r="K682" i="1"/>
  <c r="K687" i="1"/>
  <c r="K676" i="1"/>
  <c r="K689" i="1"/>
  <c r="K706" i="1"/>
  <c r="K677" i="1"/>
  <c r="K698" i="1"/>
  <c r="K693" i="1"/>
  <c r="K668" i="1"/>
  <c r="K715" i="1" s="1"/>
  <c r="K680" i="1"/>
  <c r="K705" i="1"/>
  <c r="K690" i="1"/>
  <c r="K710" i="1"/>
  <c r="K707" i="1"/>
  <c r="K697" i="1"/>
  <c r="K674" i="1"/>
  <c r="K683" i="1"/>
  <c r="K678" i="1"/>
  <c r="K695" i="1"/>
  <c r="K685" i="1"/>
  <c r="K701" i="1"/>
  <c r="K696" i="1"/>
  <c r="K673" i="1"/>
  <c r="K709" i="1"/>
  <c r="K671" i="1"/>
  <c r="K679" i="1"/>
  <c r="K713" i="1"/>
  <c r="K681" i="1"/>
  <c r="K711" i="1"/>
  <c r="K699" i="1"/>
  <c r="K670" i="1"/>
  <c r="K703" i="1"/>
  <c r="K708" i="1"/>
  <c r="K672" i="1"/>
  <c r="K700" i="1"/>
  <c r="K694" i="1"/>
  <c r="J715" i="1"/>
  <c r="L705" i="1"/>
  <c r="M705" i="1" s="1"/>
  <c r="L679" i="1"/>
  <c r="M679" i="1" s="1"/>
  <c r="L716" i="1"/>
  <c r="L673" i="1"/>
  <c r="M673" i="1" s="1"/>
  <c r="L702" i="1"/>
  <c r="M702" i="1" s="1"/>
  <c r="L711" i="1"/>
  <c r="M711" i="1" s="1"/>
  <c r="L688" i="1"/>
  <c r="M688" i="1" s="1"/>
  <c r="L674" i="1"/>
  <c r="M674" i="1" s="1"/>
  <c r="L709" i="1"/>
  <c r="M709" i="1" s="1"/>
  <c r="L676" i="1"/>
  <c r="M676" i="1" s="1"/>
  <c r="L689" i="1"/>
  <c r="M689" i="1" s="1"/>
  <c r="L692" i="1"/>
  <c r="M692" i="1" s="1"/>
  <c r="L672" i="1"/>
  <c r="M672" i="1" s="1"/>
  <c r="L685" i="1"/>
  <c r="M685" i="1" s="1"/>
  <c r="L686" i="1"/>
  <c r="M686" i="1" s="1"/>
  <c r="L701" i="1"/>
  <c r="M701" i="1" s="1"/>
  <c r="L706" i="1"/>
  <c r="M706" i="1" s="1"/>
  <c r="L696" i="1"/>
  <c r="M696" i="1" s="1"/>
  <c r="L697" i="1"/>
  <c r="M697" i="1" s="1"/>
  <c r="L681" i="1"/>
  <c r="M681" i="1" s="1"/>
  <c r="L687" i="1"/>
  <c r="M687" i="1" s="1"/>
  <c r="L671" i="1"/>
  <c r="M671" i="1" s="1"/>
  <c r="L677" i="1"/>
  <c r="M677" i="1" s="1"/>
  <c r="L708" i="1"/>
  <c r="M708" i="1" s="1"/>
  <c r="L691" i="1"/>
  <c r="M691" i="1" s="1"/>
  <c r="L704" i="1"/>
  <c r="M704" i="1" s="1"/>
  <c r="L684" i="1"/>
  <c r="M684" i="1" s="1"/>
  <c r="L694" i="1"/>
  <c r="M694" i="1" s="1"/>
  <c r="L700" i="1"/>
  <c r="M700" i="1" s="1"/>
  <c r="L707" i="1"/>
  <c r="M707" i="1" s="1"/>
  <c r="L703" i="1"/>
  <c r="M703" i="1" s="1"/>
  <c r="L675" i="1"/>
  <c r="M675" i="1" s="1"/>
  <c r="L680" i="1"/>
  <c r="M680" i="1" s="1"/>
  <c r="L693" i="1"/>
  <c r="M693" i="1" s="1"/>
  <c r="L713" i="1"/>
  <c r="M713" i="1" s="1"/>
  <c r="L670" i="1"/>
  <c r="M670" i="1" s="1"/>
  <c r="L695" i="1"/>
  <c r="M695" i="1" s="1"/>
  <c r="L712" i="1"/>
  <c r="M712" i="1" s="1"/>
  <c r="L698" i="1"/>
  <c r="M698" i="1" s="1"/>
  <c r="L668" i="1"/>
  <c r="L690" i="1"/>
  <c r="M690" i="1" s="1"/>
  <c r="L682" i="1"/>
  <c r="M682" i="1" s="1"/>
  <c r="L699" i="1"/>
  <c r="M699" i="1" s="1"/>
  <c r="L710" i="1"/>
  <c r="M710" i="1" s="1"/>
  <c r="L678" i="1"/>
  <c r="M678" i="1" s="1"/>
  <c r="L669" i="1"/>
  <c r="M669" i="1" s="1"/>
  <c r="L683" i="1"/>
  <c r="M683" i="1" s="1"/>
  <c r="L715" i="10"/>
  <c r="M668" i="10"/>
  <c r="Y776" i="1" l="1"/>
  <c r="C215" i="9"/>
  <c r="L715" i="1"/>
  <c r="M668" i="1"/>
  <c r="E23" i="9"/>
  <c r="Y736" i="1"/>
  <c r="C55" i="9"/>
  <c r="Y741" i="1"/>
  <c r="H119" i="9"/>
  <c r="Y760" i="1"/>
  <c r="Y774" i="1"/>
  <c r="H183" i="9"/>
  <c r="Y747" i="1"/>
  <c r="I55" i="9"/>
  <c r="Y767" i="1"/>
  <c r="H151" i="9"/>
  <c r="Y758" i="1"/>
  <c r="F119" i="9"/>
  <c r="Y740" i="1"/>
  <c r="I23" i="9"/>
  <c r="Y739" i="1"/>
  <c r="H23" i="9"/>
  <c r="Y765" i="1"/>
  <c r="F151" i="9"/>
  <c r="E151" i="9"/>
  <c r="Y764" i="1"/>
  <c r="F215" i="9"/>
  <c r="Y779" i="1"/>
  <c r="C183" i="9"/>
  <c r="Y769" i="1"/>
  <c r="E87" i="9"/>
  <c r="Y750" i="1"/>
  <c r="E55" i="9"/>
  <c r="Y743" i="1"/>
  <c r="D151" i="9"/>
  <c r="Y763" i="1"/>
  <c r="Y752" i="1"/>
  <c r="G87" i="9"/>
  <c r="Y755" i="1"/>
  <c r="C119" i="9"/>
  <c r="I87" i="9"/>
  <c r="Y754" i="1"/>
  <c r="Y749" i="1"/>
  <c r="D87" i="9"/>
  <c r="Y748" i="1"/>
  <c r="C87" i="9"/>
  <c r="E215" i="9"/>
  <c r="Y778" i="1"/>
  <c r="Y759" i="1"/>
  <c r="G119" i="9"/>
  <c r="G183" i="9"/>
  <c r="Y773" i="1"/>
  <c r="Y770" i="1"/>
  <c r="D183" i="9"/>
  <c r="Y737" i="1"/>
  <c r="F23" i="9"/>
  <c r="C151" i="9"/>
  <c r="Y762" i="1"/>
  <c r="F87" i="9"/>
  <c r="Y751" i="1"/>
  <c r="D55" i="9"/>
  <c r="Y742" i="1"/>
  <c r="Y777" i="1"/>
  <c r="D215" i="9"/>
  <c r="Y745" i="1"/>
  <c r="G55" i="9"/>
  <c r="D23" i="9"/>
  <c r="Y735" i="1"/>
  <c r="Y744" i="1"/>
  <c r="F55" i="9"/>
  <c r="D119" i="9"/>
  <c r="Y756" i="1"/>
  <c r="I119" i="9"/>
  <c r="Y761" i="1"/>
  <c r="Y746" i="1"/>
  <c r="H55" i="9"/>
  <c r="G151" i="9"/>
  <c r="Y766" i="1"/>
  <c r="E119" i="9"/>
  <c r="Y757" i="1"/>
  <c r="H87" i="9"/>
  <c r="Y753" i="1"/>
  <c r="F183" i="9"/>
  <c r="Y772" i="1"/>
  <c r="Y738" i="1"/>
  <c r="G23" i="9"/>
  <c r="Y775" i="1"/>
  <c r="I183" i="9"/>
  <c r="I151" i="9"/>
  <c r="Y768" i="1"/>
  <c r="E183" i="9"/>
  <c r="Y771" i="1"/>
  <c r="M715" i="10"/>
  <c r="Z815" i="10" s="1"/>
  <c r="Z734" i="10"/>
  <c r="Z814" i="10" s="1"/>
  <c r="C23" i="9" l="1"/>
  <c r="Y734" i="1"/>
  <c r="Y815" i="1" s="1"/>
  <c r="M715" i="1"/>
</calcChain>
</file>

<file path=xl/sharedStrings.xml><?xml version="1.0" encoding="utf-8"?>
<sst xmlns="http://schemas.openxmlformats.org/spreadsheetml/2006/main" count="4937" uniqueCount="1283">
  <si>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</si>
  <si>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</si>
  <si>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</si>
  <si>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</si>
  <si>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</si>
  <si>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</si>
  <si>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</si>
  <si>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</si>
  <si>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</si>
  <si>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</si>
  <si>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</si>
  <si>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</si>
  <si>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</si>
  <si>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</si>
  <si>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</si>
  <si>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</si>
  <si>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</si>
  <si>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</si>
  <si>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</si>
  <si>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</si>
  <si>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</si>
  <si>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</si>
  <si>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</si>
  <si>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</si>
  <si>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</si>
  <si>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</si>
  <si>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</si>
  <si>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</si>
  <si>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</si>
  <si>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</si>
  <si>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</si>
  <si>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</si>
  <si>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</si>
  <si>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</si>
  <si>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</si>
  <si>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</si>
  <si>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</si>
  <si>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</si>
  <si>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</si>
  <si>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</si>
  <si>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</si>
  <si>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</si>
  <si>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</si>
  <si>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</si>
  <si>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</si>
  <si>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</si>
  <si>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</si>
  <si>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</si>
  <si>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</si>
  <si>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</si>
  <si>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</si>
  <si>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</si>
  <si>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</si>
  <si>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</si>
  <si>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</si>
  <si>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</si>
  <si>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</si>
  <si>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</si>
  <si>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</si>
  <si>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</si>
  <si>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</si>
  <si>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</si>
  <si>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</si>
  <si>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</si>
  <si>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</si>
  <si>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</si>
  <si>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</si>
  <si>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</si>
  <si>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</si>
  <si>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</si>
  <si>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</si>
  <si>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</si>
  <si>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</si>
  <si>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</si>
  <si>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</si>
  <si>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</si>
  <si>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</si>
  <si>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</si>
  <si>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</si>
  <si>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</si>
  <si>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</si>
  <si>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</si>
  <si>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</si>
  <si>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</si>
  <si>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</si>
  <si>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</si>
  <si>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</si>
  <si>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</si>
  <si>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</si>
  <si>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</si>
  <si>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</si>
  <si>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</si>
  <si>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</si>
  <si>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</si>
  <si>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</si>
  <si>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</si>
  <si>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</si>
  <si>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</si>
  <si>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</si>
  <si>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</si>
  <si>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</si>
  <si>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</si>
  <si>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</si>
  <si>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</si>
  <si>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</si>
  <si>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</si>
  <si>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</si>
  <si>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</si>
  <si>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</si>
  <si>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</si>
  <si>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</si>
  <si>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</si>
  <si>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</si>
  <si>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</si>
  <si>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</si>
  <si>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</si>
  <si>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</si>
  <si>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</si>
  <si>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</si>
  <si>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</si>
  <si>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</si>
  <si>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</si>
  <si>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</si>
  <si>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</si>
  <si>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</si>
  <si>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</si>
  <si>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</si>
  <si>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</si>
  <si>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</si>
  <si>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</si>
  <si>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</si>
  <si>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</si>
  <si>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</si>
  <si>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</si>
  <si>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</si>
  <si>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</si>
  <si>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</si>
  <si>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</si>
  <si>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</si>
  <si>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</si>
  <si>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</si>
  <si>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</si>
  <si>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</si>
  <si>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</si>
  <si>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</si>
  <si>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</si>
  <si>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</si>
  <si>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</si>
  <si>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</si>
  <si>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</si>
  <si>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</si>
  <si>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</si>
  <si>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</si>
  <si>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</si>
  <si>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</si>
  <si>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</si>
  <si>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</si>
  <si>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</si>
  <si>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</si>
  <si>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</si>
  <si>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</si>
  <si>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</si>
  <si>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</si>
  <si>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</si>
  <si>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</si>
  <si>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</si>
  <si>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</si>
  <si>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</si>
  <si>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</si>
  <si>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</si>
  <si>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</si>
  <si>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</si>
  <si>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</si>
  <si>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</si>
  <si>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</si>
  <si>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</si>
  <si>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</si>
  <si>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</si>
  <si>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</si>
  <si>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</si>
  <si>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</si>
  <si>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</si>
  <si>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</si>
  <si>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</si>
  <si>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</si>
  <si>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</si>
  <si>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</si>
  <si>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</si>
  <si>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</si>
  <si>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</si>
  <si>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</si>
  <si>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</si>
  <si>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</si>
  <si>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</si>
  <si>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</si>
  <si>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</si>
  <si>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</si>
  <si>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</si>
  <si>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</si>
  <si>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</si>
  <si>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</si>
  <si>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</si>
  <si>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</si>
  <si>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</si>
  <si>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</si>
  <si>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</si>
  <si>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</si>
  <si>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</si>
  <si>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</si>
  <si>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</si>
  <si>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</si>
  <si>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</si>
  <si>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</si>
  <si>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</si>
  <si>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</si>
  <si>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</si>
  <si>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</si>
  <si>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</si>
  <si>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</si>
  <si>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</si>
  <si>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</si>
  <si>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</si>
  <si>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</si>
  <si>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</si>
  <si>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</si>
  <si>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</si>
  <si>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</si>
  <si>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</si>
  <si>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</si>
  <si>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</si>
  <si>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</si>
  <si>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</si>
  <si>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</si>
  <si>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</si>
  <si>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</si>
  <si>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</si>
  <si>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</si>
  <si>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</si>
  <si>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</si>
  <si>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</si>
  <si>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</si>
  <si>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</si>
  <si>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</si>
  <si>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</si>
  <si>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</si>
  <si>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</si>
  <si>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</si>
  <si>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</si>
  <si>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</si>
  <si>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</si>
  <si>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</si>
  <si>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</si>
  <si>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</si>
  <si>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</si>
  <si>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</si>
  <si>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</si>
  <si>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</si>
  <si>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</si>
  <si>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</si>
  <si>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</si>
  <si>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</si>
  <si>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</si>
  <si>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</si>
  <si>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</si>
  <si>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</si>
  <si>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</si>
  <si>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</si>
  <si>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</si>
  <si>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</si>
  <si>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</si>
  <si>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</si>
  <si>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</si>
  <si>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</si>
  <si>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</si>
  <si>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</si>
  <si>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</si>
  <si>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</si>
  <si>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</si>
  <si>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</si>
  <si>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</si>
  <si>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</si>
  <si>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</si>
  <si>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</si>
  <si>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</si>
  <si>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</si>
  <si>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</si>
  <si>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</si>
  <si>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</si>
  <si>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</si>
  <si>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</si>
  <si>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</si>
  <si>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</si>
  <si>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</si>
  <si>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</si>
  <si>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</si>
  <si>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</si>
  <si>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</si>
  <si>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</si>
  <si>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</si>
  <si>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</si>
  <si>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</si>
  <si>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</si>
  <si>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</si>
  <si>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</si>
  <si>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</si>
  <si>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</si>
  <si>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</si>
  <si>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</si>
  <si>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</si>
  <si>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</si>
  <si>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</si>
  <si>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</si>
  <si>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</si>
  <si>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</si>
  <si>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</si>
  <si>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</si>
  <si>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</si>
  <si>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</si>
  <si>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</si>
  <si>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</si>
  <si>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</si>
  <si>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</si>
  <si>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</si>
  <si>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</si>
  <si>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</si>
  <si>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</si>
  <si>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</si>
  <si>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</si>
  <si>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</si>
  <si>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</si>
  <si>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</si>
  <si>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</si>
  <si>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</si>
  <si>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</si>
  <si>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</si>
  <si>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</si>
  <si>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</si>
  <si>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</si>
  <si>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</si>
  <si>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</si>
  <si>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</si>
  <si>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</si>
  <si>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</si>
  <si>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</si>
  <si>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</si>
  <si>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</si>
  <si>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</si>
  <si>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</si>
  <si>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</si>
  <si>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</si>
  <si>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</si>
  <si>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</si>
  <si>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</si>
  <si>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</si>
  <si>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</si>
  <si>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</si>
  <si>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</si>
  <si>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</si>
  <si>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</si>
  <si>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</si>
  <si>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</si>
  <si>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</si>
  <si>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</si>
  <si>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</si>
  <si>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</si>
  <si>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</si>
  <si>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</si>
  <si>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</si>
  <si>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</si>
  <si>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</si>
  <si>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</si>
  <si>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</si>
  <si>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</si>
  <si>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</si>
  <si>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</si>
  <si>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</si>
  <si>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</si>
  <si>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</si>
  <si>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</si>
  <si>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</si>
  <si>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</si>
  <si>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</si>
  <si>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</si>
  <si>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</si>
  <si>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</si>
  <si>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</si>
  <si>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</si>
  <si>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</si>
  <si>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</si>
  <si>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</si>
  <si>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</si>
  <si>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</si>
  <si>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</si>
  <si>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</si>
  <si>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</si>
  <si>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</si>
  <si>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</si>
  <si>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</si>
  <si>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</si>
  <si>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</si>
  <si>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</si>
  <si>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</si>
  <si>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</si>
  <si>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</si>
  <si>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</si>
  <si>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</si>
  <si>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</si>
  <si>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</si>
  <si>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</si>
  <si>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</si>
  <si>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</si>
  <si>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</si>
  <si>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</si>
  <si>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</si>
  <si>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</si>
  <si>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</si>
  <si>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</si>
  <si>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</si>
  <si>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</si>
  <si>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</si>
  <si>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</si>
  <si>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</si>
  <si>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</si>
  <si>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</si>
  <si>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</si>
  <si>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</si>
  <si>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</si>
  <si>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</si>
  <si>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</si>
  <si>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</si>
  <si>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</si>
  <si>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</si>
  <si>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</si>
  <si>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</si>
  <si>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</si>
  <si>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</si>
  <si>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</si>
  <si>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</si>
  <si>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</si>
  <si>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</si>
  <si>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</si>
  <si>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</si>
  <si>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</si>
  <si>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</si>
  <si>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</si>
  <si>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</si>
  <si>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</si>
  <si>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</si>
  <si>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</si>
  <si>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</si>
  <si>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</si>
  <si>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</si>
  <si>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</si>
  <si>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</si>
  <si>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</si>
  <si>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</si>
  <si>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</si>
  <si>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</si>
  <si>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</si>
  <si>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</si>
  <si>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</si>
  <si>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</si>
  <si>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</si>
  <si>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</si>
  <si>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</si>
  <si>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</si>
  <si>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</si>
  <si>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</si>
  <si>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</si>
  <si>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</si>
  <si>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</si>
  <si>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</si>
  <si>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</si>
  <si>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</si>
  <si>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</si>
  <si>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</si>
  <si>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</si>
  <si>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</si>
  <si>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</si>
  <si>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</si>
  <si>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</si>
  <si>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</si>
  <si>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</si>
  <si>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</si>
  <si>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</si>
  <si>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</si>
  <si>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</si>
  <si>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</si>
  <si>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</si>
  <si>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</si>
  <si>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</si>
  <si>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</si>
  <si>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</si>
  <si>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</si>
  <si>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</si>
  <si>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</si>
  <si>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</si>
  <si>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</si>
  <si>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</si>
  <si>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</si>
  <si>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</si>
  <si>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</si>
  <si>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</si>
  <si>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</si>
  <si>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</si>
  <si>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</si>
  <si>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</si>
  <si>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</si>
  <si>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</si>
  <si>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</si>
  <si>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</si>
  <si>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</si>
  <si>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</si>
  <si>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</si>
  <si>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</si>
  <si>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</si>
  <si>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</si>
  <si>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</si>
  <si>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</si>
  <si>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</si>
  <si>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</si>
  <si>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</si>
  <si>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</si>
  <si>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</si>
  <si>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</si>
  <si>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</si>
  <si>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</si>
  <si>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</si>
  <si>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</si>
  <si>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</si>
  <si>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</si>
  <si>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</si>
  <si>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</si>
  <si>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</si>
  <si>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</si>
  <si>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</si>
  <si>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</si>
  <si>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</si>
  <si>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</si>
  <si>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</si>
  <si>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</si>
  <si>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</si>
  <si>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</si>
  <si>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</si>
  <si>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</si>
  <si>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</si>
  <si>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</si>
  <si>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</si>
  <si>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</si>
  <si>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</si>
  <si>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</si>
  <si>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</si>
  <si>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</si>
  <si>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</si>
  <si>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</si>
  <si>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</si>
  <si>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</si>
  <si>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</si>
  <si>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</si>
  <si>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</si>
  <si>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</si>
  <si>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</si>
  <si>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</si>
  <si>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</si>
  <si>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</si>
  <si>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</si>
  <si>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</si>
  <si>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</si>
  <si>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</si>
  <si>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</si>
  <si>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</si>
  <si>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</si>
  <si>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</si>
  <si>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</si>
  <si>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</si>
  <si>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</si>
  <si>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</si>
  <si>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</si>
  <si>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</si>
  <si>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</si>
  <si>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</si>
  <si>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</si>
  <si>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</si>
  <si>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</si>
  <si>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</si>
  <si>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</si>
  <si>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</si>
  <si>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</si>
  <si>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</si>
  <si>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</si>
  <si>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</si>
  <si>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</si>
  <si>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</si>
  <si>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</si>
  <si>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</si>
  <si>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</si>
  <si>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</si>
  <si>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</si>
  <si>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</si>
  <si>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</si>
  <si>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</si>
  <si>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</si>
  <si>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</si>
  <si>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</si>
  <si>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</si>
  <si>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</si>
  <si>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</si>
  <si>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</si>
  <si>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</si>
  <si>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</si>
  <si>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</si>
  <si>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</si>
  <si>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</si>
  <si>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</si>
  <si>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</si>
  <si>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</si>
  <si>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</si>
  <si>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</si>
  <si>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</si>
  <si>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</si>
  <si>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</si>
  <si>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</si>
  <si>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</si>
  <si>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</si>
  <si>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</si>
  <si>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</si>
  <si>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</si>
  <si>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</si>
  <si>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</si>
  <si>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</si>
  <si>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</si>
  <si>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</si>
  <si>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</si>
  <si>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</si>
  <si>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</si>
  <si>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</si>
  <si>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</si>
  <si>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</si>
  <si>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</si>
  <si>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</si>
  <si>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</si>
  <si>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</si>
  <si>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</si>
  <si>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</si>
  <si>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</si>
  <si>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</si>
  <si>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</si>
  <si>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</si>
  <si>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</si>
  <si>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</si>
  <si>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</si>
  <si>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</si>
  <si>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</si>
  <si>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</si>
  <si>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</si>
  <si>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</si>
  <si>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</si>
  <si>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</si>
  <si>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</si>
  <si>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</si>
  <si>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</si>
  <si>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</si>
  <si>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</si>
  <si>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</si>
  <si>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</si>
  <si>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</si>
  <si>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</si>
  <si>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</si>
  <si>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</si>
  <si>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</si>
  <si>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</si>
  <si>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</si>
  <si>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</si>
  <si>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</si>
  <si>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</si>
  <si>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</si>
  <si>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</si>
  <si>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</si>
  <si>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</si>
  <si>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</si>
  <si>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</si>
  <si>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</si>
  <si>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</si>
  <si>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</si>
  <si>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</si>
  <si>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</si>
  <si>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</si>
  <si>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</si>
  <si>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</si>
  <si>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</si>
  <si>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</si>
  <si>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</si>
  <si>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</si>
  <si>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</si>
  <si>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</si>
  <si>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</si>
  <si>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</si>
  <si>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</si>
  <si>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</si>
  <si>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</si>
  <si>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</si>
  <si>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</si>
  <si>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</si>
  <si>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</si>
  <si>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</si>
  <si>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</si>
  <si>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</si>
  <si>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</si>
  <si>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</si>
  <si>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</si>
  <si>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</si>
  <si>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</si>
  <si>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</si>
  <si>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</si>
  <si>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</si>
  <si>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</si>
  <si>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</si>
  <si>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</si>
  <si>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</si>
  <si>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</si>
  <si>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</si>
  <si>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</si>
  <si>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</si>
  <si>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</si>
  <si>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</si>
  <si>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</si>
  <si>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</si>
  <si>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</si>
  <si>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</si>
  <si>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</si>
  <si>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</si>
  <si>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</si>
  <si>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</si>
  <si>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</si>
  <si>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</si>
  <si>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</si>
  <si>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</si>
  <si>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</si>
  <si>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</si>
  <si>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</si>
  <si>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</si>
  <si>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</si>
  <si>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</si>
  <si>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</si>
  <si>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</si>
  <si>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</si>
  <si>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</si>
  <si>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</si>
  <si>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</si>
  <si>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</si>
  <si>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</si>
  <si>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</si>
  <si>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</si>
  <si>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</si>
  <si>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</si>
  <si>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</si>
  <si>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</si>
  <si>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</si>
  <si>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</si>
  <si>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</si>
  <si>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</si>
  <si>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</si>
  <si>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</si>
  <si>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</si>
  <si>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</si>
  <si>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</si>
  <si>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</si>
  <si>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</si>
  <si>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</si>
  <si>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</si>
  <si>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</si>
  <si>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</si>
  <si>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</si>
  <si>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</si>
  <si>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</si>
  <si>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</si>
  <si>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</si>
  <si>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</si>
  <si>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</si>
  <si>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</si>
  <si>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</si>
  <si>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</si>
  <si>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</si>
  <si>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</si>
  <si>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</si>
  <si>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</si>
  <si>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</si>
  <si>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</si>
  <si>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</si>
  <si>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</si>
  <si>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</si>
  <si>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</si>
  <si>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</si>
  <si>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</si>
  <si>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</si>
  <si>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</si>
  <si>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</si>
  <si>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</si>
  <si>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</si>
  <si>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</si>
  <si>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</si>
  <si>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</si>
  <si>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</si>
  <si>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</si>
  <si>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</si>
  <si>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</si>
  <si>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</si>
  <si>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</si>
  <si>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</si>
  <si>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</si>
  <si>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</si>
  <si>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</si>
  <si>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</si>
  <si>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</si>
  <si>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</si>
  <si>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</si>
  <si>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</si>
  <si>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</si>
  <si>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</si>
  <si>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</si>
  <si>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</si>
  <si>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</si>
  <si>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</si>
  <si>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</si>
  <si>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</si>
  <si>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</si>
  <si>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</si>
  <si>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</si>
  <si>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</si>
  <si>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</si>
  <si>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</si>
  <si>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</si>
  <si>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</si>
  <si>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</si>
  <si>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</si>
  <si>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</si>
  <si>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</si>
  <si>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</si>
  <si>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</si>
  <si>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</si>
  <si>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</si>
  <si>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</si>
  <si>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</si>
  <si>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</si>
  <si>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</si>
  <si>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</si>
  <si>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</si>
  <si>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</si>
  <si>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</si>
  <si>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</si>
  <si>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</si>
  <si>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</si>
  <si>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</si>
  <si>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</si>
  <si>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</si>
  <si>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</si>
  <si>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</si>
  <si>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</si>
  <si>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</si>
  <si>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</si>
  <si>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</si>
  <si>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</si>
  <si>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</si>
  <si>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</si>
  <si>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</si>
  <si>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</si>
  <si>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</si>
  <si>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</si>
  <si>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</si>
  <si>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</si>
  <si>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</si>
  <si>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</si>
  <si>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</si>
  <si>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</si>
  <si>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</si>
  <si>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</si>
  <si>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</si>
  <si>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</si>
  <si>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</si>
  <si>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</si>
  <si>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</si>
  <si>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</si>
  <si>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</si>
  <si>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</si>
  <si>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</si>
  <si>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</si>
  <si>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</si>
  <si>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</si>
  <si>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</si>
  <si>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</si>
  <si>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</si>
  <si>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</si>
  <si>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</si>
  <si>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</si>
  <si>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</si>
  <si>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</si>
  <si>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</si>
  <si>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</si>
  <si>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</si>
  <si>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</si>
  <si>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</si>
  <si>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</si>
  <si>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</si>
  <si>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</si>
  <si>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</si>
  <si>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</si>
  <si>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</si>
  <si>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</si>
  <si>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</si>
  <si>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</si>
  <si>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</si>
  <si>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</si>
  <si>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</si>
  <si>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</si>
  <si>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</si>
  <si>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</si>
  <si>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</si>
  <si>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</si>
  <si>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</si>
  <si>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</si>
  <si>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</si>
  <si>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</si>
  <si>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</si>
  <si>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</si>
  <si>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</si>
  <si>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</si>
  <si>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</si>
  <si>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</si>
  <si>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</si>
  <si>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</si>
  <si>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</si>
  <si>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</si>
  <si>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</si>
  <si>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</si>
  <si>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</si>
  <si>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</si>
  <si>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</si>
  <si>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</si>
  <si>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</si>
  <si>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</si>
  <si>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</si>
  <si>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</si>
  <si>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</si>
  <si>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</si>
  <si>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</si>
  <si>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</si>
  <si>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</si>
  <si>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</si>
  <si>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</si>
  <si>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</si>
  <si>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</si>
  <si>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</si>
  <si>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</si>
  <si>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</si>
  <si>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</si>
  <si>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</si>
  <si>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</si>
  <si>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</si>
  <si>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</si>
  <si>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</si>
  <si>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</si>
  <si>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</si>
  <si>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</si>
  <si>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</si>
  <si>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</si>
  <si>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</si>
  <si>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</si>
  <si>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</si>
  <si>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</si>
  <si>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</si>
  <si>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</si>
  <si>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</si>
  <si>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</si>
  <si>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</si>
  <si>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</si>
  <si>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</si>
  <si>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</si>
  <si>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</si>
  <si>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</si>
  <si>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</si>
  <si>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</si>
  <si>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</si>
  <si>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</si>
  <si>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</si>
  <si>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</si>
  <si>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</si>
  <si>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</si>
  <si>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</si>
  <si>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</si>
  <si>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</si>
  <si>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</si>
  <si>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</si>
  <si>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</si>
  <si>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</si>
  <si>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</si>
  <si>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</si>
  <si>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</si>
  <si>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</si>
  <si>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</si>
  <si>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</si>
  <si>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</si>
  <si>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</si>
  <si>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</si>
  <si>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</si>
  <si>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</si>
  <si>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</si>
  <si>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</si>
  <si>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</si>
  <si>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</si>
  <si>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</si>
  <si>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</si>
  <si>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</si>
  <si>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</si>
  <si>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</si>
  <si>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</si>
  <si>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</si>
  <si>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</si>
  <si>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</si>
  <si>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</si>
  <si>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</si>
  <si>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</si>
  <si>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</si>
  <si>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</si>
  <si>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</si>
  <si>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</si>
  <si>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</si>
  <si>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</si>
  <si>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</si>
  <si>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</si>
  <si>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</si>
  <si>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</si>
  <si>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</si>
  <si>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</si>
  <si>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</si>
  <si>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</si>
  <si>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</si>
  <si>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</si>
  <si>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</si>
  <si>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</si>
  <si>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</si>
  <si>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</si>
  <si>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</si>
  <si>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</si>
  <si>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</si>
  <si>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</si>
  <si>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</si>
  <si>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</si>
  <si>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</si>
  <si>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</si>
  <si>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</si>
  <si>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</si>
  <si>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</si>
  <si>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</si>
  <si>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</si>
  <si>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</si>
  <si>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</si>
  <si>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</si>
  <si>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</si>
  <si>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</si>
  <si>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</si>
  <si>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</si>
  <si>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</si>
  <si>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</si>
  <si>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</si>
  <si>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</si>
  <si>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</si>
  <si>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</si>
  <si>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</si>
  <si>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</si>
  <si>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</si>
  <si>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</si>
  <si>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</si>
  <si>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</si>
  <si>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</si>
  <si>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</si>
  <si>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</si>
  <si>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</si>
  <si>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</si>
  <si>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</si>
  <si>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</si>
  <si>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</si>
  <si>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</si>
  <si>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</si>
  <si>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</si>
  <si>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</si>
  <si>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</si>
  <si>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</si>
  <si>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</si>
  <si>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</si>
  <si>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</si>
  <si>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</si>
  <si>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</si>
  <si>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</si>
  <si>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</si>
  <si>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</si>
  <si>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</si>
  <si>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</si>
  <si>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</si>
  <si>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</si>
  <si>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</si>
  <si>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</si>
  <si>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</si>
  <si>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</si>
  <si>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</si>
  <si>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</si>
  <si>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</si>
  <si>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</si>
  <si>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</si>
  <si>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</si>
  <si>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</si>
  <si>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</si>
  <si>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</si>
  <si>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</si>
  <si>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</si>
  <si>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</si>
  <si>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</si>
  <si>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</si>
  <si>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</si>
  <si>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</si>
  <si>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</si>
  <si>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</si>
  <si>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</si>
  <si>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</si>
  <si>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</si>
  <si>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</si>
  <si>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</si>
  <si>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</si>
  <si>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</si>
  <si>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</si>
  <si>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</si>
  <si>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</si>
  <si>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</si>
  <si>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</si>
  <si>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</si>
  <si>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</si>
  <si>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</si>
  <si>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</si>
  <si>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</si>
  <si>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</si>
  <si>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</si>
  <si>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</si>
  <si>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</si>
  <si>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</si>
  <si>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</si>
  <si>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</si>
  <si>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</si>
  <si>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</si>
  <si>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</si>
  <si>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</si>
  <si>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</si>
  <si>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</si>
  <si>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</si>
  <si>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</si>
  <si>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</si>
  <si>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</si>
  <si>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</si>
  <si>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</si>
  <si>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</si>
  <si>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</si>
  <si>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</si>
  <si>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</si>
  <si>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</si>
  <si>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</si>
  <si>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</si>
  <si>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</si>
  <si>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</si>
  <si>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</si>
  <si>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</si>
  <si>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</si>
  <si>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</si>
  <si>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</si>
  <si>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</si>
  <si>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</si>
  <si>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</si>
  <si>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</si>
  <si>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</si>
  <si>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</si>
  <si>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</si>
  <si>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</si>
  <si>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</si>
  <si>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</si>
  <si>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</si>
  <si>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</si>
  <si>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</si>
  <si>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</si>
  <si>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</si>
  <si>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</si>
  <si>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</si>
  <si>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</si>
  <si>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</si>
  <si>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</si>
  <si>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</si>
  <si>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</si>
  <si>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</si>
  <si>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</si>
  <si>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</si>
  <si>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</si>
  <si>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</si>
  <si>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</si>
  <si>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</si>
  <si>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</si>
  <si>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</si>
  <si>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</si>
  <si>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</si>
  <si>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</si>
  <si>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</si>
  <si>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</si>
  <si>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</si>
  <si>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</si>
  <si>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</si>
  <si>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</si>
  <si>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</si>
  <si>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</si>
  <si>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</si>
  <si>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</si>
  <si>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</si>
  <si>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</si>
  <si>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</si>
  <si>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</si>
  <si>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</si>
  <si>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</si>
  <si>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</si>
  <si>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</si>
  <si>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</si>
  <si>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</si>
  <si>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</si>
  <si>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</si>
  <si>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</si>
  <si>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</si>
  <si>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</si>
  <si>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</si>
  <si>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</si>
  <si>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</si>
  <si>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</si>
  <si>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</si>
  <si>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</si>
  <si>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</si>
  <si>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</si>
  <si>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</si>
  <si>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</si>
  <si>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</si>
  <si>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</si>
  <si>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</si>
  <si>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</si>
  <si>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</si>
  <si>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</si>
  <si>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</si>
  <si>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</si>
  <si>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</si>
  <si>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</si>
  <si>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</si>
  <si>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</si>
  <si>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</si>
  <si>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</si>
  <si>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</si>
  <si>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</si>
  <si>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</si>
  <si>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</si>
  <si>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</si>
  <si>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</si>
  <si>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</si>
  <si>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</si>
  <si>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</si>
  <si>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</si>
  <si>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</si>
  <si>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</si>
  <si>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</si>
  <si>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</si>
  <si>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6000</t>
  </si>
  <si>
    <t>6011,6012</t>
  </si>
  <si>
    <t>199</t>
  </si>
  <si>
    <t>ASTRIA TOPPENISH HOSPITAL</t>
  </si>
  <si>
    <t>502 W 4th Avenue</t>
  </si>
  <si>
    <t>Toppenish, WA 98948</t>
  </si>
  <si>
    <t>Yakima</t>
  </si>
  <si>
    <t>Brian Hargis</t>
  </si>
  <si>
    <t>Maxwell Owens</t>
  </si>
  <si>
    <t>Bertha Ortega</t>
  </si>
  <si>
    <t>509-865-3105</t>
  </si>
  <si>
    <t>509-865-1519</t>
  </si>
  <si>
    <t>12/31/2021</t>
  </si>
  <si>
    <t>Brian Gibbons</t>
  </si>
  <si>
    <t>Mary Ann Bliesner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</si>
</sst>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_);\(#,##0.00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</cellStyleXfs>
  <cellXfs count="34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0" borderId="0" xfId="2" applyNumberFormat="1" applyFont="1" applyAlignment="1" applyProtection="1">
      <alignment horizontal="left"/>
    </xf>
    <xf numFmtId="37" fontId="4" fillId="8" borderId="0" xfId="0" quotePrefix="1" applyFont="1" applyFill="1" applyAlignment="1" applyProtection="1">
      <alignment horizontal="left"/>
    </xf>
    <xf numFmtId="37" fontId="4" fillId="0" borderId="0" xfId="2" applyNumberFormat="1" applyFont="1" applyAlignment="1" applyProtection="1"/>
    <xf numFmtId="37" fontId="16" fillId="0" borderId="0" xfId="0" quotePrefix="1" applyFont="1" applyAlignment="1" applyProtection="1">
      <alignment horizontal="left"/>
    </xf>
    <xf numFmtId="37" fontId="16" fillId="0" borderId="0" xfId="2" applyNumberFormat="1" applyFont="1" applyAlignment="1" applyProtection="1"/>
    <xf numFmtId="37" fontId="4" fillId="3" borderId="0" xfId="0" applyFont="1" applyFill="1"/>
    <xf numFmtId="38" fontId="4" fillId="3" borderId="0" xfId="0" applyNumberFormat="1" applyFont="1" applyFill="1" applyAlignment="1">
      <alignment horizontal="center"/>
    </xf>
    <xf numFmtId="37" fontId="4" fillId="3" borderId="0" xfId="0" applyFont="1" applyFill="1" applyAlignment="1">
      <alignment horizontal="center"/>
    </xf>
    <xf numFmtId="37" fontId="4" fillId="3" borderId="0" xfId="0" quotePrefix="1" applyFont="1" applyFill="1" applyAlignment="1">
      <alignment horizontal="center"/>
    </xf>
    <xf numFmtId="37" fontId="10" fillId="0" borderId="1" xfId="0" applyFont="1" applyBorder="1" applyProtection="1">
      <protection locked="0"/>
    </xf>
    <xf numFmtId="37" fontId="10" fillId="0" borderId="1" xfId="0" quotePrefix="1" applyFont="1" applyBorder="1" applyProtection="1">
      <protection locked="0"/>
    </xf>
    <xf numFmtId="37" fontId="4" fillId="3" borderId="0" xfId="0" quotePrefix="1" applyFont="1" applyFill="1"/>
    <xf numFmtId="37" fontId="4" fillId="3" borderId="0" xfId="0" quotePrefix="1" applyFont="1" applyFill="1" applyAlignment="1">
      <alignment horizontal="left"/>
    </xf>
    <xf numFmtId="38" fontId="4" fillId="3" borderId="0" xfId="0" applyNumberFormat="1" applyFont="1" applyFill="1"/>
    <xf numFmtId="38" fontId="4" fillId="3" borderId="0" xfId="0" quotePrefix="1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37" fontId="4" fillId="3" borderId="0" xfId="0" quotePrefix="1" applyFont="1" applyFill="1" applyAlignment="1">
      <alignment horizontal="fill"/>
    </xf>
    <xf numFmtId="39" fontId="4" fillId="3" borderId="0" xfId="0" quotePrefix="1" applyNumberFormat="1" applyFont="1" applyFill="1" applyAlignment="1">
      <alignment horizontal="left"/>
    </xf>
    <xf numFmtId="4" fontId="4" fillId="3" borderId="0" xfId="0" applyNumberFormat="1" applyFont="1" applyFill="1"/>
    <xf numFmtId="37" fontId="10" fillId="4" borderId="1" xfId="0" quotePrefix="1" applyFont="1" applyFill="1" applyBorder="1" applyProtection="1">
      <protection locked="0"/>
    </xf>
    <xf numFmtId="39" fontId="4" fillId="3" borderId="0" xfId="0" quotePrefix="1" applyNumberFormat="1" applyFont="1" applyFill="1" applyAlignment="1">
      <alignment horizontal="fill"/>
    </xf>
    <xf numFmtId="39" fontId="4" fillId="3" borderId="0" xfId="0" applyNumberFormat="1" applyFont="1" applyFill="1"/>
    <xf numFmtId="37" fontId="4" fillId="3" borderId="0" xfId="0" applyFont="1" applyFill="1" applyAlignment="1">
      <alignment horizontal="centerContinuous"/>
    </xf>
    <xf numFmtId="37" fontId="4" fillId="3" borderId="0" xfId="0" applyFont="1" applyFill="1" applyAlignment="1">
      <alignment horizontal="right"/>
    </xf>
    <xf numFmtId="49" fontId="10" fillId="4" borderId="1" xfId="0" quotePrefix="1" applyNumberFormat="1" applyFont="1" applyFill="1" applyBorder="1" applyProtection="1">
      <protection locked="0"/>
    </xf>
    <xf numFmtId="37" fontId="11" fillId="3" borderId="0" xfId="0" applyFont="1" applyFill="1"/>
    <xf numFmtId="38" fontId="10" fillId="4" borderId="1" xfId="0" quotePrefix="1" applyNumberFormat="1" applyFont="1" applyFill="1" applyBorder="1" applyProtection="1">
      <protection locked="0"/>
    </xf>
    <xf numFmtId="37" fontId="10" fillId="3" borderId="0" xfId="0" applyFont="1" applyFill="1" applyAlignment="1">
      <alignment horizontal="centerContinuous"/>
    </xf>
    <xf numFmtId="38" fontId="4" fillId="3" borderId="0" xfId="0" applyNumberFormat="1" applyFont="1" applyFill="1" applyAlignment="1">
      <alignment horizontal="right"/>
    </xf>
    <xf numFmtId="37" fontId="4" fillId="3" borderId="0" xfId="0" quotePrefix="1" applyFont="1" applyFill="1" applyAlignment="1">
      <alignment horizontal="centerContinuous"/>
    </xf>
    <xf numFmtId="37" fontId="10" fillId="3" borderId="0" xfId="0" quotePrefix="1" applyFont="1" applyFill="1" applyAlignment="1">
      <alignment horizontal="left"/>
    </xf>
    <xf numFmtId="37" fontId="10" fillId="3" borderId="0" xfId="0" applyFont="1" applyFill="1" applyAlignment="1">
      <alignment horizontal="center"/>
    </xf>
    <xf numFmtId="38" fontId="10" fillId="3" borderId="0" xfId="0" applyNumberFormat="1" applyFont="1" applyFill="1" applyAlignment="1">
      <alignment horizontal="center"/>
    </xf>
    <xf numFmtId="167" fontId="4" fillId="0" borderId="0" xfId="0" quotePrefix="1" applyNumberFormat="1" applyFont="1" applyAlignment="1">
      <alignment horizontal="left"/>
    </xf>
    <xf numFmtId="167" fontId="4" fillId="0" borderId="0" xfId="0" applyNumberFormat="1" applyFont="1"/>
    <xf numFmtId="38" fontId="10" fillId="3" borderId="0" xfId="0" applyNumberFormat="1" applyFont="1" applyFill="1"/>
    <xf numFmtId="37" fontId="10" fillId="3" borderId="0" xfId="0" applyFont="1" applyFill="1"/>
    <xf numFmtId="37" fontId="4" fillId="3" borderId="0" xfId="0" applyFont="1" applyFill="1" applyAlignment="1">
      <alignment horizontal="left"/>
    </xf>
    <xf numFmtId="37" fontId="10" fillId="4" borderId="0" xfId="0" applyFont="1" applyFill="1" applyProtection="1">
      <protection locked="0"/>
    </xf>
    <xf numFmtId="38" fontId="10" fillId="4" borderId="0" xfId="0" applyNumberFormat="1" applyFont="1" applyFill="1" applyProtection="1">
      <protection locked="0"/>
    </xf>
    <xf numFmtId="39" fontId="4" fillId="0" borderId="0" xfId="0" applyNumberFormat="1" applyFont="1"/>
    <xf numFmtId="37" fontId="4" fillId="0" borderId="0" xfId="0" applyFont="1" applyAlignment="1">
      <alignment horizontal="center"/>
    </xf>
    <xf numFmtId="3" fontId="4" fillId="0" borderId="0" xfId="0" applyNumberFormat="1" applyFont="1"/>
    <xf numFmtId="37" fontId="4" fillId="0" borderId="0" xfId="0" quotePrefix="1" applyFont="1" applyAlignment="1">
      <alignment horizontal="fill"/>
    </xf>
    <xf numFmtId="37" fontId="4" fillId="0" borderId="0" xfId="0" quotePrefix="1" applyFont="1" applyAlignment="1">
      <alignment horizontal="left"/>
    </xf>
    <xf numFmtId="37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37" fontId="4" fillId="0" borderId="0" xfId="0" quotePrefix="1" applyFont="1" applyAlignment="1">
      <alignment horizontal="center"/>
    </xf>
    <xf numFmtId="37" fontId="4" fillId="0" borderId="0" xfId="0" quotePrefix="1" applyFont="1"/>
    <xf numFmtId="2" fontId="4" fillId="0" borderId="0" xfId="0" applyNumberFormat="1" applyFont="1"/>
    <xf numFmtId="10" fontId="4" fillId="0" borderId="0" xfId="0" applyNumberFormat="1" applyFont="1"/>
    <xf numFmtId="164" fontId="4" fillId="0" borderId="0" xfId="0" applyNumberFormat="1" applyFont="1"/>
    <xf numFmtId="37" fontId="4" fillId="8" borderId="0" xfId="0" applyFont="1" applyFill="1"/>
    <xf numFmtId="37" fontId="10" fillId="0" borderId="0" xfId="0" applyFont="1"/>
    <xf numFmtId="164" fontId="4" fillId="0" borderId="0" xfId="0" applyNumberFormat="1" applyFont="1" applyAlignment="1">
      <alignment horizontal="left"/>
    </xf>
    <xf numFmtId="37" fontId="10" fillId="3" borderId="0" xfId="0" applyFont="1" applyFill="1" applyAlignment="1" applyProtection="1">
      <alignment horizontal="center" vertical="center"/>
    </xf>
    <xf numFmtId="37" fontId="10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9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187</v>
          </cell>
          <cell r="E59">
            <v>2938</v>
          </cell>
          <cell r="H59">
            <v>3571</v>
          </cell>
          <cell r="J59">
            <v>429</v>
          </cell>
          <cell r="O59">
            <v>671</v>
          </cell>
          <cell r="X59">
            <v>3597</v>
          </cell>
          <cell r="AG59">
            <v>18929</v>
          </cell>
          <cell r="AJ59">
            <v>12378</v>
          </cell>
          <cell r="AY59">
            <v>24026</v>
          </cell>
          <cell r="AZ59">
            <v>24026</v>
          </cell>
          <cell r="BE59">
            <v>70293</v>
          </cell>
        </row>
        <row r="71">
          <cell r="C71">
            <v>831362.23999999987</v>
          </cell>
          <cell r="D71">
            <v>0</v>
          </cell>
          <cell r="E71">
            <v>2317658.0599999996</v>
          </cell>
          <cell r="F71">
            <v>0</v>
          </cell>
          <cell r="G71">
            <v>0</v>
          </cell>
          <cell r="H71">
            <v>1542941.85</v>
          </cell>
          <cell r="I71">
            <v>0</v>
          </cell>
          <cell r="J71">
            <v>14766.369999999999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1848969.32</v>
          </cell>
          <cell r="P71">
            <v>1219741.5900000001</v>
          </cell>
          <cell r="Q71">
            <v>243402.16</v>
          </cell>
          <cell r="R71">
            <v>278957.00000000006</v>
          </cell>
          <cell r="S71">
            <v>76436.86</v>
          </cell>
          <cell r="T71">
            <v>-1334.92</v>
          </cell>
          <cell r="U71">
            <v>1411487.89</v>
          </cell>
          <cell r="V71">
            <v>511.01</v>
          </cell>
          <cell r="W71">
            <v>135249.54</v>
          </cell>
          <cell r="X71">
            <v>101591.90999999999</v>
          </cell>
          <cell r="Y71">
            <v>1099733.74</v>
          </cell>
          <cell r="Z71">
            <v>0</v>
          </cell>
          <cell r="AA71">
            <v>0</v>
          </cell>
          <cell r="AB71">
            <v>479710.34999999992</v>
          </cell>
          <cell r="AC71">
            <v>530040.02</v>
          </cell>
          <cell r="AD71">
            <v>0</v>
          </cell>
          <cell r="AE71">
            <v>-2565.62</v>
          </cell>
          <cell r="AF71">
            <v>0</v>
          </cell>
          <cell r="AG71">
            <v>3356774.33</v>
          </cell>
          <cell r="AH71">
            <v>0</v>
          </cell>
          <cell r="AI71">
            <v>0</v>
          </cell>
          <cell r="AJ71">
            <v>2377059.7299999995</v>
          </cell>
          <cell r="AK71">
            <v>0</v>
          </cell>
          <cell r="AL71">
            <v>13279.699999999999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4764.26</v>
          </cell>
          <cell r="AW71">
            <v>0</v>
          </cell>
          <cell r="AX71">
            <v>-3658.48</v>
          </cell>
          <cell r="AY71">
            <v>77021.62</v>
          </cell>
          <cell r="AZ71">
            <v>357617.17</v>
          </cell>
          <cell r="BA71">
            <v>56216.67</v>
          </cell>
          <cell r="BB71">
            <v>0</v>
          </cell>
          <cell r="BC71">
            <v>0</v>
          </cell>
          <cell r="BD71">
            <v>435159.81000000006</v>
          </cell>
          <cell r="BE71">
            <v>855822.32</v>
          </cell>
          <cell r="BF71">
            <v>423457.04</v>
          </cell>
          <cell r="BG71">
            <v>-13126.16</v>
          </cell>
          <cell r="BH71">
            <v>7699.67</v>
          </cell>
          <cell r="BI71">
            <v>0</v>
          </cell>
          <cell r="BJ71">
            <v>0</v>
          </cell>
          <cell r="BK71">
            <v>-43246.84</v>
          </cell>
          <cell r="BL71">
            <v>585821.24000000011</v>
          </cell>
          <cell r="BM71">
            <v>4199.67</v>
          </cell>
          <cell r="BN71">
            <v>2294038.67</v>
          </cell>
          <cell r="BO71">
            <v>2916.71</v>
          </cell>
          <cell r="BP71">
            <v>2969.2000000000003</v>
          </cell>
          <cell r="BQ71">
            <v>0</v>
          </cell>
          <cell r="BR71">
            <v>22396.44</v>
          </cell>
          <cell r="BS71">
            <v>6483.4</v>
          </cell>
          <cell r="BT71">
            <v>7987</v>
          </cell>
          <cell r="BU71">
            <v>0</v>
          </cell>
          <cell r="BV71">
            <v>297190.99</v>
          </cell>
          <cell r="BW71">
            <v>0</v>
          </cell>
          <cell r="BX71">
            <v>232739.58</v>
          </cell>
          <cell r="BY71">
            <v>455819.91</v>
          </cell>
          <cell r="BZ71">
            <v>0</v>
          </cell>
          <cell r="CA71">
            <v>39915.619999999995</v>
          </cell>
          <cell r="CB71">
            <v>0</v>
          </cell>
          <cell r="CC71">
            <v>1606253.9000000001</v>
          </cell>
          <cell r="CD71">
            <v>0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01" transitionEvaluation="1" transitionEntry="1" codeName="Sheet1">
    <pageSetUpPr autoPageBreaks="0" fitToPage="1"/>
  </sheetPr>
  <dimension ref="A1:CF817"/>
  <sheetViews>
    <sheetView showGridLines="0" tabSelected="1" topLeftCell="A701" zoomScale="90" zoomScaleNormal="90" workbookViewId="0">
      <selection activeCell="A716" sqref="A44:CF71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1257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295"/>
      <c r="C15" s="236"/>
    </row>
    <row r="16" spans="1:6" ht="12.75" customHeight="1" x14ac:dyDescent="0.3">
      <c r="A16" s="296" t="s">
        <v>1266</v>
      </c>
      <c r="C16" s="236"/>
      <c r="F16" s="289"/>
    </row>
    <row r="17" spans="1:6" ht="12.75" customHeight="1" x14ac:dyDescent="0.3">
      <c r="A17" s="296" t="s">
        <v>1264</v>
      </c>
      <c r="C17" s="289"/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">
      <c r="A21" s="199"/>
      <c r="C21" s="236"/>
    </row>
    <row r="22" spans="1:6" ht="12.65" customHeight="1" x14ac:dyDescent="0.3">
      <c r="A22" s="238" t="s">
        <v>1253</v>
      </c>
      <c r="B22" s="239"/>
      <c r="C22" s="240"/>
      <c r="D22" s="238"/>
      <c r="E22" s="238"/>
    </row>
    <row r="23" spans="1:6" ht="12.65" customHeight="1" x14ac:dyDescent="0.3">
      <c r="B23" s="199"/>
      <c r="C23" s="236"/>
    </row>
    <row r="24" spans="1:6" ht="12.65" customHeight="1" x14ac:dyDescent="0.3">
      <c r="A24" s="241" t="s">
        <v>3</v>
      </c>
      <c r="C24" s="236"/>
    </row>
    <row r="25" spans="1:6" ht="12.65" customHeight="1" x14ac:dyDescent="0.3">
      <c r="A25" s="198" t="s">
        <v>1234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1235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186834.62</v>
      </c>
      <c r="D47" s="184"/>
      <c r="E47" s="184">
        <v>288116.98</v>
      </c>
      <c r="F47" s="184"/>
      <c r="G47" s="184"/>
      <c r="H47" s="184">
        <v>594861.5</v>
      </c>
      <c r="I47" s="184"/>
      <c r="J47" s="184"/>
      <c r="K47" s="184"/>
      <c r="L47" s="184"/>
      <c r="M47" s="184"/>
      <c r="N47" s="184"/>
      <c r="O47" s="184">
        <v>376998.31</v>
      </c>
      <c r="P47" s="184">
        <v>566382.75</v>
      </c>
      <c r="Q47" s="184">
        <v>74367.600000000006</v>
      </c>
      <c r="R47" s="184"/>
      <c r="S47" s="184"/>
      <c r="T47" s="184"/>
      <c r="U47" s="184">
        <v>236584.74</v>
      </c>
      <c r="V47" s="184"/>
      <c r="W47" s="184">
        <v>11171.41</v>
      </c>
      <c r="X47" s="184">
        <v>43108.56</v>
      </c>
      <c r="Y47" s="184">
        <v>281413.34999999998</v>
      </c>
      <c r="Z47" s="184"/>
      <c r="AA47" s="184"/>
      <c r="AB47" s="184">
        <v>110299.28</v>
      </c>
      <c r="AC47" s="184">
        <v>50561.57</v>
      </c>
      <c r="AD47" s="184"/>
      <c r="AE47" s="184">
        <v>2980.58</v>
      </c>
      <c r="AF47" s="184"/>
      <c r="AG47" s="184">
        <v>476945.03</v>
      </c>
      <c r="AH47" s="184"/>
      <c r="AI47" s="184"/>
      <c r="AJ47" s="184">
        <v>1337951.77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770.82</v>
      </c>
      <c r="AZ47" s="184">
        <v>112659.38</v>
      </c>
      <c r="BA47" s="184"/>
      <c r="BB47" s="184"/>
      <c r="BC47" s="184"/>
      <c r="BD47" s="184">
        <v>42949.89</v>
      </c>
      <c r="BE47" s="184">
        <v>50661.91</v>
      </c>
      <c r="BF47" s="184">
        <v>110945.12</v>
      </c>
      <c r="BG47" s="184"/>
      <c r="BH47" s="184"/>
      <c r="BI47" s="184"/>
      <c r="BJ47" s="184"/>
      <c r="BK47" s="184"/>
      <c r="BL47" s="184">
        <v>140340.96</v>
      </c>
      <c r="BM47" s="184">
        <v>31109.17</v>
      </c>
      <c r="BN47" s="184">
        <v>1580911.84</v>
      </c>
      <c r="BO47" s="184"/>
      <c r="BP47" s="184"/>
      <c r="BQ47" s="184"/>
      <c r="BR47" s="184">
        <v>8940.4500000000007</v>
      </c>
      <c r="BS47" s="184"/>
      <c r="BT47" s="184"/>
      <c r="BU47" s="184"/>
      <c r="BV47" s="184">
        <v>82783.62</v>
      </c>
      <c r="BW47" s="184"/>
      <c r="BX47" s="184">
        <v>41064.86</v>
      </c>
      <c r="BY47" s="184">
        <v>58157.49</v>
      </c>
      <c r="BZ47" s="184"/>
      <c r="CA47" s="184"/>
      <c r="CB47" s="184"/>
      <c r="CC47" s="184">
        <v>-3215187.91</v>
      </c>
      <c r="CD47" s="195"/>
      <c r="CE47" s="195">
        <f>SUM(C47:CC47)</f>
        <v>3684685.6500000013</v>
      </c>
    </row>
    <row r="48" spans="1:83" ht="12.65" customHeight="1" x14ac:dyDescent="0.3">
      <c r="A48" s="175" t="s">
        <v>205</v>
      </c>
      <c r="B48" s="183"/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774970.83</v>
      </c>
      <c r="C52" s="195">
        <f>ROUND((B52/(CE76+CF76)*C76),0)</f>
        <v>33075</v>
      </c>
      <c r="D52" s="195">
        <f>ROUND((B52/(CE76+CF76)*D76),0)</f>
        <v>0</v>
      </c>
      <c r="E52" s="195">
        <f>ROUND((B52/(CE76+CF76)*E76),0)</f>
        <v>103005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42688</v>
      </c>
      <c r="I52" s="195">
        <f>ROUND((B52/(CE76+CF76)*I76),0)</f>
        <v>0</v>
      </c>
      <c r="J52" s="195">
        <f>ROUND((B52/(CE76+CF76)*J76),0)</f>
        <v>7717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97735</v>
      </c>
      <c r="P52" s="195">
        <f>ROUND((B52/(CE76+CF76)*P76),0)</f>
        <v>27011</v>
      </c>
      <c r="Q52" s="195">
        <f>ROUND((B52/(CE76+CF76)*Q76),0)</f>
        <v>43052</v>
      </c>
      <c r="R52" s="195">
        <f>ROUND((B52/(CE76+CF76)*R76),0)</f>
        <v>1764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30219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44959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11708</v>
      </c>
      <c r="AC52" s="195">
        <f>ROUND((B52/(CE76+CF76)*AC76),0)</f>
        <v>9283</v>
      </c>
      <c r="AD52" s="195">
        <f>ROUND((B52/(CE76+CF76)*AD76),0)</f>
        <v>0</v>
      </c>
      <c r="AE52" s="195">
        <f>ROUND((B52/(CE76+CF76)*AE76),0)</f>
        <v>6064</v>
      </c>
      <c r="AF52" s="195">
        <f>ROUND((B52/(CE76+CF76)*AF76),0)</f>
        <v>0</v>
      </c>
      <c r="AG52" s="195">
        <f>ROUND((B52/(CE76+CF76)*AG76),0)</f>
        <v>51001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18334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23461</v>
      </c>
      <c r="BE52" s="195">
        <f>ROUND((B52/(CE76+CF76)*BE76),0)</f>
        <v>34254</v>
      </c>
      <c r="BF52" s="195">
        <f>ROUND((B52/(CE76+CF76)*BF76),0)</f>
        <v>8798</v>
      </c>
      <c r="BG52" s="195">
        <f>ROUND((B52/(CE76+CF76)*BG76),0)</f>
        <v>0</v>
      </c>
      <c r="BH52" s="195">
        <f>ROUND((B52/(CE76+CF76)*BH76),0)</f>
        <v>3087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27562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24178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4498</v>
      </c>
      <c r="BS52" s="195">
        <f>ROUND((B52/(CE76+CF76)*BS76),0)</f>
        <v>3307</v>
      </c>
      <c r="BT52" s="195">
        <f>ROUND((B52/(CE76+CF76)*BT76),0)</f>
        <v>4189</v>
      </c>
      <c r="BU52" s="195">
        <f>ROUND((B52/(CE76+CF76)*BU76),0)</f>
        <v>0</v>
      </c>
      <c r="BV52" s="195">
        <f>ROUND((B52/(CE76+CF76)*BV76),0)</f>
        <v>14994</v>
      </c>
      <c r="BW52" s="195">
        <f>ROUND((B52/(CE76+CF76)*BW76),0)</f>
        <v>0</v>
      </c>
      <c r="BX52" s="195">
        <f>ROUND((B52/(CE76+CF76)*BX76),0)</f>
        <v>3572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95453</v>
      </c>
      <c r="CD52" s="195"/>
      <c r="CE52" s="195">
        <f>SUM(C52:CD52)</f>
        <v>774968</v>
      </c>
    </row>
    <row r="53" spans="1:84" ht="12.65" customHeight="1" x14ac:dyDescent="0.3">
      <c r="A53" s="175" t="s">
        <v>206</v>
      </c>
      <c r="B53" s="195">
        <f>B51+B52</f>
        <v>774970.83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">
      <c r="A59" s="171" t="s">
        <v>233</v>
      </c>
      <c r="B59" s="175"/>
      <c r="C59" s="184">
        <v>1705</v>
      </c>
      <c r="D59" s="184"/>
      <c r="E59" s="184">
        <v>559</v>
      </c>
      <c r="F59" s="184"/>
      <c r="G59" s="184"/>
      <c r="H59" s="184">
        <v>5260</v>
      </c>
      <c r="I59" s="184"/>
      <c r="J59" s="184">
        <v>426</v>
      </c>
      <c r="K59" s="184"/>
      <c r="L59" s="184"/>
      <c r="M59" s="184"/>
      <c r="N59" s="184"/>
      <c r="O59" s="184">
        <v>488</v>
      </c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28547</v>
      </c>
      <c r="AZ59" s="185"/>
      <c r="BA59" s="249"/>
      <c r="BB59" s="249"/>
      <c r="BC59" s="249"/>
      <c r="BD59" s="249"/>
      <c r="BE59" s="185">
        <v>70293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">
      <c r="A60" s="251" t="s">
        <v>234</v>
      </c>
      <c r="B60" s="175"/>
      <c r="C60" s="186">
        <v>9.31</v>
      </c>
      <c r="D60" s="187"/>
      <c r="E60" s="187">
        <v>12.96</v>
      </c>
      <c r="F60" s="223"/>
      <c r="G60" s="187"/>
      <c r="H60" s="187">
        <v>33.5</v>
      </c>
      <c r="I60" s="187"/>
      <c r="J60" s="223"/>
      <c r="K60" s="187"/>
      <c r="L60" s="187"/>
      <c r="M60" s="187"/>
      <c r="N60" s="187"/>
      <c r="O60" s="187">
        <v>11.76</v>
      </c>
      <c r="P60" s="221">
        <v>26.17</v>
      </c>
      <c r="Q60" s="221">
        <v>2.37</v>
      </c>
      <c r="R60" s="221"/>
      <c r="S60" s="221"/>
      <c r="T60" s="221"/>
      <c r="U60" s="221">
        <v>35.159999999999997</v>
      </c>
      <c r="V60" s="221"/>
      <c r="W60" s="221">
        <v>0.34</v>
      </c>
      <c r="X60" s="221">
        <v>1.04</v>
      </c>
      <c r="Y60" s="221">
        <v>24.47</v>
      </c>
      <c r="Z60" s="221"/>
      <c r="AA60" s="221"/>
      <c r="AB60" s="221">
        <v>8.4</v>
      </c>
      <c r="AC60" s="221">
        <v>4.55</v>
      </c>
      <c r="AD60" s="221"/>
      <c r="AE60" s="221">
        <v>0.21</v>
      </c>
      <c r="AF60" s="221"/>
      <c r="AG60" s="221">
        <v>45.21</v>
      </c>
      <c r="AH60" s="221"/>
      <c r="AI60" s="221"/>
      <c r="AJ60" s="221">
        <v>85.31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0.2</v>
      </c>
      <c r="AZ60" s="221">
        <v>14.52</v>
      </c>
      <c r="BA60" s="221"/>
      <c r="BB60" s="221"/>
      <c r="BC60" s="221"/>
      <c r="BD60" s="221">
        <v>4.1900000000000004</v>
      </c>
      <c r="BE60" s="221"/>
      <c r="BF60" s="221">
        <v>9.34</v>
      </c>
      <c r="BG60" s="221"/>
      <c r="BH60" s="221"/>
      <c r="BI60" s="221"/>
      <c r="BJ60" s="221"/>
      <c r="BK60" s="221"/>
      <c r="BL60" s="221">
        <v>15.4</v>
      </c>
      <c r="BM60" s="221"/>
      <c r="BN60" s="221">
        <v>1.22</v>
      </c>
      <c r="BO60" s="221"/>
      <c r="BP60" s="221"/>
      <c r="BQ60" s="221"/>
      <c r="BR60" s="221"/>
      <c r="BS60" s="221"/>
      <c r="BT60" s="221"/>
      <c r="BU60" s="221"/>
      <c r="BV60" s="221">
        <v>8.83</v>
      </c>
      <c r="BW60" s="221"/>
      <c r="BX60" s="221">
        <v>3.4</v>
      </c>
      <c r="BY60" s="221">
        <v>1.84</v>
      </c>
      <c r="BZ60" s="221"/>
      <c r="CA60" s="221"/>
      <c r="CB60" s="221"/>
      <c r="CC60" s="221">
        <v>0.94</v>
      </c>
      <c r="CD60" s="250" t="s">
        <v>221</v>
      </c>
      <c r="CE60" s="252">
        <f t="shared" ref="CE60:CE70" si="0">SUM(C60:CD60)</f>
        <v>360.63999999999993</v>
      </c>
    </row>
    <row r="61" spans="1:84" ht="12.65" customHeight="1" x14ac:dyDescent="0.3">
      <c r="A61" s="171" t="s">
        <v>235</v>
      </c>
      <c r="B61" s="175"/>
      <c r="C61" s="184">
        <v>678731.71</v>
      </c>
      <c r="D61" s="184"/>
      <c r="E61" s="184">
        <v>835561.5</v>
      </c>
      <c r="F61" s="185"/>
      <c r="G61" s="184"/>
      <c r="H61" s="184">
        <v>1835199.09</v>
      </c>
      <c r="I61" s="185"/>
      <c r="J61" s="185"/>
      <c r="K61" s="185"/>
      <c r="L61" s="185"/>
      <c r="M61" s="184"/>
      <c r="N61" s="184"/>
      <c r="O61" s="184">
        <v>1091064.49</v>
      </c>
      <c r="P61" s="185">
        <v>1594533.43</v>
      </c>
      <c r="Q61" s="185">
        <v>223070.13</v>
      </c>
      <c r="R61" s="185"/>
      <c r="S61" s="185"/>
      <c r="T61" s="185"/>
      <c r="U61" s="185">
        <v>866788.91</v>
      </c>
      <c r="V61" s="185"/>
      <c r="W61" s="185">
        <v>27756.63</v>
      </c>
      <c r="X61" s="185">
        <v>57762.47</v>
      </c>
      <c r="Y61" s="185">
        <v>903832.32</v>
      </c>
      <c r="Z61" s="185"/>
      <c r="AA61" s="185"/>
      <c r="AB61" s="185">
        <v>409950.71</v>
      </c>
      <c r="AC61" s="185">
        <v>121800.02</v>
      </c>
      <c r="AD61" s="185"/>
      <c r="AE61" s="185">
        <v>72130.2</v>
      </c>
      <c r="AF61" s="185"/>
      <c r="AG61" s="185">
        <v>1748553.64</v>
      </c>
      <c r="AH61" s="185"/>
      <c r="AI61" s="185"/>
      <c r="AJ61" s="185">
        <v>6446164.5199999996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6447.46</v>
      </c>
      <c r="AZ61" s="185">
        <v>275516.21000000002</v>
      </c>
      <c r="BA61" s="185"/>
      <c r="BB61" s="185"/>
      <c r="BC61" s="185"/>
      <c r="BD61" s="185">
        <v>116797.25</v>
      </c>
      <c r="BE61" s="185">
        <v>116958.18</v>
      </c>
      <c r="BF61" s="185">
        <v>281610.15000000002</v>
      </c>
      <c r="BG61" s="185"/>
      <c r="BH61" s="185"/>
      <c r="BI61" s="185"/>
      <c r="BJ61" s="185"/>
      <c r="BK61" s="185"/>
      <c r="BL61" s="185">
        <v>428083.03</v>
      </c>
      <c r="BM61" s="185">
        <v>71080.490000000005</v>
      </c>
      <c r="BN61" s="185">
        <v>296516.23</v>
      </c>
      <c r="BO61" s="185"/>
      <c r="BP61" s="185"/>
      <c r="BQ61" s="185"/>
      <c r="BR61" s="185">
        <v>29921.93</v>
      </c>
      <c r="BS61" s="185"/>
      <c r="BT61" s="185"/>
      <c r="BU61" s="185"/>
      <c r="BV61" s="185">
        <v>244034.16</v>
      </c>
      <c r="BW61" s="185"/>
      <c r="BX61" s="185">
        <v>240997.86</v>
      </c>
      <c r="BY61" s="185">
        <v>159224.12</v>
      </c>
      <c r="BZ61" s="185"/>
      <c r="CA61" s="185"/>
      <c r="CB61" s="185"/>
      <c r="CC61" s="185">
        <f>39975.06-1</f>
        <v>39974.06</v>
      </c>
      <c r="CD61" s="250" t="s">
        <v>221</v>
      </c>
      <c r="CE61" s="195">
        <f t="shared" si="0"/>
        <v>19220060.899999999</v>
      </c>
      <c r="CF61" s="253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186835</v>
      </c>
      <c r="D62" s="195">
        <f t="shared" si="1"/>
        <v>0</v>
      </c>
      <c r="E62" s="195">
        <f t="shared" si="1"/>
        <v>288117</v>
      </c>
      <c r="F62" s="195">
        <f t="shared" si="1"/>
        <v>0</v>
      </c>
      <c r="G62" s="195">
        <f t="shared" si="1"/>
        <v>0</v>
      </c>
      <c r="H62" s="195">
        <f t="shared" si="1"/>
        <v>594862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376998</v>
      </c>
      <c r="P62" s="195">
        <f t="shared" si="1"/>
        <v>566383</v>
      </c>
      <c r="Q62" s="195">
        <f t="shared" si="1"/>
        <v>74368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236585</v>
      </c>
      <c r="V62" s="195">
        <f t="shared" si="1"/>
        <v>0</v>
      </c>
      <c r="W62" s="195">
        <f t="shared" si="1"/>
        <v>11171</v>
      </c>
      <c r="X62" s="195">
        <f t="shared" si="1"/>
        <v>43109</v>
      </c>
      <c r="Y62" s="195">
        <f t="shared" si="1"/>
        <v>281413</v>
      </c>
      <c r="Z62" s="195">
        <f t="shared" si="1"/>
        <v>0</v>
      </c>
      <c r="AA62" s="195">
        <f t="shared" si="1"/>
        <v>0</v>
      </c>
      <c r="AB62" s="195">
        <f t="shared" si="1"/>
        <v>110299</v>
      </c>
      <c r="AC62" s="195">
        <f t="shared" si="1"/>
        <v>50562</v>
      </c>
      <c r="AD62" s="195">
        <f t="shared" si="1"/>
        <v>0</v>
      </c>
      <c r="AE62" s="195">
        <f t="shared" si="1"/>
        <v>2981</v>
      </c>
      <c r="AF62" s="195">
        <f t="shared" si="1"/>
        <v>0</v>
      </c>
      <c r="AG62" s="195">
        <f t="shared" si="1"/>
        <v>476945</v>
      </c>
      <c r="AH62" s="195">
        <f t="shared" si="1"/>
        <v>0</v>
      </c>
      <c r="AI62" s="195">
        <f t="shared" si="1"/>
        <v>0</v>
      </c>
      <c r="AJ62" s="195">
        <f t="shared" si="1"/>
        <v>1337952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771</v>
      </c>
      <c r="AZ62" s="195">
        <f>ROUND(AZ47+AZ48,0)</f>
        <v>112659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42950</v>
      </c>
      <c r="BE62" s="195">
        <f t="shared" si="1"/>
        <v>50662</v>
      </c>
      <c r="BF62" s="195">
        <f t="shared" si="1"/>
        <v>110945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140341</v>
      </c>
      <c r="BM62" s="195">
        <f t="shared" si="1"/>
        <v>31109</v>
      </c>
      <c r="BN62" s="195">
        <f t="shared" si="1"/>
        <v>1580912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8940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82784</v>
      </c>
      <c r="BW62" s="195">
        <f t="shared" si="2"/>
        <v>0</v>
      </c>
      <c r="BX62" s="195">
        <f t="shared" si="2"/>
        <v>41065</v>
      </c>
      <c r="BY62" s="195">
        <f t="shared" si="2"/>
        <v>58157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-3215188</v>
      </c>
      <c r="CD62" s="250" t="s">
        <v>221</v>
      </c>
      <c r="CE62" s="195">
        <f t="shared" si="0"/>
        <v>3684687</v>
      </c>
      <c r="CF62" s="253"/>
    </row>
    <row r="63" spans="1:84" ht="12.65" customHeight="1" x14ac:dyDescent="0.3">
      <c r="A63" s="171" t="s">
        <v>236</v>
      </c>
      <c r="B63" s="175"/>
      <c r="C63" s="184">
        <v>68306.600000000006</v>
      </c>
      <c r="D63" s="184"/>
      <c r="E63" s="184">
        <v>984992.7</v>
      </c>
      <c r="F63" s="185"/>
      <c r="G63" s="184"/>
      <c r="H63" s="184">
        <v>876570.37</v>
      </c>
      <c r="I63" s="185"/>
      <c r="J63" s="185"/>
      <c r="K63" s="185"/>
      <c r="L63" s="185"/>
      <c r="M63" s="184"/>
      <c r="N63" s="184"/>
      <c r="O63" s="184">
        <v>287472.01</v>
      </c>
      <c r="P63" s="185"/>
      <c r="Q63" s="185"/>
      <c r="R63" s="185">
        <v>-8953.7000000000007</v>
      </c>
      <c r="S63" s="185"/>
      <c r="T63" s="185"/>
      <c r="U63" s="185">
        <v>59175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>
        <v>-2000</v>
      </c>
      <c r="AF63" s="185"/>
      <c r="AG63" s="185">
        <v>634170</v>
      </c>
      <c r="AH63" s="185"/>
      <c r="AI63" s="185"/>
      <c r="AJ63" s="185">
        <v>74851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2614.06</v>
      </c>
      <c r="BL63" s="185"/>
      <c r="BM63" s="185">
        <v>17450</v>
      </c>
      <c r="BN63" s="185">
        <v>19565.53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3014213.5699999994</v>
      </c>
      <c r="CF63" s="253"/>
    </row>
    <row r="64" spans="1:84" ht="12.65" customHeight="1" x14ac:dyDescent="0.3">
      <c r="A64" s="171" t="s">
        <v>237</v>
      </c>
      <c r="B64" s="175"/>
      <c r="C64" s="184">
        <v>188727.37</v>
      </c>
      <c r="D64" s="184"/>
      <c r="E64" s="185">
        <v>30989.77</v>
      </c>
      <c r="F64" s="185"/>
      <c r="G64" s="184"/>
      <c r="H64" s="184">
        <v>16264.56</v>
      </c>
      <c r="I64" s="185"/>
      <c r="J64" s="185"/>
      <c r="K64" s="185"/>
      <c r="L64" s="185"/>
      <c r="M64" s="184"/>
      <c r="N64" s="184"/>
      <c r="O64" s="184">
        <v>89126.3</v>
      </c>
      <c r="P64" s="185">
        <v>2634291.41</v>
      </c>
      <c r="Q64" s="185">
        <v>44486</v>
      </c>
      <c r="R64" s="185">
        <v>32781.300000000003</v>
      </c>
      <c r="S64" s="185">
        <v>57041.39</v>
      </c>
      <c r="T64" s="185"/>
      <c r="U64" s="185">
        <v>712699.57</v>
      </c>
      <c r="V64" s="185"/>
      <c r="W64" s="185">
        <v>5.4</v>
      </c>
      <c r="X64" s="185">
        <v>32543.8</v>
      </c>
      <c r="Y64" s="185">
        <v>28607.63</v>
      </c>
      <c r="Z64" s="185"/>
      <c r="AA64" s="185"/>
      <c r="AB64" s="185">
        <v>666680.39</v>
      </c>
      <c r="AC64" s="185">
        <v>41236.730000000003</v>
      </c>
      <c r="AD64" s="185"/>
      <c r="AE64" s="185">
        <v>402.57</v>
      </c>
      <c r="AF64" s="185"/>
      <c r="AG64" s="185">
        <v>289894.23</v>
      </c>
      <c r="AH64" s="185"/>
      <c r="AI64" s="185"/>
      <c r="AJ64" s="185">
        <v>343961.17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309886.23</v>
      </c>
      <c r="AZ64" s="185">
        <v>107.69</v>
      </c>
      <c r="BA64" s="185">
        <v>2687.36</v>
      </c>
      <c r="BB64" s="185"/>
      <c r="BC64" s="185"/>
      <c r="BD64" s="185">
        <v>-74403.58</v>
      </c>
      <c r="BE64" s="185">
        <v>33842.49</v>
      </c>
      <c r="BF64" s="185">
        <v>75487.72</v>
      </c>
      <c r="BG64" s="185"/>
      <c r="BH64" s="185">
        <v>27611.05</v>
      </c>
      <c r="BI64" s="185"/>
      <c r="BJ64" s="185"/>
      <c r="BK64" s="185">
        <v>14.86</v>
      </c>
      <c r="BL64" s="185">
        <v>9815.48</v>
      </c>
      <c r="BM64" s="185">
        <v>1023.31</v>
      </c>
      <c r="BN64" s="185">
        <v>23189.68</v>
      </c>
      <c r="BO64" s="185"/>
      <c r="BP64" s="185"/>
      <c r="BQ64" s="185"/>
      <c r="BR64" s="185">
        <v>1811.52</v>
      </c>
      <c r="BS64" s="185"/>
      <c r="BT64" s="185"/>
      <c r="BU64" s="185"/>
      <c r="BV64" s="185">
        <v>4231.88</v>
      </c>
      <c r="BW64" s="185"/>
      <c r="BX64" s="185">
        <v>943.71</v>
      </c>
      <c r="BY64" s="185">
        <v>28813.65</v>
      </c>
      <c r="BZ64" s="185"/>
      <c r="CA64" s="185">
        <v>322.61</v>
      </c>
      <c r="CB64" s="185"/>
      <c r="CC64" s="185">
        <f>152269.16+1</f>
        <v>152270.16</v>
      </c>
      <c r="CD64" s="250" t="s">
        <v>221</v>
      </c>
      <c r="CE64" s="195">
        <f t="shared" si="0"/>
        <v>5807395.4100000011</v>
      </c>
      <c r="CF64" s="253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29196.82</v>
      </c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67152.2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558.41</v>
      </c>
      <c r="AZ65" s="185"/>
      <c r="BA65" s="185"/>
      <c r="BB65" s="185"/>
      <c r="BC65" s="185"/>
      <c r="BD65" s="185"/>
      <c r="BE65" s="185">
        <v>384140.88</v>
      </c>
      <c r="BF65" s="185"/>
      <c r="BG65" s="185"/>
      <c r="BH65" s="185">
        <v>24243.7</v>
      </c>
      <c r="BI65" s="185"/>
      <c r="BJ65" s="185"/>
      <c r="BK65" s="185"/>
      <c r="BL65" s="185">
        <v>51.04</v>
      </c>
      <c r="BM65" s="185"/>
      <c r="BN65" s="185">
        <v>159.74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505502.79</v>
      </c>
      <c r="CF65" s="253"/>
    </row>
    <row r="66" spans="1:84" ht="12.65" customHeight="1" x14ac:dyDescent="0.3">
      <c r="A66" s="171" t="s">
        <v>239</v>
      </c>
      <c r="B66" s="175"/>
      <c r="C66" s="184">
        <v>60679.47</v>
      </c>
      <c r="D66" s="184"/>
      <c r="E66" s="184">
        <v>32160.05</v>
      </c>
      <c r="F66" s="184"/>
      <c r="G66" s="184"/>
      <c r="H66" s="184">
        <v>579.57000000000005</v>
      </c>
      <c r="I66" s="184"/>
      <c r="J66" s="184"/>
      <c r="K66" s="185"/>
      <c r="L66" s="185"/>
      <c r="M66" s="184"/>
      <c r="N66" s="184"/>
      <c r="O66" s="185">
        <v>1176.03</v>
      </c>
      <c r="P66" s="185">
        <v>219666.71</v>
      </c>
      <c r="Q66" s="185">
        <v>1990</v>
      </c>
      <c r="R66" s="185">
        <v>272047.42</v>
      </c>
      <c r="S66" s="184"/>
      <c r="T66" s="184"/>
      <c r="U66" s="185">
        <v>483262.93</v>
      </c>
      <c r="V66" s="185"/>
      <c r="W66" s="185">
        <v>139700</v>
      </c>
      <c r="X66" s="185"/>
      <c r="Y66" s="185">
        <v>221750.39</v>
      </c>
      <c r="Z66" s="185"/>
      <c r="AA66" s="185"/>
      <c r="AB66" s="185">
        <v>64264.93</v>
      </c>
      <c r="AC66" s="185">
        <v>9139.85</v>
      </c>
      <c r="AD66" s="185"/>
      <c r="AE66" s="185">
        <v>8877.84</v>
      </c>
      <c r="AF66" s="185"/>
      <c r="AG66" s="185">
        <v>2291.06</v>
      </c>
      <c r="AH66" s="185"/>
      <c r="AI66" s="185"/>
      <c r="AJ66" s="185">
        <v>172076.49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2420.4699999999998</v>
      </c>
      <c r="AZ66" s="185">
        <v>-82.11</v>
      </c>
      <c r="BA66" s="185"/>
      <c r="BB66" s="185"/>
      <c r="BC66" s="185"/>
      <c r="BD66" s="185">
        <v>13016.35</v>
      </c>
      <c r="BE66" s="185">
        <v>273536.32</v>
      </c>
      <c r="BF66" s="185">
        <v>128701.23</v>
      </c>
      <c r="BG66" s="185">
        <v>37660.43</v>
      </c>
      <c r="BH66" s="185">
        <v>191122.03</v>
      </c>
      <c r="BI66" s="185"/>
      <c r="BJ66" s="185"/>
      <c r="BK66" s="185">
        <v>1673.2</v>
      </c>
      <c r="BL66" s="185"/>
      <c r="BM66" s="185">
        <v>2800</v>
      </c>
      <c r="BN66" s="185">
        <v>8083422.3399999999</v>
      </c>
      <c r="BO66" s="185"/>
      <c r="BP66" s="185"/>
      <c r="BQ66" s="185"/>
      <c r="BR66" s="185">
        <v>3124.26</v>
      </c>
      <c r="BS66" s="185"/>
      <c r="BT66" s="185"/>
      <c r="BU66" s="185"/>
      <c r="BV66" s="185">
        <v>26493.65</v>
      </c>
      <c r="BW66" s="185"/>
      <c r="BX66" s="185">
        <v>47395.88</v>
      </c>
      <c r="BY66" s="185">
        <v>84704.01</v>
      </c>
      <c r="BZ66" s="185"/>
      <c r="CA66" s="185"/>
      <c r="CB66" s="185"/>
      <c r="CC66" s="185">
        <f>-9371.52+3</f>
        <v>-9368.52</v>
      </c>
      <c r="CD66" s="250" t="s">
        <v>221</v>
      </c>
      <c r="CE66" s="195">
        <f t="shared" si="0"/>
        <v>10576282.280000001</v>
      </c>
      <c r="CF66" s="253"/>
    </row>
    <row r="67" spans="1:84" ht="12.65" customHeight="1" x14ac:dyDescent="0.3">
      <c r="A67" s="171" t="s">
        <v>6</v>
      </c>
      <c r="B67" s="175"/>
      <c r="C67" s="195">
        <f>ROUND(C51+C52,0)</f>
        <v>33075</v>
      </c>
      <c r="D67" s="195">
        <f>ROUND(D51+D52,0)</f>
        <v>0</v>
      </c>
      <c r="E67" s="195">
        <f t="shared" ref="E67:BP67" si="3">ROUND(E51+E52,0)</f>
        <v>103005</v>
      </c>
      <c r="F67" s="195">
        <f t="shared" si="3"/>
        <v>0</v>
      </c>
      <c r="G67" s="195">
        <f t="shared" si="3"/>
        <v>0</v>
      </c>
      <c r="H67" s="195">
        <f t="shared" si="3"/>
        <v>42688</v>
      </c>
      <c r="I67" s="195">
        <f t="shared" si="3"/>
        <v>0</v>
      </c>
      <c r="J67" s="195">
        <f>ROUND(J51+J52,0)</f>
        <v>7717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97735</v>
      </c>
      <c r="P67" s="195">
        <f t="shared" si="3"/>
        <v>27011</v>
      </c>
      <c r="Q67" s="195">
        <f t="shared" si="3"/>
        <v>43052</v>
      </c>
      <c r="R67" s="195">
        <f t="shared" si="3"/>
        <v>1764</v>
      </c>
      <c r="S67" s="195">
        <f t="shared" si="3"/>
        <v>0</v>
      </c>
      <c r="T67" s="195">
        <f t="shared" si="3"/>
        <v>0</v>
      </c>
      <c r="U67" s="195">
        <f t="shared" si="3"/>
        <v>30219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44959</v>
      </c>
      <c r="Z67" s="195">
        <f t="shared" si="3"/>
        <v>0</v>
      </c>
      <c r="AA67" s="195">
        <f t="shared" si="3"/>
        <v>0</v>
      </c>
      <c r="AB67" s="195">
        <f t="shared" si="3"/>
        <v>11708</v>
      </c>
      <c r="AC67" s="195">
        <f t="shared" si="3"/>
        <v>9283</v>
      </c>
      <c r="AD67" s="195">
        <f t="shared" si="3"/>
        <v>0</v>
      </c>
      <c r="AE67" s="195">
        <f t="shared" si="3"/>
        <v>6064</v>
      </c>
      <c r="AF67" s="195">
        <f t="shared" si="3"/>
        <v>0</v>
      </c>
      <c r="AG67" s="195">
        <f t="shared" si="3"/>
        <v>51001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18334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23461</v>
      </c>
      <c r="BE67" s="195">
        <f t="shared" si="3"/>
        <v>34254</v>
      </c>
      <c r="BF67" s="195">
        <f t="shared" si="3"/>
        <v>8798</v>
      </c>
      <c r="BG67" s="195">
        <f t="shared" si="3"/>
        <v>0</v>
      </c>
      <c r="BH67" s="195">
        <f t="shared" si="3"/>
        <v>3087</v>
      </c>
      <c r="BI67" s="195">
        <f t="shared" si="3"/>
        <v>0</v>
      </c>
      <c r="BJ67" s="195">
        <f t="shared" si="3"/>
        <v>0</v>
      </c>
      <c r="BK67" s="195">
        <f t="shared" si="3"/>
        <v>27562</v>
      </c>
      <c r="BL67" s="195">
        <f t="shared" si="3"/>
        <v>0</v>
      </c>
      <c r="BM67" s="195">
        <f t="shared" si="3"/>
        <v>0</v>
      </c>
      <c r="BN67" s="195">
        <f t="shared" si="3"/>
        <v>24178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4498</v>
      </c>
      <c r="BS67" s="195">
        <f t="shared" si="4"/>
        <v>3307</v>
      </c>
      <c r="BT67" s="195">
        <f t="shared" si="4"/>
        <v>4189</v>
      </c>
      <c r="BU67" s="195">
        <f t="shared" si="4"/>
        <v>0</v>
      </c>
      <c r="BV67" s="195">
        <f t="shared" si="4"/>
        <v>14994</v>
      </c>
      <c r="BW67" s="195">
        <f t="shared" si="4"/>
        <v>0</v>
      </c>
      <c r="BX67" s="195">
        <f t="shared" si="4"/>
        <v>3572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95453</v>
      </c>
      <c r="CD67" s="250" t="s">
        <v>221</v>
      </c>
      <c r="CE67" s="195">
        <f t="shared" si="0"/>
        <v>774968</v>
      </c>
      <c r="CF67" s="253"/>
    </row>
    <row r="68" spans="1:84" ht="12.65" customHeight="1" x14ac:dyDescent="0.3">
      <c r="A68" s="171" t="s">
        <v>240</v>
      </c>
      <c r="B68" s="175"/>
      <c r="C68" s="184">
        <v>2437.84</v>
      </c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352019.9</v>
      </c>
      <c r="Q68" s="185"/>
      <c r="R68" s="185"/>
      <c r="S68" s="185"/>
      <c r="T68" s="185"/>
      <c r="U68" s="185">
        <v>3119.75</v>
      </c>
      <c r="V68" s="185"/>
      <c r="W68" s="185"/>
      <c r="X68" s="185"/>
      <c r="Y68" s="185"/>
      <c r="Z68" s="185"/>
      <c r="AA68" s="185"/>
      <c r="AB68" s="185"/>
      <c r="AC68" s="185">
        <v>15227.88</v>
      </c>
      <c r="AD68" s="185"/>
      <c r="AE68" s="185"/>
      <c r="AF68" s="185"/>
      <c r="AG68" s="185"/>
      <c r="AH68" s="185"/>
      <c r="AI68" s="185"/>
      <c r="AJ68" s="185">
        <v>410402.97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510.26</v>
      </c>
      <c r="AZ68" s="185"/>
      <c r="BA68" s="185"/>
      <c r="BB68" s="185"/>
      <c r="BC68" s="185"/>
      <c r="BD68" s="185">
        <v>319.38</v>
      </c>
      <c r="BE68" s="185">
        <v>28191.55</v>
      </c>
      <c r="BF68" s="185">
        <v>243.01</v>
      </c>
      <c r="BG68" s="185"/>
      <c r="BH68" s="185">
        <v>958.14</v>
      </c>
      <c r="BI68" s="185"/>
      <c r="BJ68" s="185"/>
      <c r="BK68" s="185"/>
      <c r="BL68" s="185"/>
      <c r="BM68" s="185"/>
      <c r="BN68" s="185">
        <v>1670.63</v>
      </c>
      <c r="BO68" s="185"/>
      <c r="BP68" s="185"/>
      <c r="BQ68" s="185"/>
      <c r="BR68" s="185"/>
      <c r="BS68" s="185"/>
      <c r="BT68" s="185"/>
      <c r="BU68" s="185"/>
      <c r="BV68" s="185">
        <f>21382.85-1</f>
        <v>21381.85</v>
      </c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836483.16000000015</v>
      </c>
      <c r="CF68" s="253"/>
    </row>
    <row r="69" spans="1:84" ht="12.65" customHeight="1" x14ac:dyDescent="0.3">
      <c r="A69" s="171" t="s">
        <v>241</v>
      </c>
      <c r="B69" s="175"/>
      <c r="C69" s="184">
        <v>3484.65</v>
      </c>
      <c r="D69" s="184"/>
      <c r="E69" s="185">
        <v>2973</v>
      </c>
      <c r="F69" s="185"/>
      <c r="G69" s="184"/>
      <c r="H69" s="184">
        <v>8390.85</v>
      </c>
      <c r="I69" s="185"/>
      <c r="J69" s="185"/>
      <c r="K69" s="185"/>
      <c r="L69" s="185"/>
      <c r="M69" s="184"/>
      <c r="N69" s="184"/>
      <c r="O69" s="184">
        <v>10226.26</v>
      </c>
      <c r="P69" s="185">
        <v>76414.429999999993</v>
      </c>
      <c r="Q69" s="185">
        <v>130.15</v>
      </c>
      <c r="R69" s="224"/>
      <c r="S69" s="185"/>
      <c r="T69" s="184"/>
      <c r="U69" s="185">
        <v>71842.2</v>
      </c>
      <c r="V69" s="185"/>
      <c r="W69" s="184"/>
      <c r="X69" s="185"/>
      <c r="Y69" s="185">
        <v>12288.69</v>
      </c>
      <c r="Z69" s="185"/>
      <c r="AA69" s="185"/>
      <c r="AB69" s="185">
        <v>49392.7</v>
      </c>
      <c r="AC69" s="185">
        <v>1525.59</v>
      </c>
      <c r="AD69" s="185"/>
      <c r="AE69" s="185">
        <v>6053.22</v>
      </c>
      <c r="AF69" s="185"/>
      <c r="AG69" s="185">
        <v>11415.92</v>
      </c>
      <c r="AH69" s="185"/>
      <c r="AI69" s="185"/>
      <c r="AJ69" s="185">
        <v>66723.64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>
        <v>1796.17</v>
      </c>
      <c r="BA69" s="185"/>
      <c r="BB69" s="185"/>
      <c r="BC69" s="185"/>
      <c r="BD69" s="185">
        <v>9671.48</v>
      </c>
      <c r="BE69" s="185">
        <v>239.6</v>
      </c>
      <c r="BF69" s="185">
        <v>221.76</v>
      </c>
      <c r="BG69" s="185"/>
      <c r="BH69" s="224"/>
      <c r="BI69" s="185"/>
      <c r="BJ69" s="185"/>
      <c r="BK69" s="185"/>
      <c r="BL69" s="185">
        <v>388.64</v>
      </c>
      <c r="BM69" s="185"/>
      <c r="BN69" s="185">
        <v>824045.13</v>
      </c>
      <c r="BO69" s="185"/>
      <c r="BP69" s="185"/>
      <c r="BQ69" s="185"/>
      <c r="BR69" s="185">
        <v>50366.67</v>
      </c>
      <c r="BS69" s="185"/>
      <c r="BT69" s="185"/>
      <c r="BU69" s="185"/>
      <c r="BV69" s="185">
        <v>22971.13</v>
      </c>
      <c r="BW69" s="185"/>
      <c r="BX69" s="185">
        <v>2184.09</v>
      </c>
      <c r="BY69" s="185">
        <v>50484.84</v>
      </c>
      <c r="BZ69" s="185"/>
      <c r="CA69" s="185">
        <v>4430</v>
      </c>
      <c r="CB69" s="185"/>
      <c r="CC69" s="185">
        <f>616373.55+1</f>
        <v>616374.55000000005</v>
      </c>
      <c r="CD69" s="188"/>
      <c r="CE69" s="195">
        <f t="shared" si="0"/>
        <v>1904035.36</v>
      </c>
      <c r="CF69" s="253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">
      <c r="A71" s="171" t="s">
        <v>243</v>
      </c>
      <c r="B71" s="175"/>
      <c r="C71" s="195">
        <f>SUM(C61:C68)+C69-C70</f>
        <v>1222277.6399999999</v>
      </c>
      <c r="D71" s="195">
        <f t="shared" ref="D71:AI71" si="5">SUM(D61:D69)-D70</f>
        <v>0</v>
      </c>
      <c r="E71" s="195">
        <f t="shared" si="5"/>
        <v>2277799.02</v>
      </c>
      <c r="F71" s="195">
        <f t="shared" si="5"/>
        <v>0</v>
      </c>
      <c r="G71" s="195">
        <f t="shared" si="5"/>
        <v>0</v>
      </c>
      <c r="H71" s="195">
        <f t="shared" si="5"/>
        <v>3374554.44</v>
      </c>
      <c r="I71" s="195">
        <f t="shared" si="5"/>
        <v>0</v>
      </c>
      <c r="J71" s="195">
        <f t="shared" si="5"/>
        <v>7717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1953798.09</v>
      </c>
      <c r="P71" s="195">
        <f t="shared" si="5"/>
        <v>5499516.7000000002</v>
      </c>
      <c r="Q71" s="195">
        <f t="shared" si="5"/>
        <v>387096.28</v>
      </c>
      <c r="R71" s="195">
        <f t="shared" si="5"/>
        <v>297639.01999999996</v>
      </c>
      <c r="S71" s="195">
        <f t="shared" si="5"/>
        <v>57041.39</v>
      </c>
      <c r="T71" s="195">
        <f t="shared" si="5"/>
        <v>0</v>
      </c>
      <c r="U71" s="195">
        <f t="shared" si="5"/>
        <v>2463692.3600000003</v>
      </c>
      <c r="V71" s="195">
        <f t="shared" si="5"/>
        <v>0</v>
      </c>
      <c r="W71" s="195">
        <f t="shared" si="5"/>
        <v>178633.03</v>
      </c>
      <c r="X71" s="195">
        <f t="shared" si="5"/>
        <v>133415.26999999999</v>
      </c>
      <c r="Y71" s="195">
        <f t="shared" si="5"/>
        <v>1492851.0299999998</v>
      </c>
      <c r="Z71" s="195">
        <f t="shared" si="5"/>
        <v>0</v>
      </c>
      <c r="AA71" s="195">
        <f t="shared" si="5"/>
        <v>0</v>
      </c>
      <c r="AB71" s="195">
        <f t="shared" si="5"/>
        <v>1312295.73</v>
      </c>
      <c r="AC71" s="195">
        <f t="shared" si="5"/>
        <v>248775.07000000004</v>
      </c>
      <c r="AD71" s="195">
        <f t="shared" si="5"/>
        <v>0</v>
      </c>
      <c r="AE71" s="195">
        <f t="shared" si="5"/>
        <v>94508.83</v>
      </c>
      <c r="AF71" s="195">
        <f t="shared" si="5"/>
        <v>0</v>
      </c>
      <c r="AG71" s="195">
        <f t="shared" si="5"/>
        <v>3214270.8499999996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8919283.9900000002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338927.82999999996</v>
      </c>
      <c r="AZ71" s="195">
        <f t="shared" si="6"/>
        <v>389996.96</v>
      </c>
      <c r="BA71" s="195">
        <f t="shared" si="6"/>
        <v>2687.36</v>
      </c>
      <c r="BB71" s="195">
        <f t="shared" si="6"/>
        <v>0</v>
      </c>
      <c r="BC71" s="195">
        <f t="shared" si="6"/>
        <v>0</v>
      </c>
      <c r="BD71" s="195">
        <f t="shared" si="6"/>
        <v>131811.88</v>
      </c>
      <c r="BE71" s="195">
        <f t="shared" si="6"/>
        <v>921825.02000000014</v>
      </c>
      <c r="BF71" s="195">
        <f t="shared" si="6"/>
        <v>606006.87</v>
      </c>
      <c r="BG71" s="195">
        <f t="shared" si="6"/>
        <v>37660.43</v>
      </c>
      <c r="BH71" s="195">
        <f t="shared" si="6"/>
        <v>247021.92</v>
      </c>
      <c r="BI71" s="195">
        <f t="shared" si="6"/>
        <v>0</v>
      </c>
      <c r="BJ71" s="195">
        <f t="shared" si="6"/>
        <v>0</v>
      </c>
      <c r="BK71" s="195">
        <f t="shared" si="6"/>
        <v>31864.12</v>
      </c>
      <c r="BL71" s="195">
        <f t="shared" si="6"/>
        <v>578679.19000000006</v>
      </c>
      <c r="BM71" s="195">
        <f t="shared" si="6"/>
        <v>123462.8</v>
      </c>
      <c r="BN71" s="195">
        <f t="shared" si="6"/>
        <v>10853659.280000001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98662.38</v>
      </c>
      <c r="BS71" s="195">
        <f t="shared" si="7"/>
        <v>3307</v>
      </c>
      <c r="BT71" s="195">
        <f t="shared" si="7"/>
        <v>4189</v>
      </c>
      <c r="BU71" s="195">
        <f t="shared" si="7"/>
        <v>0</v>
      </c>
      <c r="BV71" s="195">
        <f t="shared" si="7"/>
        <v>416890.67000000004</v>
      </c>
      <c r="BW71" s="195">
        <f t="shared" si="7"/>
        <v>0</v>
      </c>
      <c r="BX71" s="195">
        <f t="shared" si="7"/>
        <v>336158.54000000004</v>
      </c>
      <c r="BY71" s="195">
        <f t="shared" si="7"/>
        <v>381383.62</v>
      </c>
      <c r="BZ71" s="195">
        <f t="shared" si="7"/>
        <v>0</v>
      </c>
      <c r="CA71" s="195">
        <f t="shared" si="7"/>
        <v>4752.6099999999997</v>
      </c>
      <c r="CB71" s="195">
        <f t="shared" si="7"/>
        <v>0</v>
      </c>
      <c r="CC71" s="195">
        <f t="shared" si="7"/>
        <v>-2320484.75</v>
      </c>
      <c r="CD71" s="246">
        <f>CD69-CD70</f>
        <v>0</v>
      </c>
      <c r="CE71" s="195">
        <f>SUM(CE61:CE69)-CE70</f>
        <v>46323628.469999999</v>
      </c>
      <c r="CF71" s="253"/>
    </row>
    <row r="72" spans="1:84" ht="12.65" customHeight="1" x14ac:dyDescent="0.3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">
      <c r="A73" s="171" t="s">
        <v>245</v>
      </c>
      <c r="B73" s="175"/>
      <c r="C73" s="184">
        <v>-1534546.65</v>
      </c>
      <c r="D73" s="184"/>
      <c r="E73" s="185">
        <v>-2831869.48</v>
      </c>
      <c r="F73" s="185"/>
      <c r="G73" s="184"/>
      <c r="H73" s="184">
        <v>-11942283</v>
      </c>
      <c r="I73" s="185"/>
      <c r="J73" s="185">
        <v>-610401.81999999995</v>
      </c>
      <c r="K73" s="185"/>
      <c r="L73" s="185"/>
      <c r="M73" s="184"/>
      <c r="N73" s="184"/>
      <c r="O73" s="184">
        <v>-2117354.5099999998</v>
      </c>
      <c r="P73" s="185">
        <v>-3103123.86</v>
      </c>
      <c r="Q73" s="185">
        <v>-38041.15</v>
      </c>
      <c r="R73" s="185">
        <v>-175529.52</v>
      </c>
      <c r="S73" s="185">
        <v>-189732.13</v>
      </c>
      <c r="T73" s="185"/>
      <c r="U73" s="185">
        <v>-6238147.8700000001</v>
      </c>
      <c r="V73" s="185">
        <v>-440133.3</v>
      </c>
      <c r="W73" s="185">
        <v>-43721</v>
      </c>
      <c r="X73" s="185">
        <v>-2727194.27</v>
      </c>
      <c r="Y73" s="185">
        <v>-905531.1</v>
      </c>
      <c r="Z73" s="185"/>
      <c r="AA73" s="185"/>
      <c r="AB73" s="185">
        <v>-6992588.25</v>
      </c>
      <c r="AC73" s="185">
        <v>-2809210.15</v>
      </c>
      <c r="AD73" s="185"/>
      <c r="AE73" s="185">
        <v>-72318</v>
      </c>
      <c r="AF73" s="185"/>
      <c r="AG73" s="185">
        <v>-2255333.4900000002</v>
      </c>
      <c r="AH73" s="185"/>
      <c r="AI73" s="185"/>
      <c r="AJ73" s="185">
        <v>-3402</v>
      </c>
      <c r="AK73" s="185">
        <v>-11427</v>
      </c>
      <c r="AL73" s="185">
        <v>-21989</v>
      </c>
      <c r="AM73" s="185"/>
      <c r="AN73" s="185"/>
      <c r="AO73" s="185">
        <v>-925123.42</v>
      </c>
      <c r="AP73" s="185"/>
      <c r="AQ73" s="185"/>
      <c r="AR73" s="185"/>
      <c r="AS73" s="185"/>
      <c r="AT73" s="185"/>
      <c r="AU73" s="185"/>
      <c r="AV73" s="185">
        <v>-8321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-45997321.969999999</v>
      </c>
      <c r="CF73" s="253"/>
    </row>
    <row r="74" spans="1:84" ht="12.65" customHeight="1" x14ac:dyDescent="0.3">
      <c r="A74" s="171" t="s">
        <v>246</v>
      </c>
      <c r="B74" s="175"/>
      <c r="C74" s="184"/>
      <c r="D74" s="184"/>
      <c r="E74" s="185">
        <v>-388838.24</v>
      </c>
      <c r="F74" s="185"/>
      <c r="G74" s="184"/>
      <c r="H74" s="184">
        <v>-392154.78</v>
      </c>
      <c r="I74" s="184"/>
      <c r="J74" s="185">
        <v>-16412</v>
      </c>
      <c r="K74" s="185"/>
      <c r="L74" s="185"/>
      <c r="M74" s="184"/>
      <c r="N74" s="184"/>
      <c r="O74" s="184">
        <v>-151519.25</v>
      </c>
      <c r="P74" s="185">
        <v>-44092045.43</v>
      </c>
      <c r="Q74" s="185">
        <v>-521498.83</v>
      </c>
      <c r="R74" s="185">
        <v>-440171.95</v>
      </c>
      <c r="S74" s="185">
        <v>-212412.03</v>
      </c>
      <c r="T74" s="185"/>
      <c r="U74" s="185">
        <v>-9796905.0899999999</v>
      </c>
      <c r="V74" s="185">
        <v>-1848981.43</v>
      </c>
      <c r="W74" s="185">
        <v>-1563069</v>
      </c>
      <c r="X74" s="185">
        <v>-16701340.32</v>
      </c>
      <c r="Y74" s="185">
        <v>-8894261.3699999992</v>
      </c>
      <c r="Z74" s="185"/>
      <c r="AA74" s="185"/>
      <c r="AB74" s="185">
        <v>-2910303.67</v>
      </c>
      <c r="AC74" s="185">
        <v>-511413.67</v>
      </c>
      <c r="AD74" s="185"/>
      <c r="AE74" s="185">
        <v>-289060</v>
      </c>
      <c r="AF74" s="185"/>
      <c r="AG74" s="185">
        <v>-22701062.140000001</v>
      </c>
      <c r="AH74" s="185"/>
      <c r="AI74" s="185"/>
      <c r="AJ74" s="185">
        <v>-28440793.350000001</v>
      </c>
      <c r="AK74" s="185">
        <v>-278</v>
      </c>
      <c r="AL74" s="185">
        <v>-1019</v>
      </c>
      <c r="AM74" s="185"/>
      <c r="AN74" s="185"/>
      <c r="AO74" s="185">
        <v>-66869.440000000002</v>
      </c>
      <c r="AP74" s="185"/>
      <c r="AQ74" s="185"/>
      <c r="AR74" s="185"/>
      <c r="AS74" s="185"/>
      <c r="AT74" s="185"/>
      <c r="AU74" s="185"/>
      <c r="AV74" s="185">
        <v>-194740.33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-140135149.32000002</v>
      </c>
      <c r="CF74" s="253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-1534546.65</v>
      </c>
      <c r="D75" s="195">
        <f t="shared" si="9"/>
        <v>0</v>
      </c>
      <c r="E75" s="195">
        <f t="shared" si="9"/>
        <v>-3220707.7199999997</v>
      </c>
      <c r="F75" s="195">
        <f t="shared" si="9"/>
        <v>0</v>
      </c>
      <c r="G75" s="195">
        <f t="shared" si="9"/>
        <v>0</v>
      </c>
      <c r="H75" s="195">
        <f t="shared" si="9"/>
        <v>-12334437.779999999</v>
      </c>
      <c r="I75" s="195">
        <f t="shared" si="9"/>
        <v>0</v>
      </c>
      <c r="J75" s="195">
        <f t="shared" si="9"/>
        <v>-626813.81999999995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-2268873.7599999998</v>
      </c>
      <c r="P75" s="195">
        <f t="shared" si="9"/>
        <v>-47195169.289999999</v>
      </c>
      <c r="Q75" s="195">
        <f t="shared" si="9"/>
        <v>-559539.98</v>
      </c>
      <c r="R75" s="195">
        <f t="shared" si="9"/>
        <v>-615701.47</v>
      </c>
      <c r="S75" s="195">
        <f t="shared" si="9"/>
        <v>-402144.16000000003</v>
      </c>
      <c r="T75" s="195">
        <f t="shared" si="9"/>
        <v>0</v>
      </c>
      <c r="U75" s="195">
        <f t="shared" si="9"/>
        <v>-16035052.960000001</v>
      </c>
      <c r="V75" s="195">
        <f t="shared" si="9"/>
        <v>-2289114.73</v>
      </c>
      <c r="W75" s="195">
        <f t="shared" si="9"/>
        <v>-1606790</v>
      </c>
      <c r="X75" s="195">
        <f t="shared" si="9"/>
        <v>-19428534.59</v>
      </c>
      <c r="Y75" s="195">
        <f t="shared" si="9"/>
        <v>-9799792.4699999988</v>
      </c>
      <c r="Z75" s="195">
        <f t="shared" si="9"/>
        <v>0</v>
      </c>
      <c r="AA75" s="195">
        <f t="shared" si="9"/>
        <v>0</v>
      </c>
      <c r="AB75" s="195">
        <f t="shared" si="9"/>
        <v>-9902891.9199999999</v>
      </c>
      <c r="AC75" s="195">
        <f t="shared" si="9"/>
        <v>-3320623.82</v>
      </c>
      <c r="AD75" s="195">
        <f t="shared" si="9"/>
        <v>0</v>
      </c>
      <c r="AE75" s="195">
        <f t="shared" si="9"/>
        <v>-361378</v>
      </c>
      <c r="AF75" s="195">
        <f t="shared" si="9"/>
        <v>0</v>
      </c>
      <c r="AG75" s="195">
        <f t="shared" si="9"/>
        <v>-24956395.630000003</v>
      </c>
      <c r="AH75" s="195">
        <f t="shared" si="9"/>
        <v>0</v>
      </c>
      <c r="AI75" s="195">
        <f t="shared" si="9"/>
        <v>0</v>
      </c>
      <c r="AJ75" s="195">
        <f t="shared" si="9"/>
        <v>-28444195.350000001</v>
      </c>
      <c r="AK75" s="195">
        <f t="shared" si="9"/>
        <v>-11705</v>
      </c>
      <c r="AL75" s="195">
        <f t="shared" si="9"/>
        <v>-23008</v>
      </c>
      <c r="AM75" s="195">
        <f t="shared" si="9"/>
        <v>0</v>
      </c>
      <c r="AN75" s="195">
        <f t="shared" si="9"/>
        <v>0</v>
      </c>
      <c r="AO75" s="195">
        <f t="shared" si="9"/>
        <v>-991992.8600000001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-203061.33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-186132471.29000002</v>
      </c>
      <c r="CF75" s="253"/>
    </row>
    <row r="76" spans="1:84" ht="12.65" customHeight="1" x14ac:dyDescent="0.3">
      <c r="A76" s="171" t="s">
        <v>248</v>
      </c>
      <c r="B76" s="175"/>
      <c r="C76" s="184">
        <v>3000</v>
      </c>
      <c r="D76" s="184"/>
      <c r="E76" s="185">
        <v>9343</v>
      </c>
      <c r="F76" s="185"/>
      <c r="G76" s="184"/>
      <c r="H76" s="184">
        <v>3872</v>
      </c>
      <c r="I76" s="185"/>
      <c r="J76" s="185">
        <v>700</v>
      </c>
      <c r="K76" s="185"/>
      <c r="L76" s="185"/>
      <c r="M76" s="185"/>
      <c r="N76" s="185"/>
      <c r="O76" s="185">
        <v>8865</v>
      </c>
      <c r="P76" s="185">
        <v>2450</v>
      </c>
      <c r="Q76" s="185">
        <v>3905</v>
      </c>
      <c r="R76" s="185">
        <v>160</v>
      </c>
      <c r="S76" s="185"/>
      <c r="T76" s="185"/>
      <c r="U76" s="185">
        <v>2741</v>
      </c>
      <c r="V76" s="185"/>
      <c r="W76" s="185"/>
      <c r="X76" s="185"/>
      <c r="Y76" s="185">
        <v>4078</v>
      </c>
      <c r="Z76" s="185"/>
      <c r="AA76" s="185"/>
      <c r="AB76" s="185">
        <v>1062</v>
      </c>
      <c r="AC76" s="185">
        <v>842</v>
      </c>
      <c r="AD76" s="185"/>
      <c r="AE76" s="185">
        <v>550</v>
      </c>
      <c r="AF76" s="185"/>
      <c r="AG76" s="185">
        <v>4626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1663</v>
      </c>
      <c r="AZ76" s="185"/>
      <c r="BA76" s="185"/>
      <c r="BB76" s="185"/>
      <c r="BC76" s="185"/>
      <c r="BD76" s="185">
        <v>2128</v>
      </c>
      <c r="BE76" s="185">
        <v>3107</v>
      </c>
      <c r="BF76" s="185">
        <f>1348-550</f>
        <v>798</v>
      </c>
      <c r="BG76" s="185"/>
      <c r="BH76" s="185">
        <v>280</v>
      </c>
      <c r="BI76" s="185"/>
      <c r="BJ76" s="185"/>
      <c r="BK76" s="185">
        <v>2500</v>
      </c>
      <c r="BL76" s="185"/>
      <c r="BM76" s="185"/>
      <c r="BN76" s="185">
        <v>2193</v>
      </c>
      <c r="BO76" s="185"/>
      <c r="BP76" s="185"/>
      <c r="BQ76" s="185"/>
      <c r="BR76" s="185">
        <v>408</v>
      </c>
      <c r="BS76" s="185">
        <v>300</v>
      </c>
      <c r="BT76" s="185">
        <v>380</v>
      </c>
      <c r="BU76" s="185"/>
      <c r="BV76" s="185">
        <v>1360</v>
      </c>
      <c r="BW76" s="185"/>
      <c r="BX76" s="185">
        <v>324</v>
      </c>
      <c r="BY76" s="185"/>
      <c r="BZ76" s="185"/>
      <c r="CA76" s="185"/>
      <c r="CB76" s="185"/>
      <c r="CC76" s="185">
        <v>8658</v>
      </c>
      <c r="CD76" s="250" t="s">
        <v>221</v>
      </c>
      <c r="CE76" s="195">
        <f t="shared" si="8"/>
        <v>70293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5006</v>
      </c>
      <c r="D77" s="184"/>
      <c r="E77" s="184">
        <v>2389</v>
      </c>
      <c r="F77" s="184"/>
      <c r="G77" s="184"/>
      <c r="H77" s="184">
        <v>18410</v>
      </c>
      <c r="I77" s="184"/>
      <c r="J77" s="184"/>
      <c r="K77" s="184"/>
      <c r="L77" s="184"/>
      <c r="M77" s="184"/>
      <c r="N77" s="184"/>
      <c r="O77" s="184">
        <v>2742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28547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>
        <v>36033</v>
      </c>
      <c r="D79" s="225"/>
      <c r="E79" s="184">
        <v>53074</v>
      </c>
      <c r="F79" s="184"/>
      <c r="G79" s="184"/>
      <c r="H79" s="184">
        <v>34368</v>
      </c>
      <c r="I79" s="184"/>
      <c r="J79" s="184"/>
      <c r="K79" s="184"/>
      <c r="L79" s="184"/>
      <c r="M79" s="184"/>
      <c r="N79" s="184"/>
      <c r="O79" s="184">
        <v>39286</v>
      </c>
      <c r="P79" s="184"/>
      <c r="Q79" s="184"/>
      <c r="R79" s="184"/>
      <c r="S79" s="184"/>
      <c r="T79" s="184"/>
      <c r="U79" s="184"/>
      <c r="V79" s="184"/>
      <c r="W79" s="184"/>
      <c r="X79" s="184"/>
      <c r="Y79" s="184">
        <v>31845</v>
      </c>
      <c r="Z79" s="184"/>
      <c r="AA79" s="184"/>
      <c r="AB79" s="184"/>
      <c r="AC79" s="184"/>
      <c r="AD79" s="184"/>
      <c r="AE79" s="184"/>
      <c r="AF79" s="184"/>
      <c r="AG79" s="184">
        <v>159223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353829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f>0.01+6.42</f>
        <v>6.43</v>
      </c>
      <c r="D80" s="187"/>
      <c r="E80" s="187">
        <v>7.15</v>
      </c>
      <c r="F80" s="187"/>
      <c r="G80" s="187"/>
      <c r="H80" s="187">
        <v>9.92</v>
      </c>
      <c r="I80" s="187"/>
      <c r="J80" s="187"/>
      <c r="K80" s="187"/>
      <c r="L80" s="187"/>
      <c r="M80" s="187"/>
      <c r="N80" s="187"/>
      <c r="O80" s="187">
        <v>10</v>
      </c>
      <c r="P80" s="187">
        <v>13.33</v>
      </c>
      <c r="Q80" s="187">
        <v>2.36</v>
      </c>
      <c r="R80" s="187"/>
      <c r="S80" s="187"/>
      <c r="T80" s="187"/>
      <c r="U80" s="187">
        <v>4.34</v>
      </c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2.88</v>
      </c>
      <c r="AH80" s="187"/>
      <c r="AI80" s="187"/>
      <c r="AJ80" s="187">
        <v>3.1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59.510000000000005</v>
      </c>
      <c r="CF80" s="256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3" t="s">
        <v>1280</v>
      </c>
      <c r="D82" s="257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1270</v>
      </c>
      <c r="D83" s="257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5" customHeight="1" x14ac:dyDescent="0.3">
      <c r="A85" s="173" t="s">
        <v>1250</v>
      </c>
      <c r="B85" s="172"/>
      <c r="C85" s="272" t="s">
        <v>1272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1"/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1281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1282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1278</v>
      </c>
      <c r="D92" s="257"/>
      <c r="E92" s="175"/>
    </row>
    <row r="93" spans="1:5" ht="12.65" customHeight="1" x14ac:dyDescent="0.3">
      <c r="A93" s="173" t="s">
        <v>264</v>
      </c>
      <c r="B93" s="172" t="s">
        <v>256</v>
      </c>
      <c r="C93" s="271" t="s">
        <v>1279</v>
      </c>
      <c r="D93" s="257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8" t="s">
        <v>266</v>
      </c>
      <c r="B96" s="258"/>
      <c r="C96" s="258"/>
      <c r="D96" s="258"/>
      <c r="E96" s="258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8" t="s">
        <v>269</v>
      </c>
      <c r="B100" s="258"/>
      <c r="C100" s="258"/>
      <c r="D100" s="258"/>
      <c r="E100" s="258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8" t="s">
        <v>271</v>
      </c>
      <c r="B103" s="258"/>
      <c r="C103" s="258"/>
      <c r="D103" s="258"/>
      <c r="E103" s="258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1018</v>
      </c>
      <c r="D111" s="174">
        <f>8012</f>
        <v>8012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266</v>
      </c>
      <c r="D114" s="174">
        <v>426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14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47</v>
      </c>
    </row>
    <row r="128" spans="1:5" ht="12.65" customHeight="1" x14ac:dyDescent="0.3">
      <c r="A128" s="173" t="s">
        <v>292</v>
      </c>
      <c r="B128" s="172" t="s">
        <v>256</v>
      </c>
      <c r="C128" s="189">
        <v>78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176</v>
      </c>
      <c r="C138" s="189">
        <v>638</v>
      </c>
      <c r="D138" s="174">
        <f>34+170+266</f>
        <v>470</v>
      </c>
      <c r="E138" s="175">
        <f>SUM(B138:D138)</f>
        <v>1284</v>
      </c>
    </row>
    <row r="139" spans="1:6" ht="12.65" customHeight="1" x14ac:dyDescent="0.3">
      <c r="A139" s="173" t="s">
        <v>215</v>
      </c>
      <c r="B139" s="174">
        <v>2230</v>
      </c>
      <c r="C139" s="189">
        <v>4651</v>
      </c>
      <c r="D139" s="174">
        <f>211+920+426</f>
        <v>1557</v>
      </c>
      <c r="E139" s="175">
        <f>SUM(B139:D139)</f>
        <v>8438</v>
      </c>
    </row>
    <row r="140" spans="1:6" ht="12.65" customHeight="1" x14ac:dyDescent="0.3">
      <c r="A140" s="173" t="s">
        <v>298</v>
      </c>
      <c r="B140" s="174">
        <v>29367</v>
      </c>
      <c r="C140" s="174">
        <v>29310</v>
      </c>
      <c r="D140" s="174">
        <v>34177</v>
      </c>
      <c r="E140" s="175">
        <f>SUM(B140:D140)</f>
        <v>92854</v>
      </c>
    </row>
    <row r="141" spans="1:6" ht="12.65" customHeight="1" x14ac:dyDescent="0.3">
      <c r="A141" s="173" t="s">
        <v>245</v>
      </c>
      <c r="B141" s="174">
        <f>6435733+4664092</f>
        <v>11099825</v>
      </c>
      <c r="C141" s="189">
        <f>16087284+9264625</f>
        <v>25351909</v>
      </c>
      <c r="D141" s="174">
        <f>2408727+4808936+23392+1325647+978887</f>
        <v>9545589</v>
      </c>
      <c r="E141" s="175">
        <f>SUM(B141:D141)</f>
        <v>45997323</v>
      </c>
      <c r="F141" s="199"/>
    </row>
    <row r="142" spans="1:6" ht="12.65" customHeight="1" x14ac:dyDescent="0.3">
      <c r="A142" s="173" t="s">
        <v>246</v>
      </c>
      <c r="B142" s="174">
        <f>35188843</f>
        <v>35188843</v>
      </c>
      <c r="C142" s="189">
        <f>51624765</f>
        <v>51624765</v>
      </c>
      <c r="D142" s="174">
        <f>9724834+44577276-980568</f>
        <v>53321542</v>
      </c>
      <c r="E142" s="175">
        <f>SUM(B142:D142)</f>
        <v>140135150</v>
      </c>
      <c r="F142" s="199"/>
    </row>
    <row r="143" spans="1:6" ht="12.65" customHeight="1" x14ac:dyDescent="0.3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8" t="s">
        <v>306</v>
      </c>
      <c r="B164" s="258"/>
      <c r="C164" s="258"/>
      <c r="D164" s="258"/>
      <c r="E164" s="258"/>
    </row>
    <row r="165" spans="1:5" ht="11.5" customHeight="1" x14ac:dyDescent="0.3">
      <c r="A165" s="173" t="s">
        <v>307</v>
      </c>
      <c r="B165" s="172" t="s">
        <v>256</v>
      </c>
      <c r="C165" s="189">
        <v>1232588.6200000001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87295.48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308483.87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f>3504.04+1530999</f>
        <v>1534503.04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521864.64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-50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3684685.6500000004</v>
      </c>
      <c r="E173" s="175"/>
    </row>
    <row r="174" spans="1:5" ht="11.5" customHeight="1" x14ac:dyDescent="0.3">
      <c r="A174" s="258" t="s">
        <v>314</v>
      </c>
      <c r="B174" s="258"/>
      <c r="C174" s="258"/>
      <c r="D174" s="258"/>
      <c r="E174" s="258"/>
    </row>
    <row r="175" spans="1:5" ht="11.5" customHeight="1" x14ac:dyDescent="0.3">
      <c r="A175" s="173" t="s">
        <v>315</v>
      </c>
      <c r="B175" s="172" t="s">
        <v>256</v>
      </c>
      <c r="C175" s="189">
        <v>751749.22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84734.94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836484.15999999992</v>
      </c>
      <c r="E177" s="175"/>
    </row>
    <row r="178" spans="1:5" ht="11.5" customHeight="1" x14ac:dyDescent="0.3">
      <c r="A178" s="258" t="s">
        <v>317</v>
      </c>
      <c r="B178" s="258"/>
      <c r="C178" s="258"/>
      <c r="D178" s="258"/>
      <c r="E178" s="258"/>
    </row>
    <row r="179" spans="1:5" ht="11.5" customHeight="1" x14ac:dyDescent="0.3">
      <c r="A179" s="173" t="s">
        <v>318</v>
      </c>
      <c r="B179" s="172" t="s">
        <v>256</v>
      </c>
      <c r="C179" s="189">
        <v>412037.05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7931.87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419968.92</v>
      </c>
      <c r="E181" s="175"/>
    </row>
    <row r="182" spans="1:5" ht="11.5" customHeight="1" x14ac:dyDescent="0.3">
      <c r="A182" s="258" t="s">
        <v>320</v>
      </c>
      <c r="B182" s="258"/>
      <c r="C182" s="258"/>
      <c r="D182" s="258"/>
      <c r="E182" s="258"/>
    </row>
    <row r="183" spans="1:5" ht="11.5" customHeight="1" x14ac:dyDescent="0.3">
      <c r="A183" s="173" t="s">
        <v>321</v>
      </c>
      <c r="B183" s="172" t="s">
        <v>256</v>
      </c>
      <c r="C183" s="189">
        <v>798329.77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465050.7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1263380.47</v>
      </c>
      <c r="E186" s="175"/>
    </row>
    <row r="187" spans="1:5" ht="11.5" customHeight="1" x14ac:dyDescent="0.3">
      <c r="A187" s="258" t="s">
        <v>323</v>
      </c>
      <c r="B187" s="258"/>
      <c r="C187" s="258"/>
      <c r="D187" s="258"/>
      <c r="E187" s="258"/>
    </row>
    <row r="188" spans="1:5" ht="11.5" customHeight="1" x14ac:dyDescent="0.3">
      <c r="A188" s="173" t="s">
        <v>324</v>
      </c>
      <c r="B188" s="172" t="s">
        <v>256</v>
      </c>
      <c r="C188" s="189">
        <v>2536680.42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7037.42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2543717.84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550000</v>
      </c>
      <c r="C195" s="189"/>
      <c r="D195" s="174"/>
      <c r="E195" s="175">
        <f t="shared" ref="E195:E203" si="10">SUM(B195:C195)-D195</f>
        <v>550000</v>
      </c>
    </row>
    <row r="196" spans="1:8" ht="12.65" customHeight="1" x14ac:dyDescent="0.3">
      <c r="A196" s="173" t="s">
        <v>333</v>
      </c>
      <c r="B196" s="174">
        <v>26952.880000000001</v>
      </c>
      <c r="C196" s="189"/>
      <c r="D196" s="174"/>
      <c r="E196" s="175">
        <f t="shared" si="10"/>
        <v>26952.880000000001</v>
      </c>
    </row>
    <row r="197" spans="1:8" ht="12.65" customHeight="1" x14ac:dyDescent="0.3">
      <c r="A197" s="173" t="s">
        <v>334</v>
      </c>
      <c r="B197" s="174">
        <f>6529999.22+1428259.48</f>
        <v>7958258.6999999993</v>
      </c>
      <c r="C197" s="189">
        <f>38329.2+38254.68</f>
        <v>76583.88</v>
      </c>
      <c r="D197" s="174"/>
      <c r="E197" s="175">
        <f t="shared" si="10"/>
        <v>8034842.5799999991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1689982.74</v>
      </c>
      <c r="C200" s="189">
        <f>532733.12+5420.64+28036.8+3626</f>
        <v>569816.56000000006</v>
      </c>
      <c r="D200" s="174"/>
      <c r="E200" s="175">
        <f t="shared" si="10"/>
        <v>2259799.2999999998</v>
      </c>
    </row>
    <row r="201" spans="1:8" ht="12.65" customHeight="1" x14ac:dyDescent="0.3">
      <c r="A201" s="173" t="s">
        <v>338</v>
      </c>
      <c r="B201" s="174">
        <v>388075.65</v>
      </c>
      <c r="C201" s="189">
        <f>10260.34-1243.93+80373.05</f>
        <v>89389.46</v>
      </c>
      <c r="D201" s="174"/>
      <c r="E201" s="175">
        <f t="shared" si="10"/>
        <v>477465.11000000004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f>14514.95+40561.39</f>
        <v>55076.34</v>
      </c>
      <c r="C203" s="189">
        <f>203762.58-1925-40506.39+38965.29</f>
        <v>200296.48</v>
      </c>
      <c r="D203" s="174"/>
      <c r="E203" s="175">
        <f t="shared" si="10"/>
        <v>255372.82</v>
      </c>
    </row>
    <row r="204" spans="1:8" ht="12.65" customHeight="1" x14ac:dyDescent="0.3">
      <c r="A204" s="173" t="s">
        <v>203</v>
      </c>
      <c r="B204" s="175">
        <f>SUM(B195:B203)</f>
        <v>10668346.310000001</v>
      </c>
      <c r="C204" s="191">
        <f>SUM(C195:C203)</f>
        <v>936086.38</v>
      </c>
      <c r="D204" s="175">
        <f>SUM(D195:D203)</f>
        <v>0</v>
      </c>
      <c r="E204" s="175">
        <f>SUM(E195:E203)</f>
        <v>11604432.689999998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">
      <c r="A209" s="173" t="s">
        <v>333</v>
      </c>
      <c r="B209" s="174">
        <v>2659.91</v>
      </c>
      <c r="C209" s="189">
        <v>1497.4</v>
      </c>
      <c r="D209" s="174"/>
      <c r="E209" s="175">
        <f t="shared" ref="E209:E216" si="11">SUM(B209:C209)-D209</f>
        <v>4157.3099999999995</v>
      </c>
      <c r="H209" s="260"/>
    </row>
    <row r="210" spans="1:8" ht="12.65" customHeight="1" x14ac:dyDescent="0.3">
      <c r="A210" s="173" t="s">
        <v>334</v>
      </c>
      <c r="B210" s="174">
        <f>1417084.83+108107.77</f>
        <v>1525192.6</v>
      </c>
      <c r="C210" s="189">
        <f>337517.11+69909.71</f>
        <v>407426.82</v>
      </c>
      <c r="D210" s="174"/>
      <c r="E210" s="175">
        <f t="shared" si="11"/>
        <v>1932619.4200000002</v>
      </c>
      <c r="H210" s="260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60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">
      <c r="A213" s="173" t="s">
        <v>337</v>
      </c>
      <c r="B213" s="174">
        <v>1118129.93</v>
      </c>
      <c r="C213" s="189">
        <f>197046.03+133678</f>
        <v>330724.03000000003</v>
      </c>
      <c r="D213" s="174"/>
      <c r="E213" s="175">
        <f t="shared" si="11"/>
        <v>1448853.96</v>
      </c>
      <c r="H213" s="260"/>
    </row>
    <row r="214" spans="1:8" ht="12.65" customHeight="1" x14ac:dyDescent="0.3">
      <c r="A214" s="173" t="s">
        <v>338</v>
      </c>
      <c r="B214" s="174">
        <v>177278.22</v>
      </c>
      <c r="C214" s="189">
        <v>35320.620000000003</v>
      </c>
      <c r="D214" s="174"/>
      <c r="E214" s="175">
        <f t="shared" si="11"/>
        <v>212598.84</v>
      </c>
      <c r="H214" s="260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">
      <c r="A217" s="173" t="s">
        <v>203</v>
      </c>
      <c r="B217" s="175">
        <f>SUM(B208:B216)</f>
        <v>2823260.66</v>
      </c>
      <c r="C217" s="191">
        <f>SUM(C208:C216)</f>
        <v>774968.87</v>
      </c>
      <c r="D217" s="175">
        <f>SUM(D208:D216)</f>
        <v>0</v>
      </c>
      <c r="E217" s="175">
        <f>SUM(E208:E216)</f>
        <v>3598229.5300000003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7" t="s">
        <v>1254</v>
      </c>
      <c r="C220" s="347"/>
      <c r="D220" s="208"/>
      <c r="E220" s="208"/>
    </row>
    <row r="221" spans="1:8" ht="12.65" customHeight="1" x14ac:dyDescent="0.3">
      <c r="A221" s="273" t="s">
        <v>1254</v>
      </c>
      <c r="B221" s="208"/>
      <c r="C221" s="189">
        <v>15492723</v>
      </c>
      <c r="D221" s="172">
        <f>C221</f>
        <v>15492723</v>
      </c>
      <c r="E221" s="208"/>
    </row>
    <row r="222" spans="1:8" ht="12.65" customHeight="1" x14ac:dyDescent="0.3">
      <c r="A222" s="258" t="s">
        <v>343</v>
      </c>
      <c r="B222" s="258"/>
      <c r="C222" s="258"/>
      <c r="D222" s="258"/>
      <c r="E222" s="258"/>
    </row>
    <row r="223" spans="1:8" ht="12.65" customHeight="1" x14ac:dyDescent="0.3">
      <c r="A223" s="173" t="s">
        <v>344</v>
      </c>
      <c r="B223" s="172" t="s">
        <v>256</v>
      </c>
      <c r="C223" s="189">
        <v>36583231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61124291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f>118855114-36583231-61124291</f>
        <v>21147592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118855114</v>
      </c>
      <c r="E229" s="175"/>
    </row>
    <row r="230" spans="1:5" ht="12.65" customHeight="1" x14ac:dyDescent="0.3">
      <c r="A230" s="258" t="s">
        <v>351</v>
      </c>
      <c r="B230" s="258"/>
      <c r="C230" s="258"/>
      <c r="D230" s="258"/>
      <c r="E230" s="258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838895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838895</v>
      </c>
      <c r="E236" s="175"/>
    </row>
    <row r="237" spans="1:5" ht="12.65" customHeight="1" x14ac:dyDescent="0.3">
      <c r="A237" s="258" t="s">
        <v>356</v>
      </c>
      <c r="B237" s="258"/>
      <c r="C237" s="258"/>
      <c r="D237" s="258"/>
      <c r="E237" s="258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135186732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8" t="s">
        <v>361</v>
      </c>
      <c r="B249" s="258"/>
      <c r="C249" s="258"/>
      <c r="D249" s="258"/>
      <c r="E249" s="258"/>
    </row>
    <row r="250" spans="1:5" ht="12.65" customHeight="1" x14ac:dyDescent="0.3">
      <c r="A250" s="173" t="s">
        <v>362</v>
      </c>
      <c r="B250" s="172" t="s">
        <v>256</v>
      </c>
      <c r="C250" s="189">
        <v>114438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44093478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37169595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f>468716-2</f>
        <v>468714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1093571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305615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8906221</v>
      </c>
      <c r="E260" s="175"/>
    </row>
    <row r="261" spans="1:5" ht="11.25" customHeight="1" x14ac:dyDescent="0.3">
      <c r="A261" s="258" t="s">
        <v>372</v>
      </c>
      <c r="B261" s="258"/>
      <c r="C261" s="258"/>
      <c r="D261" s="258"/>
      <c r="E261" s="258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8" t="s">
        <v>375</v>
      </c>
      <c r="B266" s="258"/>
      <c r="C266" s="258"/>
      <c r="D266" s="258"/>
      <c r="E266" s="258"/>
    </row>
    <row r="267" spans="1:5" ht="12.65" customHeight="1" x14ac:dyDescent="0.3">
      <c r="A267" s="173" t="s">
        <v>332</v>
      </c>
      <c r="B267" s="172" t="s">
        <v>256</v>
      </c>
      <c r="C267" s="189">
        <v>550000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26953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8034843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f>2259799+477465</f>
        <v>2737264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255373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11604433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3598230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8006203</v>
      </c>
      <c r="E277" s="175"/>
    </row>
    <row r="278" spans="1:5" ht="12.65" customHeight="1" x14ac:dyDescent="0.3">
      <c r="A278" s="258" t="s">
        <v>382</v>
      </c>
      <c r="B278" s="258"/>
      <c r="C278" s="258"/>
      <c r="D278" s="258"/>
      <c r="E278" s="258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8" t="s">
        <v>387</v>
      </c>
      <c r="B285" s="258"/>
      <c r="C285" s="258"/>
      <c r="D285" s="258"/>
      <c r="E285" s="258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16912424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8" t="s">
        <v>395</v>
      </c>
      <c r="B303" s="258"/>
      <c r="C303" s="258"/>
      <c r="D303" s="258"/>
      <c r="E303" s="258"/>
    </row>
    <row r="304" spans="1:5" ht="12.65" customHeight="1" x14ac:dyDescent="0.3">
      <c r="A304" s="173" t="s">
        <v>396</v>
      </c>
      <c r="B304" s="172" t="s">
        <v>256</v>
      </c>
      <c r="C304" s="189">
        <v>2358900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3108750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f>444033</f>
        <v>444033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f>38604+578144+138293+899321+58476</f>
        <v>1712838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f>53937</f>
        <v>53937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147662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7826120</v>
      </c>
      <c r="E314" s="175"/>
    </row>
    <row r="315" spans="1:5" ht="12.65" customHeight="1" x14ac:dyDescent="0.3">
      <c r="A315" s="258" t="s">
        <v>406</v>
      </c>
      <c r="B315" s="258"/>
      <c r="C315" s="258"/>
      <c r="D315" s="258"/>
      <c r="E315" s="258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8" t="s">
        <v>411</v>
      </c>
      <c r="B320" s="258"/>
      <c r="C320" s="258"/>
      <c r="D320" s="258"/>
      <c r="E320" s="258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260657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12680864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10099196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23040717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147662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22893055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-13806751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16912424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16912424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8" t="s">
        <v>427</v>
      </c>
      <c r="B358" s="258"/>
      <c r="C358" s="258"/>
      <c r="D358" s="258"/>
      <c r="E358" s="258"/>
    </row>
    <row r="359" spans="1:5" ht="12.65" customHeight="1" x14ac:dyDescent="0.3">
      <c r="A359" s="173" t="s">
        <v>428</v>
      </c>
      <c r="B359" s="172" t="s">
        <v>256</v>
      </c>
      <c r="C359" s="189">
        <v>45997323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140135150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186132473</v>
      </c>
      <c r="E361" s="175"/>
    </row>
    <row r="362" spans="1:5" ht="12.65" customHeight="1" x14ac:dyDescent="0.3">
      <c r="A362" s="258" t="s">
        <v>431</v>
      </c>
      <c r="B362" s="258"/>
      <c r="C362" s="258"/>
      <c r="D362" s="258"/>
      <c r="E362" s="258"/>
    </row>
    <row r="363" spans="1:5" ht="12.65" customHeight="1" x14ac:dyDescent="0.3">
      <c r="A363" s="173" t="s">
        <v>1254</v>
      </c>
      <c r="B363" s="258"/>
      <c r="C363" s="189">
        <v>15492723</v>
      </c>
      <c r="D363" s="175"/>
      <c r="E363" s="258"/>
    </row>
    <row r="364" spans="1:5" ht="12.65" customHeight="1" x14ac:dyDescent="0.3">
      <c r="A364" s="173" t="s">
        <v>432</v>
      </c>
      <c r="B364" s="172" t="s">
        <v>256</v>
      </c>
      <c r="C364" s="189">
        <v>118855114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1035203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135383040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50749433</v>
      </c>
      <c r="E368" s="175"/>
    </row>
    <row r="369" spans="1:5" ht="12.65" customHeight="1" x14ac:dyDescent="0.3">
      <c r="A369" s="258" t="s">
        <v>436</v>
      </c>
      <c r="B369" s="258"/>
      <c r="C369" s="258"/>
      <c r="D369" s="258"/>
      <c r="E369" s="258"/>
    </row>
    <row r="370" spans="1:5" ht="12.65" customHeight="1" x14ac:dyDescent="0.3">
      <c r="A370" s="173" t="s">
        <v>437</v>
      </c>
      <c r="B370" s="172" t="s">
        <v>256</v>
      </c>
      <c r="C370" s="189">
        <v>2604627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2604627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53354060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8" t="s">
        <v>441</v>
      </c>
      <c r="B377" s="258"/>
      <c r="C377" s="258"/>
      <c r="D377" s="258"/>
      <c r="E377" s="258"/>
    </row>
    <row r="378" spans="1:5" ht="12.65" customHeight="1" x14ac:dyDescent="0.3">
      <c r="A378" s="173" t="s">
        <v>442</v>
      </c>
      <c r="B378" s="172" t="s">
        <v>256</v>
      </c>
      <c r="C378" s="189">
        <v>19220061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3684685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3014214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5807395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/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10576282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774971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836483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419969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1263380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2543716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6949734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55090890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-1736830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-1736830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-1736830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1"/>
    </row>
    <row r="412" spans="1:5" ht="12.65" customHeight="1" x14ac:dyDescent="0.3">
      <c r="A412" s="179" t="str">
        <f>C84&amp;"   "&amp;"H-"&amp;FIXED(C83,0,TRUE)&amp;"     FYE "&amp;C82</f>
        <v>ASTRIA TOPPENISH HOSPITAL   H-0     FYE 12/31/2021</v>
      </c>
      <c r="B412" s="179"/>
      <c r="C412" s="179"/>
      <c r="D412" s="179"/>
      <c r="E412" s="261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1018</v>
      </c>
      <c r="C414" s="194">
        <f>E138</f>
        <v>1284</v>
      </c>
      <c r="D414" s="179"/>
    </row>
    <row r="415" spans="1:5" ht="12.65" customHeight="1" x14ac:dyDescent="0.3">
      <c r="A415" s="179" t="s">
        <v>464</v>
      </c>
      <c r="B415" s="179">
        <f>D111</f>
        <v>8012</v>
      </c>
      <c r="C415" s="179">
        <f>E139</f>
        <v>8438</v>
      </c>
      <c r="D415" s="194">
        <f>SUM(C59:H59)+N59</f>
        <v>7524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266</v>
      </c>
    </row>
    <row r="424" spans="1:7" ht="12.65" customHeight="1" x14ac:dyDescent="0.3">
      <c r="A424" s="179" t="s">
        <v>1243</v>
      </c>
      <c r="B424" s="179">
        <f>D114</f>
        <v>426</v>
      </c>
      <c r="D424" s="179">
        <f>J59</f>
        <v>426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19220061</v>
      </c>
      <c r="C427" s="179">
        <f t="shared" ref="C427:C434" si="13">CE61</f>
        <v>19220060.899999999</v>
      </c>
      <c r="D427" s="179"/>
    </row>
    <row r="428" spans="1:7" ht="12.65" customHeight="1" x14ac:dyDescent="0.3">
      <c r="A428" s="179" t="s">
        <v>3</v>
      </c>
      <c r="B428" s="179">
        <f t="shared" si="12"/>
        <v>3684685</v>
      </c>
      <c r="C428" s="179">
        <f t="shared" si="13"/>
        <v>3684687</v>
      </c>
      <c r="D428" s="179">
        <f>D173</f>
        <v>3684685.6500000004</v>
      </c>
    </row>
    <row r="429" spans="1:7" ht="12.65" customHeight="1" x14ac:dyDescent="0.3">
      <c r="A429" s="179" t="s">
        <v>236</v>
      </c>
      <c r="B429" s="179">
        <f t="shared" si="12"/>
        <v>3014214</v>
      </c>
      <c r="C429" s="179">
        <f t="shared" si="13"/>
        <v>3014213.5699999994</v>
      </c>
      <c r="D429" s="179"/>
    </row>
    <row r="430" spans="1:7" ht="12.65" customHeight="1" x14ac:dyDescent="0.3">
      <c r="A430" s="179" t="s">
        <v>237</v>
      </c>
      <c r="B430" s="179">
        <f t="shared" si="12"/>
        <v>5807395</v>
      </c>
      <c r="C430" s="179">
        <f t="shared" si="13"/>
        <v>5807395.4100000011</v>
      </c>
      <c r="D430" s="179"/>
    </row>
    <row r="431" spans="1:7" ht="12.65" customHeight="1" x14ac:dyDescent="0.3">
      <c r="A431" s="179" t="s">
        <v>444</v>
      </c>
      <c r="B431" s="179">
        <f t="shared" si="12"/>
        <v>0</v>
      </c>
      <c r="C431" s="179">
        <f t="shared" si="13"/>
        <v>505502.79</v>
      </c>
      <c r="D431" s="179"/>
    </row>
    <row r="432" spans="1:7" ht="12.65" customHeight="1" x14ac:dyDescent="0.3">
      <c r="A432" s="179" t="s">
        <v>445</v>
      </c>
      <c r="B432" s="179">
        <f t="shared" si="12"/>
        <v>10576282</v>
      </c>
      <c r="C432" s="179">
        <f t="shared" si="13"/>
        <v>10576282.280000001</v>
      </c>
      <c r="D432" s="179"/>
    </row>
    <row r="433" spans="1:7" ht="12.65" customHeight="1" x14ac:dyDescent="0.3">
      <c r="A433" s="179" t="s">
        <v>6</v>
      </c>
      <c r="B433" s="179">
        <f t="shared" si="12"/>
        <v>774971</v>
      </c>
      <c r="C433" s="179">
        <f t="shared" si="13"/>
        <v>774968</v>
      </c>
      <c r="D433" s="179">
        <f>C217</f>
        <v>774968.87</v>
      </c>
    </row>
    <row r="434" spans="1:7" ht="12.65" customHeight="1" x14ac:dyDescent="0.3">
      <c r="A434" s="179" t="s">
        <v>474</v>
      </c>
      <c r="B434" s="179">
        <f t="shared" si="12"/>
        <v>836483</v>
      </c>
      <c r="C434" s="179">
        <f t="shared" si="13"/>
        <v>836483.16000000015</v>
      </c>
      <c r="D434" s="179">
        <f>D177</f>
        <v>836484.15999999992</v>
      </c>
    </row>
    <row r="435" spans="1:7" ht="12.65" customHeight="1" x14ac:dyDescent="0.3">
      <c r="A435" s="179" t="s">
        <v>447</v>
      </c>
      <c r="B435" s="179">
        <f t="shared" si="12"/>
        <v>419969</v>
      </c>
      <c r="C435" s="179"/>
      <c r="D435" s="179">
        <f>D181</f>
        <v>419968.92</v>
      </c>
    </row>
    <row r="436" spans="1:7" ht="12.65" customHeight="1" x14ac:dyDescent="0.3">
      <c r="A436" s="179" t="s">
        <v>475</v>
      </c>
      <c r="B436" s="179">
        <f t="shared" si="12"/>
        <v>1263380</v>
      </c>
      <c r="C436" s="179"/>
      <c r="D436" s="179">
        <f>D186</f>
        <v>1263380.47</v>
      </c>
    </row>
    <row r="437" spans="1:7" ht="12.65" customHeight="1" x14ac:dyDescent="0.3">
      <c r="A437" s="194" t="s">
        <v>449</v>
      </c>
      <c r="B437" s="194">
        <f t="shared" si="12"/>
        <v>2543716</v>
      </c>
      <c r="C437" s="194"/>
      <c r="D437" s="194">
        <f>D190</f>
        <v>2543717.84</v>
      </c>
    </row>
    <row r="438" spans="1:7" ht="12.65" customHeight="1" x14ac:dyDescent="0.3">
      <c r="A438" s="194" t="s">
        <v>476</v>
      </c>
      <c r="B438" s="194">
        <f>C386+C387+C388</f>
        <v>4227065</v>
      </c>
      <c r="C438" s="194">
        <f>CD69</f>
        <v>0</v>
      </c>
      <c r="D438" s="194">
        <f>D181+D186+D190</f>
        <v>4227067.2299999995</v>
      </c>
    </row>
    <row r="439" spans="1:7" ht="12.65" customHeight="1" x14ac:dyDescent="0.3">
      <c r="A439" s="179" t="s">
        <v>451</v>
      </c>
      <c r="B439" s="194">
        <f>C389</f>
        <v>6949734</v>
      </c>
      <c r="C439" s="194">
        <f>SUM(C69:CC69)</f>
        <v>1904035.36</v>
      </c>
      <c r="D439" s="179"/>
    </row>
    <row r="440" spans="1:7" ht="12.65" customHeight="1" x14ac:dyDescent="0.3">
      <c r="A440" s="179" t="s">
        <v>477</v>
      </c>
      <c r="B440" s="194">
        <f>B438+B439</f>
        <v>11176799</v>
      </c>
      <c r="C440" s="194">
        <f>CE69</f>
        <v>1904035.36</v>
      </c>
      <c r="D440" s="179"/>
    </row>
    <row r="441" spans="1:7" ht="12.65" customHeight="1" x14ac:dyDescent="0.3">
      <c r="A441" s="179" t="s">
        <v>478</v>
      </c>
      <c r="B441" s="179">
        <f>D390</f>
        <v>55090890</v>
      </c>
      <c r="C441" s="179">
        <f>SUM(C427:C437)+C440</f>
        <v>46323628.469999999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15492723</v>
      </c>
      <c r="C444" s="179">
        <f>C363</f>
        <v>15492723</v>
      </c>
      <c r="D444" s="179"/>
    </row>
    <row r="445" spans="1:7" ht="12.65" customHeight="1" x14ac:dyDescent="0.3">
      <c r="A445" s="179" t="s">
        <v>343</v>
      </c>
      <c r="B445" s="179">
        <f>D229</f>
        <v>118855114</v>
      </c>
      <c r="C445" s="179">
        <f>C364</f>
        <v>118855114</v>
      </c>
      <c r="D445" s="179"/>
    </row>
    <row r="446" spans="1:7" ht="12.65" customHeight="1" x14ac:dyDescent="0.3">
      <c r="A446" s="179" t="s">
        <v>351</v>
      </c>
      <c r="B446" s="179">
        <f>D236</f>
        <v>838895</v>
      </c>
      <c r="C446" s="179">
        <f>C365</f>
        <v>1035203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135186732</v>
      </c>
      <c r="C448" s="179">
        <f>D367</f>
        <v>135383040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838895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2604627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45997323</v>
      </c>
      <c r="C463" s="194">
        <f>CE73</f>
        <v>-45997321.969999999</v>
      </c>
      <c r="D463" s="194">
        <f>E141+E147+E153</f>
        <v>45997323</v>
      </c>
    </row>
    <row r="464" spans="1:7" ht="12.65" customHeight="1" x14ac:dyDescent="0.3">
      <c r="A464" s="179" t="s">
        <v>246</v>
      </c>
      <c r="B464" s="194">
        <f>C360</f>
        <v>140135150</v>
      </c>
      <c r="C464" s="194">
        <f>CE74</f>
        <v>-140135149.32000002</v>
      </c>
      <c r="D464" s="194">
        <f>E142+E148+E154</f>
        <v>140135150</v>
      </c>
    </row>
    <row r="465" spans="1:7" ht="12.65" customHeight="1" x14ac:dyDescent="0.3">
      <c r="A465" s="179" t="s">
        <v>247</v>
      </c>
      <c r="B465" s="194">
        <f>D361</f>
        <v>186132473</v>
      </c>
      <c r="C465" s="194">
        <f>CE75</f>
        <v>-186132471.29000002</v>
      </c>
      <c r="D465" s="194">
        <f>D463+D464</f>
        <v>186132473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550000</v>
      </c>
      <c r="C468" s="179">
        <f>E195</f>
        <v>550000</v>
      </c>
      <c r="D468" s="179"/>
    </row>
    <row r="469" spans="1:7" ht="12.65" customHeight="1" x14ac:dyDescent="0.3">
      <c r="A469" s="179" t="s">
        <v>333</v>
      </c>
      <c r="B469" s="179">
        <f t="shared" si="14"/>
        <v>26953</v>
      </c>
      <c r="C469" s="179">
        <f>E196</f>
        <v>26952.880000000001</v>
      </c>
      <c r="D469" s="179"/>
    </row>
    <row r="470" spans="1:7" ht="12.65" customHeight="1" x14ac:dyDescent="0.3">
      <c r="A470" s="179" t="s">
        <v>334</v>
      </c>
      <c r="B470" s="179">
        <f t="shared" si="14"/>
        <v>8034843</v>
      </c>
      <c r="C470" s="179">
        <f>E197</f>
        <v>8034842.5799999991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2737264</v>
      </c>
      <c r="C473" s="179">
        <f>SUM(E200:E201)</f>
        <v>2737264.4099999997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255373</v>
      </c>
      <c r="C475" s="179">
        <f>E203</f>
        <v>255372.82</v>
      </c>
      <c r="D475" s="179"/>
    </row>
    <row r="476" spans="1:7" ht="12.65" customHeight="1" x14ac:dyDescent="0.3">
      <c r="A476" s="179" t="s">
        <v>203</v>
      </c>
      <c r="B476" s="179">
        <f>D275</f>
        <v>11604433</v>
      </c>
      <c r="C476" s="179">
        <f>E204</f>
        <v>11604432.689999998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3598230</v>
      </c>
      <c r="C478" s="179">
        <f>E217</f>
        <v>3598229.5300000003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16912424</v>
      </c>
    </row>
    <row r="482" spans="1:12" ht="12.65" customHeight="1" x14ac:dyDescent="0.3">
      <c r="A482" s="180" t="s">
        <v>499</v>
      </c>
      <c r="C482" s="180">
        <f>D339</f>
        <v>16912424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199</v>
      </c>
      <c r="B493" s="262" t="str">
        <f>RIGHT('Prior Year'!C82,4)</f>
        <v>2020</v>
      </c>
      <c r="C493" s="262" t="str">
        <f>RIGHT(C82,4)</f>
        <v>2021</v>
      </c>
      <c r="D493" s="262" t="str">
        <f>RIGHT('Prior Year'!C82,4)</f>
        <v>2020</v>
      </c>
      <c r="E493" s="262" t="str">
        <f>RIGHT(C82,4)</f>
        <v>2021</v>
      </c>
      <c r="F493" s="262" t="str">
        <f>RIGHT('Prior Year'!C82,4)</f>
        <v>2020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">
      <c r="A496" s="180" t="s">
        <v>512</v>
      </c>
      <c r="B496" s="241">
        <f>'Prior Year'!C71</f>
        <v>1722650.4899999998</v>
      </c>
      <c r="C496" s="241">
        <f>C71</f>
        <v>1222277.6399999999</v>
      </c>
      <c r="D496" s="241">
        <f>'Prior Year'!C59</f>
        <v>220</v>
      </c>
      <c r="E496" s="180">
        <f>C59</f>
        <v>1705</v>
      </c>
      <c r="F496" s="264">
        <f t="shared" ref="F496:G511" si="15">IF(B496=0,"",IF(D496=0,"",B496/D496))</f>
        <v>7830.2294999999986</v>
      </c>
      <c r="G496" s="265">
        <f t="shared" si="15"/>
        <v>716.87838123167148</v>
      </c>
      <c r="H496" s="266">
        <f>IF(B496=0,"",IF(C496=0,"",IF(D496=0,"",IF(E496=0,"",IF(G496/F496-1&lt;-0.25,G496/F496-1,IF(G496/F496-1&gt;0.25,G496/F496-1,""))))))</f>
        <v>-0.9084473346238866</v>
      </c>
      <c r="I496" s="268"/>
      <c r="K496" s="262"/>
      <c r="L496" s="262"/>
    </row>
    <row r="497" spans="1:12" ht="12.65" customHeight="1" x14ac:dyDescent="0.3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">
      <c r="A498" s="180" t="s">
        <v>514</v>
      </c>
      <c r="B498" s="241">
        <f>'Prior Year'!E71</f>
        <v>2102340.34</v>
      </c>
      <c r="C498" s="241">
        <f>E71</f>
        <v>2277799.02</v>
      </c>
      <c r="D498" s="241">
        <f>'Prior Year'!E59</f>
        <v>2954</v>
      </c>
      <c r="E498" s="180">
        <f>E59</f>
        <v>559</v>
      </c>
      <c r="F498" s="264">
        <f t="shared" si="15"/>
        <v>711.69273527420444</v>
      </c>
      <c r="G498" s="264">
        <f t="shared" si="15"/>
        <v>4074.7746332737029</v>
      </c>
      <c r="H498" s="266">
        <f t="shared" si="16"/>
        <v>4.7254689156040826</v>
      </c>
      <c r="I498" s="268"/>
      <c r="K498" s="262"/>
      <c r="L498" s="262"/>
    </row>
    <row r="499" spans="1:12" ht="12.65" customHeight="1" x14ac:dyDescent="0.3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">
      <c r="A501" s="180" t="s">
        <v>517</v>
      </c>
      <c r="B501" s="241">
        <f>'Prior Year'!H71</f>
        <v>4320567.7300000004</v>
      </c>
      <c r="C501" s="241">
        <f>H71</f>
        <v>3374554.44</v>
      </c>
      <c r="D501" s="241">
        <f>'Prior Year'!H59</f>
        <v>3571</v>
      </c>
      <c r="E501" s="180">
        <f>H59</f>
        <v>5260</v>
      </c>
      <c r="F501" s="264">
        <f t="shared" si="15"/>
        <v>1209.904152898348</v>
      </c>
      <c r="G501" s="264">
        <f t="shared" si="15"/>
        <v>641.55027376425858</v>
      </c>
      <c r="H501" s="266">
        <f t="shared" si="16"/>
        <v>-0.46975115985228011</v>
      </c>
      <c r="I501" s="268"/>
      <c r="K501" s="262"/>
      <c r="L501" s="262"/>
    </row>
    <row r="502" spans="1:12" ht="12.65" customHeight="1" x14ac:dyDescent="0.3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">
      <c r="A503" s="180" t="s">
        <v>519</v>
      </c>
      <c r="B503" s="241">
        <f>'Prior Year'!J71</f>
        <v>7098.47</v>
      </c>
      <c r="C503" s="241">
        <f>J71</f>
        <v>7717</v>
      </c>
      <c r="D503" s="241">
        <f>'Prior Year'!J59</f>
        <v>980</v>
      </c>
      <c r="E503" s="180">
        <f>J59</f>
        <v>426</v>
      </c>
      <c r="F503" s="264">
        <f t="shared" si="15"/>
        <v>7.2433367346938775</v>
      </c>
      <c r="G503" s="264">
        <f t="shared" si="15"/>
        <v>18.115023474178404</v>
      </c>
      <c r="H503" s="266">
        <f t="shared" si="16"/>
        <v>1.5009224529644891</v>
      </c>
      <c r="I503" s="268"/>
      <c r="K503" s="262"/>
      <c r="L503" s="262"/>
    </row>
    <row r="504" spans="1:12" ht="12.65" customHeight="1" x14ac:dyDescent="0.3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">
      <c r="A508" s="180" t="s">
        <v>524</v>
      </c>
      <c r="B508" s="241">
        <f>'Prior Year'!O71</f>
        <v>2441715.94</v>
      </c>
      <c r="C508" s="241">
        <f>O71</f>
        <v>1953798.09</v>
      </c>
      <c r="D508" s="241">
        <f>'Prior Year'!O59</f>
        <v>739</v>
      </c>
      <c r="E508" s="180">
        <f>O59</f>
        <v>488</v>
      </c>
      <c r="F508" s="264">
        <f t="shared" si="15"/>
        <v>3304.0811096075777</v>
      </c>
      <c r="G508" s="264">
        <f t="shared" si="15"/>
        <v>4003.6846106557377</v>
      </c>
      <c r="H508" s="266" t="str">
        <f t="shared" si="16"/>
        <v/>
      </c>
      <c r="I508" s="268"/>
      <c r="K508" s="262"/>
      <c r="L508" s="262"/>
    </row>
    <row r="509" spans="1:12" ht="12.65" customHeight="1" x14ac:dyDescent="0.3">
      <c r="A509" s="180" t="s">
        <v>525</v>
      </c>
      <c r="B509" s="241">
        <f>'Prior Year'!P71</f>
        <v>1386538.47</v>
      </c>
      <c r="C509" s="241">
        <f>P71</f>
        <v>5499516.7000000002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">
      <c r="A510" s="180" t="s">
        <v>526</v>
      </c>
      <c r="B510" s="241">
        <f>'Prior Year'!Q71</f>
        <v>314594.07999999996</v>
      </c>
      <c r="C510" s="241">
        <f>Q71</f>
        <v>387096.28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">
      <c r="A511" s="180" t="s">
        <v>527</v>
      </c>
      <c r="B511" s="241">
        <f>'Prior Year'!R71</f>
        <v>270742.83</v>
      </c>
      <c r="C511" s="241">
        <f>R71</f>
        <v>297639.01999999996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">
      <c r="A512" s="180" t="s">
        <v>528</v>
      </c>
      <c r="B512" s="241">
        <f>'Prior Year'!S71</f>
        <v>187337.74000000002</v>
      </c>
      <c r="C512" s="241">
        <f>S71</f>
        <v>57041.39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">
      <c r="A514" s="180" t="s">
        <v>530</v>
      </c>
      <c r="B514" s="241">
        <f>'Prior Year'!U71</f>
        <v>1744002.51</v>
      </c>
      <c r="C514" s="241">
        <f>U71</f>
        <v>2463692.3600000003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">
      <c r="A516" s="180" t="s">
        <v>532</v>
      </c>
      <c r="B516" s="241">
        <f>'Prior Year'!W71</f>
        <v>123523.58</v>
      </c>
      <c r="C516" s="241">
        <f>W71</f>
        <v>178633.03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">
      <c r="A517" s="180" t="s">
        <v>533</v>
      </c>
      <c r="B517" s="241">
        <f>'Prior Year'!X71</f>
        <v>129862.04</v>
      </c>
      <c r="C517" s="241">
        <f>X71</f>
        <v>133415.26999999999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">
      <c r="A518" s="180" t="s">
        <v>534</v>
      </c>
      <c r="B518" s="241">
        <f>'Prior Year'!Y71</f>
        <v>1224869.46</v>
      </c>
      <c r="C518" s="241">
        <f>Y71</f>
        <v>1492851.0299999998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">
      <c r="A520" s="180" t="s">
        <v>536</v>
      </c>
      <c r="B520" s="241">
        <f>'Prior Year'!AA71</f>
        <v>20633.84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">
      <c r="A521" s="180" t="s">
        <v>537</v>
      </c>
      <c r="B521" s="241">
        <f>'Prior Year'!AB71</f>
        <v>821475.08</v>
      </c>
      <c r="C521" s="241">
        <f>AB71</f>
        <v>1312295.73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">
      <c r="A522" s="180" t="s">
        <v>538</v>
      </c>
      <c r="B522" s="241">
        <f>'Prior Year'!AC71</f>
        <v>555323.15</v>
      </c>
      <c r="C522" s="241">
        <f>AC71</f>
        <v>248775.07000000004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">
      <c r="A524" s="180" t="s">
        <v>540</v>
      </c>
      <c r="B524" s="241">
        <f>'Prior Year'!AE71</f>
        <v>12377.45</v>
      </c>
      <c r="C524" s="241">
        <f>AE71</f>
        <v>94508.83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">
      <c r="A526" s="180" t="s">
        <v>542</v>
      </c>
      <c r="B526" s="241">
        <f>'Prior Year'!AG71</f>
        <v>3907695.08</v>
      </c>
      <c r="C526" s="241">
        <f>AG71</f>
        <v>3214270.8499999996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">
      <c r="A529" s="180" t="s">
        <v>545</v>
      </c>
      <c r="B529" s="241">
        <f>'Prior Year'!AJ71</f>
        <v>6266757</v>
      </c>
      <c r="C529" s="241">
        <f>AJ71</f>
        <v>8919283.9900000002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">
      <c r="A531" s="180" t="s">
        <v>547</v>
      </c>
      <c r="B531" s="241">
        <f>'Prior Year'!AL71</f>
        <v>10624.04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">
      <c r="A541" s="180" t="s">
        <v>556</v>
      </c>
      <c r="B541" s="241">
        <f>'Prior Year'!AV71</f>
        <v>0</v>
      </c>
      <c r="C541" s="241">
        <f>AV71</f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">
      <c r="A544" s="180" t="s">
        <v>558</v>
      </c>
      <c r="B544" s="241">
        <f>'Prior Year'!AY71</f>
        <v>235664.37</v>
      </c>
      <c r="C544" s="241">
        <f>AY71</f>
        <v>338927.82999999996</v>
      </c>
      <c r="D544" s="241">
        <f>'Prior Year'!AY59</f>
        <v>29347</v>
      </c>
      <c r="E544" s="180">
        <f>AY59</f>
        <v>28547</v>
      </c>
      <c r="F544" s="264">
        <f t="shared" ref="F544:G550" si="19">IF(B544=0,"",IF(D544=0,"",B544/D544))</f>
        <v>8.030271237264456</v>
      </c>
      <c r="G544" s="264">
        <f t="shared" si="19"/>
        <v>11.872625144498544</v>
      </c>
      <c r="H544" s="266">
        <f t="shared" si="16"/>
        <v>0.47848370169660681</v>
      </c>
      <c r="I544" s="268"/>
      <c r="K544" s="262"/>
      <c r="L544" s="262"/>
    </row>
    <row r="545" spans="1:13" ht="12.65" customHeight="1" x14ac:dyDescent="0.3">
      <c r="A545" s="180" t="s">
        <v>559</v>
      </c>
      <c r="B545" s="241">
        <f>'Prior Year'!AZ71</f>
        <v>532826.69000000006</v>
      </c>
      <c r="C545" s="241">
        <f>AZ71</f>
        <v>389996.96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">
      <c r="A546" s="180" t="s">
        <v>560</v>
      </c>
      <c r="B546" s="241">
        <f>'Prior Year'!BA71</f>
        <v>46.34</v>
      </c>
      <c r="C546" s="241">
        <f>BA71</f>
        <v>2687.36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">
      <c r="A549" s="180" t="s">
        <v>563</v>
      </c>
      <c r="B549" s="241">
        <f>'Prior Year'!BD71</f>
        <v>200925.59</v>
      </c>
      <c r="C549" s="241">
        <f>BD71</f>
        <v>131811.88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">
      <c r="A550" s="180" t="s">
        <v>564</v>
      </c>
      <c r="B550" s="241">
        <f>'Prior Year'!BE71</f>
        <v>867626.87</v>
      </c>
      <c r="C550" s="241">
        <f>BE71</f>
        <v>921825.02000000014</v>
      </c>
      <c r="D550" s="241">
        <f>'Prior Year'!BE59</f>
        <v>70293</v>
      </c>
      <c r="E550" s="180">
        <f>BE59</f>
        <v>70293</v>
      </c>
      <c r="F550" s="264">
        <f t="shared" si="19"/>
        <v>12.343005277908185</v>
      </c>
      <c r="G550" s="264">
        <f t="shared" si="19"/>
        <v>13.114037244106813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">
      <c r="A551" s="180" t="s">
        <v>565</v>
      </c>
      <c r="B551" s="241">
        <f>'Prior Year'!BF71</f>
        <v>455153.54</v>
      </c>
      <c r="C551" s="241">
        <f>BF71</f>
        <v>606006.87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">
      <c r="A552" s="180" t="s">
        <v>566</v>
      </c>
      <c r="B552" s="241">
        <f>'Prior Year'!BG71</f>
        <v>8928.93</v>
      </c>
      <c r="C552" s="241">
        <f>BG71</f>
        <v>37660.43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">
      <c r="A553" s="180" t="s">
        <v>567</v>
      </c>
      <c r="B553" s="241">
        <f>'Prior Year'!BH71</f>
        <v>37264.949999999997</v>
      </c>
      <c r="C553" s="241">
        <f>BH71</f>
        <v>247021.92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">
      <c r="A555" s="180" t="s">
        <v>569</v>
      </c>
      <c r="B555" s="241">
        <f>'Prior Year'!BJ71</f>
        <v>0</v>
      </c>
      <c r="C555" s="241">
        <f>BJ71</f>
        <v>0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">
      <c r="A556" s="180" t="s">
        <v>570</v>
      </c>
      <c r="B556" s="241">
        <f>'Prior Year'!BK71</f>
        <v>40732.07</v>
      </c>
      <c r="C556" s="241">
        <f>BK71</f>
        <v>31864.12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">
      <c r="A557" s="180" t="s">
        <v>571</v>
      </c>
      <c r="B557" s="241">
        <f>'Prior Year'!BL71</f>
        <v>555500.36</v>
      </c>
      <c r="C557" s="241">
        <f>BL71</f>
        <v>578679.19000000006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">
      <c r="A558" s="180" t="s">
        <v>572</v>
      </c>
      <c r="B558" s="241">
        <f>'Prior Year'!BM71</f>
        <v>110449.16</v>
      </c>
      <c r="C558" s="241">
        <f>BM71</f>
        <v>123462.8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">
      <c r="A559" s="180" t="s">
        <v>573</v>
      </c>
      <c r="B559" s="241">
        <f>'Prior Year'!BN71</f>
        <v>2831696.12</v>
      </c>
      <c r="C559" s="241">
        <f>BN71</f>
        <v>10853659.280000001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">
      <c r="A563" s="180" t="s">
        <v>577</v>
      </c>
      <c r="B563" s="241">
        <f>'Prior Year'!BR71</f>
        <v>35444.979999999996</v>
      </c>
      <c r="C563" s="241">
        <f>BR71</f>
        <v>98662.38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">
      <c r="A564" s="180" t="s">
        <v>1248</v>
      </c>
      <c r="B564" s="241">
        <f>'Prior Year'!BS71</f>
        <v>3051</v>
      </c>
      <c r="C564" s="241">
        <f>BS71</f>
        <v>3307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">
      <c r="A565" s="180" t="s">
        <v>578</v>
      </c>
      <c r="B565" s="241">
        <f>'Prior Year'!BT71</f>
        <v>3864</v>
      </c>
      <c r="C565" s="241">
        <f>BT71</f>
        <v>4189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">
      <c r="A567" s="180" t="s">
        <v>580</v>
      </c>
      <c r="B567" s="241">
        <f>'Prior Year'!BV71</f>
        <v>444748.05</v>
      </c>
      <c r="C567" s="241">
        <f>BV71</f>
        <v>416890.67000000004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">
      <c r="A568" s="180" t="s">
        <v>581</v>
      </c>
      <c r="B568" s="241">
        <f>'Prior Year'!BW71</f>
        <v>0</v>
      </c>
      <c r="C568" s="241">
        <f>BW71</f>
        <v>0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">
      <c r="A569" s="180" t="s">
        <v>582</v>
      </c>
      <c r="B569" s="241">
        <f>'Prior Year'!BX71</f>
        <v>321476.34000000003</v>
      </c>
      <c r="C569" s="241">
        <f>BX71</f>
        <v>336158.54000000004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">
      <c r="A570" s="180" t="s">
        <v>583</v>
      </c>
      <c r="B570" s="241">
        <f>'Prior Year'!BY71</f>
        <v>403716.87</v>
      </c>
      <c r="C570" s="241">
        <f>BY71</f>
        <v>381383.62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">
      <c r="A572" s="180" t="s">
        <v>585</v>
      </c>
      <c r="B572" s="241">
        <f>'Prior Year'!CA71</f>
        <v>54358.559999999998</v>
      </c>
      <c r="C572" s="241">
        <f>CA71</f>
        <v>4752.6099999999997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">
      <c r="A574" s="180" t="s">
        <v>587</v>
      </c>
      <c r="B574" s="241">
        <f>'Prior Year'!CC71</f>
        <v>456739.04000000004</v>
      </c>
      <c r="C574" s="241">
        <f>CC71</f>
        <v>-2320484.75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">
      <c r="M576" s="266"/>
    </row>
    <row r="577" spans="13:13" ht="12.65" customHeight="1" x14ac:dyDescent="0.3">
      <c r="M577" s="266"/>
    </row>
    <row r="578" spans="13:13" ht="12.65" customHeight="1" x14ac:dyDescent="0.3">
      <c r="M578" s="266"/>
    </row>
    <row r="612" spans="1:14" ht="12.65" customHeight="1" x14ac:dyDescent="0.3">
      <c r="A612" s="196"/>
      <c r="C612" s="181" t="s">
        <v>589</v>
      </c>
      <c r="D612" s="180">
        <f>CE76-(BE76+CD76)</f>
        <v>67186</v>
      </c>
      <c r="E612" s="180">
        <f>SUM(C624:D647)+SUM(C668:D713)</f>
        <v>37603912.444122888</v>
      </c>
      <c r="F612" s="180">
        <f>CE64-(AX64+BD64+BE64+BG64+BJ64+BN64+BP64+BQ64+CB64+CC64+CD64)</f>
        <v>5672496.6600000011</v>
      </c>
      <c r="G612" s="180">
        <f>CE77-(AX77+AY77+BD77+BE77+BG77+BJ77+BN77+BP77+BQ77+CB77+CC77+CD77)</f>
        <v>28547</v>
      </c>
      <c r="H612" s="197">
        <f>CE60-(AX60+AY60+AZ60+BD60+BE60+BG60+BJ60+BN60+BO60+BP60+BQ60+BR60+CB60+CC60+CD60)</f>
        <v>339.56999999999994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353829</v>
      </c>
      <c r="K612" s="180">
        <f>CE75-(AW75+AX75+AY75+AZ75+BA75+BB75+BC75+BD75+BE75+BF75+BG75+BH75+BI75+BJ75+BK75+BL75+BM75+BN75+BO75+BP75+BQ75+BR75+BS75+BT75+BU75+BV75+BW75+BX75+CB75+CC75+CD75)</f>
        <v>-186132471.29000002</v>
      </c>
      <c r="L612" s="197">
        <f>CE80-(AW80+AX80+AY80+AZ80+BA80+BB80+BC80+BD80+BE80+BF80+BG80+BH80+BI80+BJ80+BK80+BL80+BM80+BN80+BO80+BP80+BQ80+BR80+BS80+BT80+BU80+BV80+BW80+BX80+BY80+BZ80+CA80+CB80+CC80+CD80)</f>
        <v>59.510000000000005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921825.02000000014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4">
        <f>CD69-CD70</f>
        <v>0</v>
      </c>
      <c r="D615" s="267">
        <f>SUM(C614:C615)</f>
        <v>921825.02000000014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37660.43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10853659.280000001</v>
      </c>
      <c r="D619" s="180">
        <f>(D615/D612)*BN76</f>
        <v>30089.040408120745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-2320484.75</v>
      </c>
      <c r="D620" s="180">
        <f>(D615/D612)*CC76</f>
        <v>118792.02546899654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8719716.0258771181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131811.88</v>
      </c>
      <c r="D624" s="180">
        <f>(D615/D612)*BD76</f>
        <v>29197.20838508023</v>
      </c>
      <c r="E624" s="180">
        <f>(E623/E612)*SUM(C624:D624)</f>
        <v>37335.304681113652</v>
      </c>
      <c r="F624" s="180">
        <f>SUM(C624:E624)</f>
        <v>198344.39306619388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338927.82999999996</v>
      </c>
      <c r="D625" s="180">
        <f>(D615/D612)*AY76</f>
        <v>22817.179297175011</v>
      </c>
      <c r="E625" s="180">
        <f>(E623/E612)*SUM(C625:D625)</f>
        <v>83882.594917131588</v>
      </c>
      <c r="F625" s="180">
        <f>(F624/F612)*AY64</f>
        <v>10835.475081429304</v>
      </c>
      <c r="G625" s="180">
        <f>SUM(C625:F625)</f>
        <v>456463.07929573586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98662.38</v>
      </c>
      <c r="D626" s="180">
        <f>(D615/D612)*BR76</f>
        <v>5597.9610061619987</v>
      </c>
      <c r="E626" s="180">
        <f>(E623/E612)*SUM(C626:D626)</f>
        <v>24176.222824838813</v>
      </c>
      <c r="F626" s="180">
        <f>(F624/F612)*BR64</f>
        <v>63.341568354007897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389996.96</v>
      </c>
      <c r="D628" s="180">
        <f>(D615/D612)*AZ76</f>
        <v>0</v>
      </c>
      <c r="E628" s="180">
        <f>(E623/E612)*SUM(C628:D628)</f>
        <v>90433.748009825678</v>
      </c>
      <c r="F628" s="180">
        <f>(F624/F612)*AZ64</f>
        <v>3.7654861641290798</v>
      </c>
      <c r="G628" s="180">
        <f>(G625/G612)*AZ77</f>
        <v>0</v>
      </c>
      <c r="H628" s="180">
        <f>SUM(C626:G628)</f>
        <v>608934.37889534468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606006.87</v>
      </c>
      <c r="D629" s="180">
        <f>(D615/D612)*BF76</f>
        <v>10948.953144405086</v>
      </c>
      <c r="E629" s="180">
        <f>(E623/E612)*SUM(C629:D629)</f>
        <v>143061.69833589395</v>
      </c>
      <c r="F629" s="180">
        <f>(F624/F612)*BF64</f>
        <v>2639.5019521000095</v>
      </c>
      <c r="G629" s="180">
        <f>(G625/G612)*BF77</f>
        <v>0</v>
      </c>
      <c r="H629" s="180">
        <f>(H628/H612)*BF60</f>
        <v>16748.96810343234</v>
      </c>
      <c r="I629" s="180">
        <f>SUM(C629:H629)</f>
        <v>779405.99153583124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2687.36</v>
      </c>
      <c r="D630" s="180">
        <f>(D615/D612)*BA76</f>
        <v>0</v>
      </c>
      <c r="E630" s="180">
        <f>(E623/E612)*SUM(C630:D630)</f>
        <v>623.15367035600775</v>
      </c>
      <c r="F630" s="180">
        <f>(F624/F612)*BA64</f>
        <v>93.966170471110814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31864.12</v>
      </c>
      <c r="D635" s="180">
        <f>(D615/D612)*BK76</f>
        <v>34301.231655404408</v>
      </c>
      <c r="E635" s="180">
        <f>(E623/E612)*SUM(C635:D635)</f>
        <v>15342.634308191387</v>
      </c>
      <c r="F635" s="180">
        <f>(F624/F612)*BK64</f>
        <v>0.51959443215672874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247021.92</v>
      </c>
      <c r="D636" s="180">
        <f>(D615/D612)*BH76</f>
        <v>3841.7379454052934</v>
      </c>
      <c r="E636" s="180">
        <f>(E623/E612)*SUM(C636:D636)</f>
        <v>58171.070942342441</v>
      </c>
      <c r="F636" s="180">
        <f>(F624/F612)*BH64</f>
        <v>965.44736514138935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578679.19000000006</v>
      </c>
      <c r="D637" s="180">
        <f>(D615/D612)*BL76</f>
        <v>0</v>
      </c>
      <c r="E637" s="180">
        <f>(E623/E612)*SUM(C637:D637)</f>
        <v>134185.98967281703</v>
      </c>
      <c r="F637" s="180">
        <f>(F624/F612)*BL64</f>
        <v>343.20785712959139</v>
      </c>
      <c r="G637" s="180">
        <f>(G625/G612)*BL77</f>
        <v>0</v>
      </c>
      <c r="H637" s="180">
        <f>(H628/H612)*BL60</f>
        <v>27616.071605231056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123462.8</v>
      </c>
      <c r="D638" s="180">
        <f>(D615/D612)*BM76</f>
        <v>0</v>
      </c>
      <c r="E638" s="180">
        <f>(E623/E612)*SUM(C638:D638)</f>
        <v>28628.950707173477</v>
      </c>
      <c r="F638" s="180">
        <f>(F624/F612)*BM64</f>
        <v>35.781034883600412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3307</v>
      </c>
      <c r="D639" s="180">
        <f>(D615/D612)*BS76</f>
        <v>4116.1477986485288</v>
      </c>
      <c r="E639" s="180">
        <f>(E623/E612)*SUM(C639:D639)</f>
        <v>1721.3033595509905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4189</v>
      </c>
      <c r="D640" s="180">
        <f>(D615/D612)*BT76</f>
        <v>5213.7872116214694</v>
      </c>
      <c r="E640" s="180">
        <f>(E623/E612)*SUM(C640:D640)</f>
        <v>2180.3485065262748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416890.67000000004</v>
      </c>
      <c r="D642" s="180">
        <f>(D615/D612)*BV76</f>
        <v>18659.870020539995</v>
      </c>
      <c r="E642" s="180">
        <f>(E623/E612)*SUM(C642:D642)</f>
        <v>100996.85849284827</v>
      </c>
      <c r="F642" s="180">
        <f>(F624/F612)*BV64</f>
        <v>147.97182271570779</v>
      </c>
      <c r="G642" s="180">
        <f>(G625/G612)*BV77</f>
        <v>0</v>
      </c>
      <c r="H642" s="180">
        <f>(H628/H612)*BV60</f>
        <v>15834.409887934431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336158.54000000004</v>
      </c>
      <c r="D644" s="180">
        <f>(D615/D612)*BX76</f>
        <v>4445.4396225404107</v>
      </c>
      <c r="E644" s="180">
        <f>(E623/E612)*SUM(C644:D644)</f>
        <v>78980.345037378298</v>
      </c>
      <c r="F644" s="180">
        <f>(F624/F612)*BX64</f>
        <v>32.997743039746069</v>
      </c>
      <c r="G644" s="180">
        <f>(G625/G612)*BX77</f>
        <v>0</v>
      </c>
      <c r="H644" s="180">
        <f>(H628/H612)*BX60</f>
        <v>6097.0547699860772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381383.62</v>
      </c>
      <c r="D645" s="180">
        <f>(D615/D612)*BY76</f>
        <v>0</v>
      </c>
      <c r="E645" s="180">
        <f>(E623/E612)*SUM(C645:D645)</f>
        <v>88436.459058950393</v>
      </c>
      <c r="F645" s="180">
        <f>(F624/F612)*BY64</f>
        <v>1007.4974502094703</v>
      </c>
      <c r="G645" s="180">
        <f>(G625/G612)*BY77</f>
        <v>0</v>
      </c>
      <c r="H645" s="180">
        <f>(H628/H612)*BY60</f>
        <v>3299.5825814042305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4752.6099999999997</v>
      </c>
      <c r="D647" s="180">
        <f>(D615/D612)*CA76</f>
        <v>0</v>
      </c>
      <c r="E647" s="180">
        <f>(E623/E612)*SUM(C647:D647)</f>
        <v>1102.0504752882628</v>
      </c>
      <c r="F647" s="180">
        <f>(F624/F612)*CA64</f>
        <v>11.28037414253582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13188462.729999999</v>
      </c>
      <c r="L648" s="267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1222277.6399999999</v>
      </c>
      <c r="D668" s="180">
        <f>(D615/D612)*C76</f>
        <v>41161.477986485283</v>
      </c>
      <c r="E668" s="180">
        <f>(E623/E612)*SUM(C668:D668)</f>
        <v>292970.3216705746</v>
      </c>
      <c r="F668" s="180">
        <f>(F624/F612)*C64</f>
        <v>6599.0370556919815</v>
      </c>
      <c r="G668" s="180">
        <f>(G625/G612)*C77</f>
        <v>80045.334884732321</v>
      </c>
      <c r="H668" s="180">
        <f>(H628/H612)*C60</f>
        <v>16695.170561344232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2277799.02</v>
      </c>
      <c r="D670" s="180">
        <f>(D615/D612)*E76</f>
        <v>128190.56294257734</v>
      </c>
      <c r="E670" s="180">
        <f>(E623/E612)*SUM(C670:D670)</f>
        <v>557908.59410313005</v>
      </c>
      <c r="F670" s="180">
        <f>(F624/F612)*E64</f>
        <v>1083.5876141196252</v>
      </c>
      <c r="G670" s="180">
        <f>(G625/G612)*E77</f>
        <v>38199.821222458158</v>
      </c>
      <c r="H670" s="180">
        <f>(H628/H612)*E60</f>
        <v>23240.538182064578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3374554.44</v>
      </c>
      <c r="D673" s="180">
        <f>(D615/D612)*H76</f>
        <v>53125.747587890342</v>
      </c>
      <c r="E673" s="180">
        <f>(E623/E612)*SUM(C673:D673)</f>
        <v>794821.49384599121</v>
      </c>
      <c r="F673" s="180">
        <f>(F624/F612)*H64</f>
        <v>568.70624612914162</v>
      </c>
      <c r="G673" s="180">
        <f>(G625/G612)*H77</f>
        <v>294373.6746360212</v>
      </c>
      <c r="H673" s="180">
        <f>(H628/H612)*H60</f>
        <v>60073.92199839223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7717</v>
      </c>
      <c r="D675" s="180">
        <f>(D615/D612)*J76</f>
        <v>9604.3448635132336</v>
      </c>
      <c r="E675" s="180">
        <f>(E623/E612)*SUM(C675:D675)</f>
        <v>4016.5290944274134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1953798.09</v>
      </c>
      <c r="D680" s="180">
        <f>(D615/D612)*O76</f>
        <v>121632.16745006402</v>
      </c>
      <c r="E680" s="180">
        <f>(E623/E612)*SUM(C680:D680)</f>
        <v>481257.43573541375</v>
      </c>
      <c r="F680" s="180">
        <f>(F624/F612)*O64</f>
        <v>3116.3882394838665</v>
      </c>
      <c r="G680" s="180">
        <f>(G625/G612)*O77</f>
        <v>43844.248552524179</v>
      </c>
      <c r="H680" s="180">
        <f>(H628/H612)*O60</f>
        <v>21088.63649854008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5499516.7000000002</v>
      </c>
      <c r="D681" s="180">
        <f>(D615/D612)*P76</f>
        <v>33615.207022296316</v>
      </c>
      <c r="E681" s="180">
        <f>(E623/E612)*SUM(C681:D681)</f>
        <v>1283040.4026348835</v>
      </c>
      <c r="F681" s="180">
        <f>(F624/F612)*P64</f>
        <v>92110.575323977027</v>
      </c>
      <c r="G681" s="180">
        <f>(G625/G612)*P77</f>
        <v>0</v>
      </c>
      <c r="H681" s="180">
        <f>(H628/H612)*P60</f>
        <v>46929.389214863426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387096.28</v>
      </c>
      <c r="D682" s="180">
        <f>(D615/D612)*Q76</f>
        <v>53578.523845741678</v>
      </c>
      <c r="E682" s="180">
        <f>(E623/E612)*SUM(C682:D682)</f>
        <v>102185.08925111921</v>
      </c>
      <c r="F682" s="180">
        <f>(F624/F612)*Q64</f>
        <v>1555.4964945440267</v>
      </c>
      <c r="G682" s="180">
        <f>(G625/G612)*Q77</f>
        <v>0</v>
      </c>
      <c r="H682" s="180">
        <f>(H628/H612)*Q60</f>
        <v>4250.0058249608837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297639.01999999996</v>
      </c>
      <c r="D683" s="180">
        <f>(D615/D612)*R76</f>
        <v>2195.2788259458821</v>
      </c>
      <c r="E683" s="180">
        <f>(E623/E612)*SUM(C683:D683)</f>
        <v>69526.540475413844</v>
      </c>
      <c r="F683" s="180">
        <f>(F624/F612)*R64</f>
        <v>1146.2302125746551</v>
      </c>
      <c r="G683" s="180">
        <f>(G625/G612)*R77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57041.39</v>
      </c>
      <c r="D684" s="180">
        <f>(D615/D612)*S76</f>
        <v>0</v>
      </c>
      <c r="E684" s="180">
        <f>(E623/E612)*SUM(C684:D684)</f>
        <v>13226.940767410571</v>
      </c>
      <c r="F684" s="180">
        <f>(F624/F612)*S64</f>
        <v>1994.507984285364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2463692.3600000003</v>
      </c>
      <c r="D686" s="180">
        <f>(D615/D612)*U76</f>
        <v>37607.870386985393</v>
      </c>
      <c r="E686" s="180">
        <f>(E623/E612)*SUM(C686:D686)</f>
        <v>580009.53323260671</v>
      </c>
      <c r="F686" s="180">
        <f>(F624/F612)*U64</f>
        <v>24920.237440948502</v>
      </c>
      <c r="G686" s="180">
        <f>(G625/G612)*U77</f>
        <v>0</v>
      </c>
      <c r="H686" s="180">
        <f>(H628/H612)*U60</f>
        <v>63050.719327267783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178633.03</v>
      </c>
      <c r="D688" s="180">
        <f>(D615/D612)*W76</f>
        <v>0</v>
      </c>
      <c r="E688" s="180">
        <f>(E623/E612)*SUM(C688:D688)</f>
        <v>41422.000882395674</v>
      </c>
      <c r="F688" s="180">
        <f>(F624/F612)*W64</f>
        <v>0.18881628086449095</v>
      </c>
      <c r="G688" s="180">
        <f>(G625/G612)*W77</f>
        <v>0</v>
      </c>
      <c r="H688" s="180">
        <f>(H628/H612)*W60</f>
        <v>609.70547699860776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133415.26999999999</v>
      </c>
      <c r="D689" s="180">
        <f>(D615/D612)*X76</f>
        <v>0</v>
      </c>
      <c r="E689" s="180">
        <f>(E623/E612)*SUM(C689:D689)</f>
        <v>30936.761424609194</v>
      </c>
      <c r="F689" s="180">
        <f>(F624/F612)*X64</f>
        <v>1137.9257928144111</v>
      </c>
      <c r="G689" s="180">
        <f>(G625/G612)*X77</f>
        <v>0</v>
      </c>
      <c r="H689" s="180">
        <f>(H628/H612)*X60</f>
        <v>1864.981459054565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1492851.0299999998</v>
      </c>
      <c r="D690" s="180">
        <f>(D615/D612)*Y76</f>
        <v>55952.169076295664</v>
      </c>
      <c r="E690" s="180">
        <f>(E623/E612)*SUM(C690:D690)</f>
        <v>359141.46156954038</v>
      </c>
      <c r="F690" s="180">
        <f>(F624/F612)*Y64</f>
        <v>1000.2937594347106</v>
      </c>
      <c r="G690" s="180">
        <f>(G625/G612)*Y77</f>
        <v>0</v>
      </c>
      <c r="H690" s="180">
        <f>(H628/H612)*Y60</f>
        <v>43880.861829870388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1312295.73</v>
      </c>
      <c r="D693" s="180">
        <f>(D615/D612)*AB76</f>
        <v>14571.163207215792</v>
      </c>
      <c r="E693" s="180">
        <f>(E623/E612)*SUM(C693:D693)</f>
        <v>307678.15796020982</v>
      </c>
      <c r="F693" s="180">
        <f>(F624/F612)*AB64</f>
        <v>23311.131808349699</v>
      </c>
      <c r="G693" s="180">
        <f>(G625/G612)*AB77</f>
        <v>0</v>
      </c>
      <c r="H693" s="180">
        <f>(H628/H612)*AB60</f>
        <v>15063.311784671487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248775.07000000004</v>
      </c>
      <c r="D694" s="180">
        <f>(D615/D612)*AC76</f>
        <v>11552.654821540204</v>
      </c>
      <c r="E694" s="180">
        <f>(E623/E612)*SUM(C694:D694)</f>
        <v>60365.62917434641</v>
      </c>
      <c r="F694" s="180">
        <f>(F624/F612)*AC64</f>
        <v>1441.8825914098481</v>
      </c>
      <c r="G694" s="180">
        <f>(G625/G612)*AC77</f>
        <v>0</v>
      </c>
      <c r="H694" s="180">
        <f>(H628/H612)*AC60</f>
        <v>8159.2938833637209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94508.83</v>
      </c>
      <c r="D696" s="180">
        <f>(D615/D612)*AE76</f>
        <v>7546.2709641889687</v>
      </c>
      <c r="E696" s="180">
        <f>(E623/E612)*SUM(C696:D696)</f>
        <v>23664.864679234379</v>
      </c>
      <c r="F696" s="180">
        <f>(F624/F612)*AE64</f>
        <v>14.0762537384478</v>
      </c>
      <c r="G696" s="180">
        <f>(G625/G612)*AE77</f>
        <v>0</v>
      </c>
      <c r="H696" s="180">
        <f>(H628/H612)*AE60</f>
        <v>376.58279461678711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3214270.8499999996</v>
      </c>
      <c r="D698" s="180">
        <f>(D615/D612)*AG76</f>
        <v>63470.999055160311</v>
      </c>
      <c r="E698" s="180">
        <f>(E623/E612)*SUM(C698:D698)</f>
        <v>760053.31020712166</v>
      </c>
      <c r="F698" s="180">
        <f>(F624/F612)*AG64</f>
        <v>10136.435250495433</v>
      </c>
      <c r="G698" s="180">
        <f>(G625/G612)*AG77</f>
        <v>0</v>
      </c>
      <c r="H698" s="180">
        <f>(H628/H612)*AG60</f>
        <v>81072.895926785466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8919283.9900000002</v>
      </c>
      <c r="D701" s="180">
        <f>(D615/D612)*AJ76</f>
        <v>0</v>
      </c>
      <c r="E701" s="180">
        <f>(E623/E612)*SUM(C701:D701)</f>
        <v>2068232.2261684618</v>
      </c>
      <c r="F701" s="180">
        <f>(F624/F612)*AJ64</f>
        <v>12026.938681703503</v>
      </c>
      <c r="G701" s="180">
        <f>(G625/G612)*AJ77</f>
        <v>0</v>
      </c>
      <c r="H701" s="180">
        <f>(H628/H612)*AJ60</f>
        <v>152982.27718456244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46323628.469999999</v>
      </c>
      <c r="D715" s="180">
        <f>SUM(D616:D647)+SUM(D668:D713)</f>
        <v>921825.02000000025</v>
      </c>
      <c r="E715" s="180">
        <f>SUM(E624:E647)+SUM(E668:E713)</f>
        <v>8719716.0258771162</v>
      </c>
      <c r="F715" s="180">
        <f>SUM(F625:F648)+SUM(F668:F713)</f>
        <v>198344.39306619385</v>
      </c>
      <c r="G715" s="180">
        <f>SUM(G626:G647)+SUM(G668:G713)</f>
        <v>456463.07929573586</v>
      </c>
      <c r="H715" s="180">
        <f>SUM(H629:H647)+SUM(H668:H713)</f>
        <v>608934.37889534491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46323628.469999999</v>
      </c>
      <c r="D716" s="180">
        <f>D615</f>
        <v>921825.02000000014</v>
      </c>
      <c r="E716" s="180">
        <f>E623</f>
        <v>8719716.0258771181</v>
      </c>
      <c r="F716" s="180">
        <f>F624</f>
        <v>198344.39306619388</v>
      </c>
      <c r="G716" s="180">
        <f>G625</f>
        <v>456463.07929573586</v>
      </c>
      <c r="H716" s="180">
        <f>H628</f>
        <v>608934.37889534468</v>
      </c>
      <c r="I716" s="180">
        <f>I629</f>
        <v>779405.99153583124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13188462.729999999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199*2021*A</v>
      </c>
      <c r="B722" s="277">
        <f>ROUND(C165,0)</f>
        <v>1232589</v>
      </c>
      <c r="C722" s="277">
        <f>ROUND(C166,0)</f>
        <v>87295</v>
      </c>
      <c r="D722" s="277">
        <f>ROUND(C167,0)</f>
        <v>308484</v>
      </c>
      <c r="E722" s="277">
        <f>ROUND(C168,0)</f>
        <v>1534503</v>
      </c>
      <c r="F722" s="277">
        <f>ROUND(C169,0)</f>
        <v>0</v>
      </c>
      <c r="G722" s="277">
        <f>ROUND(C170,0)</f>
        <v>521865</v>
      </c>
      <c r="H722" s="277">
        <f>ROUND(C171+C172,0)</f>
        <v>-50</v>
      </c>
      <c r="I722" s="277">
        <f>ROUND(C175,0)</f>
        <v>751749</v>
      </c>
      <c r="J722" s="277">
        <f>ROUND(C176,0)</f>
        <v>84735</v>
      </c>
      <c r="K722" s="277">
        <f>ROUND(C179,0)</f>
        <v>412037</v>
      </c>
      <c r="L722" s="277">
        <f>ROUND(C180,0)</f>
        <v>7932</v>
      </c>
      <c r="M722" s="277">
        <f>ROUND(C183,0)</f>
        <v>798330</v>
      </c>
      <c r="N722" s="277">
        <f>ROUND(C184,0)</f>
        <v>465051</v>
      </c>
      <c r="O722" s="277">
        <f>ROUND(C185,0)</f>
        <v>0</v>
      </c>
      <c r="P722" s="277">
        <f>ROUND(C188,0)</f>
        <v>2536680</v>
      </c>
      <c r="Q722" s="277">
        <f>ROUND(C189,0)</f>
        <v>7037</v>
      </c>
      <c r="R722" s="277">
        <f>ROUND(B195,0)</f>
        <v>550000</v>
      </c>
      <c r="S722" s="277">
        <f>ROUND(C195,0)</f>
        <v>0</v>
      </c>
      <c r="T722" s="277">
        <f>ROUND(D195,0)</f>
        <v>0</v>
      </c>
      <c r="U722" s="277">
        <f>ROUND(B196,0)</f>
        <v>26953</v>
      </c>
      <c r="V722" s="277">
        <f>ROUND(C196,0)</f>
        <v>0</v>
      </c>
      <c r="W722" s="277">
        <f>ROUND(D196,0)</f>
        <v>0</v>
      </c>
      <c r="X722" s="277">
        <f>ROUND(B197,0)</f>
        <v>7958259</v>
      </c>
      <c r="Y722" s="277">
        <f>ROUND(C197,0)</f>
        <v>76584</v>
      </c>
      <c r="Z722" s="277">
        <f>ROUND(D197,0)</f>
        <v>0</v>
      </c>
      <c r="AA722" s="277">
        <f>ROUND(B198,0)</f>
        <v>0</v>
      </c>
      <c r="AB722" s="277">
        <f>ROUND(C198,0)</f>
        <v>0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1689983</v>
      </c>
      <c r="AH722" s="277">
        <f>ROUND(C200,0)</f>
        <v>569817</v>
      </c>
      <c r="AI722" s="277">
        <f>ROUND(D200,0)</f>
        <v>0</v>
      </c>
      <c r="AJ722" s="277">
        <f>ROUND(B201,0)</f>
        <v>388076</v>
      </c>
      <c r="AK722" s="277">
        <f>ROUND(C201,0)</f>
        <v>89389</v>
      </c>
      <c r="AL722" s="277">
        <f>ROUND(D201,0)</f>
        <v>0</v>
      </c>
      <c r="AM722" s="277">
        <f>ROUND(B202,0)</f>
        <v>0</v>
      </c>
      <c r="AN722" s="277">
        <f>ROUND(C202,0)</f>
        <v>0</v>
      </c>
      <c r="AO722" s="277">
        <f>ROUND(D202,0)</f>
        <v>0</v>
      </c>
      <c r="AP722" s="277">
        <f>ROUND(B203,0)</f>
        <v>55076</v>
      </c>
      <c r="AQ722" s="277">
        <f>ROUND(C203,0)</f>
        <v>200296</v>
      </c>
      <c r="AR722" s="277">
        <f>ROUND(D203,0)</f>
        <v>0</v>
      </c>
      <c r="AS722" s="277"/>
      <c r="AT722" s="277"/>
      <c r="AU722" s="277"/>
      <c r="AV722" s="277">
        <f>ROUND(B209,0)</f>
        <v>2660</v>
      </c>
      <c r="AW722" s="277">
        <f>ROUND(C209,0)</f>
        <v>1497</v>
      </c>
      <c r="AX722" s="277">
        <f>ROUND(D209,0)</f>
        <v>0</v>
      </c>
      <c r="AY722" s="277">
        <f>ROUND(B210,0)</f>
        <v>1525193</v>
      </c>
      <c r="AZ722" s="277">
        <f>ROUND(C210,0)</f>
        <v>407427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1118130</v>
      </c>
      <c r="BI722" s="277">
        <f>ROUND(C213,0)</f>
        <v>330724</v>
      </c>
      <c r="BJ722" s="277">
        <f>ROUND(D213,0)</f>
        <v>0</v>
      </c>
      <c r="BK722" s="277">
        <f>ROUND(B214,0)</f>
        <v>177278</v>
      </c>
      <c r="BL722" s="277">
        <f>ROUND(C214,0)</f>
        <v>35321</v>
      </c>
      <c r="BM722" s="277">
        <f>ROUND(D214,0)</f>
        <v>0</v>
      </c>
      <c r="BN722" s="277">
        <f>ROUND(B215,0)</f>
        <v>0</v>
      </c>
      <c r="BO722" s="277">
        <f>ROUND(C215,0)</f>
        <v>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36583231</v>
      </c>
      <c r="BU722" s="277">
        <f>ROUND(C224,0)</f>
        <v>61124291</v>
      </c>
      <c r="BV722" s="277">
        <f>ROUND(C225,0)</f>
        <v>0</v>
      </c>
      <c r="BW722" s="277">
        <f>ROUND(C226,0)</f>
        <v>0</v>
      </c>
      <c r="BX722" s="277">
        <f>ROUND(C227,0)</f>
        <v>0</v>
      </c>
      <c r="BY722" s="277">
        <f>ROUND(C228,0)</f>
        <v>21147592</v>
      </c>
      <c r="BZ722" s="277">
        <f>ROUND(C231,0)</f>
        <v>0</v>
      </c>
      <c r="CA722" s="277">
        <f>ROUND(C233,0)</f>
        <v>838895</v>
      </c>
      <c r="CB722" s="277">
        <f>ROUND(C234,0)</f>
        <v>0</v>
      </c>
      <c r="CC722" s="277">
        <f>ROUND(C238+C239,0)</f>
        <v>0</v>
      </c>
      <c r="CD722" s="277">
        <f>D221</f>
        <v>15492723</v>
      </c>
      <c r="CE722" s="277"/>
    </row>
    <row r="723" spans="1:84" ht="12.65" customHeight="1" x14ac:dyDescent="0.3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199*2021*A</v>
      </c>
      <c r="B726" s="277">
        <f>ROUND(C111,0)</f>
        <v>1018</v>
      </c>
      <c r="C726" s="277">
        <f>ROUND(C112,0)</f>
        <v>0</v>
      </c>
      <c r="D726" s="277">
        <f>ROUND(C113,0)</f>
        <v>0</v>
      </c>
      <c r="E726" s="277">
        <f>ROUND(C114,0)</f>
        <v>266</v>
      </c>
      <c r="F726" s="277">
        <f>ROUND(D111,0)</f>
        <v>8012</v>
      </c>
      <c r="G726" s="277">
        <f>ROUND(D112,0)</f>
        <v>0</v>
      </c>
      <c r="H726" s="277">
        <f>ROUND(D113,0)</f>
        <v>0</v>
      </c>
      <c r="I726" s="277">
        <f>ROUND(D114,0)</f>
        <v>426</v>
      </c>
      <c r="J726" s="277">
        <f>ROUND(C116,0)</f>
        <v>7</v>
      </c>
      <c r="K726" s="277">
        <f>ROUND(C117,0)</f>
        <v>0</v>
      </c>
      <c r="L726" s="277">
        <f>ROUND(C118,0)</f>
        <v>16</v>
      </c>
      <c r="M726" s="277">
        <f>ROUND(C119,0)</f>
        <v>0</v>
      </c>
      <c r="N726" s="277">
        <f>ROUND(C120,0)</f>
        <v>10</v>
      </c>
      <c r="O726" s="277">
        <f>ROUND(C121,0)</f>
        <v>0</v>
      </c>
      <c r="P726" s="277">
        <f>ROUND(C122,0)</f>
        <v>14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78</v>
      </c>
      <c r="W726" s="277">
        <f>ROUND(C129,0)</f>
        <v>16</v>
      </c>
      <c r="X726" s="277">
        <f>ROUND(B138,0)</f>
        <v>176</v>
      </c>
      <c r="Y726" s="277">
        <f>ROUND(B139,0)</f>
        <v>2230</v>
      </c>
      <c r="Z726" s="277">
        <f>ROUND(B140,0)</f>
        <v>29367</v>
      </c>
      <c r="AA726" s="277">
        <f>ROUND(B141,0)</f>
        <v>11099825</v>
      </c>
      <c r="AB726" s="277">
        <f>ROUND(B142,0)</f>
        <v>35188843</v>
      </c>
      <c r="AC726" s="277">
        <f>ROUND(C138,0)</f>
        <v>638</v>
      </c>
      <c r="AD726" s="277">
        <f>ROUND(C139,0)</f>
        <v>4651</v>
      </c>
      <c r="AE726" s="277">
        <f>ROUND(C140,0)</f>
        <v>29310</v>
      </c>
      <c r="AF726" s="277">
        <f>ROUND(C141,0)</f>
        <v>25351909</v>
      </c>
      <c r="AG726" s="277">
        <f>ROUND(C142,0)</f>
        <v>51624765</v>
      </c>
      <c r="AH726" s="277">
        <f>ROUND(D138,0)</f>
        <v>470</v>
      </c>
      <c r="AI726" s="277">
        <f>ROUND(D139,0)</f>
        <v>1557</v>
      </c>
      <c r="AJ726" s="277">
        <f>ROUND(D140,0)</f>
        <v>34177</v>
      </c>
      <c r="AK726" s="277">
        <f>ROUND(D141,0)</f>
        <v>9545589</v>
      </c>
      <c r="AL726" s="277">
        <f>ROUND(D142,0)</f>
        <v>53321542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199*2021*A</v>
      </c>
      <c r="B730" s="277">
        <f>ROUND(C250,0)</f>
        <v>114438</v>
      </c>
      <c r="C730" s="277">
        <f>ROUND(C251,0)</f>
        <v>0</v>
      </c>
      <c r="D730" s="277">
        <f>ROUND(C252,0)</f>
        <v>44093478</v>
      </c>
      <c r="E730" s="277">
        <f>ROUND(C253,0)</f>
        <v>37169595</v>
      </c>
      <c r="F730" s="277">
        <f>ROUND(C254,0)</f>
        <v>0</v>
      </c>
      <c r="G730" s="277">
        <f>ROUND(C255,0)</f>
        <v>468714</v>
      </c>
      <c r="H730" s="277">
        <f>ROUND(C256,0)</f>
        <v>0</v>
      </c>
      <c r="I730" s="277">
        <f>ROUND(C257,0)</f>
        <v>1093571</v>
      </c>
      <c r="J730" s="277">
        <f>ROUND(C258,0)</f>
        <v>305615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550000</v>
      </c>
      <c r="P730" s="277">
        <f>ROUND(C268,0)</f>
        <v>26953</v>
      </c>
      <c r="Q730" s="277">
        <f>ROUND(C269,0)</f>
        <v>8034843</v>
      </c>
      <c r="R730" s="277">
        <f>ROUND(C270,0)</f>
        <v>0</v>
      </c>
      <c r="S730" s="277">
        <f>ROUND(C271,0)</f>
        <v>0</v>
      </c>
      <c r="T730" s="277">
        <f>ROUND(C272,0)</f>
        <v>2737264</v>
      </c>
      <c r="U730" s="277">
        <f>ROUND(C273,0)</f>
        <v>0</v>
      </c>
      <c r="V730" s="277">
        <f>ROUND(C274,0)</f>
        <v>255373</v>
      </c>
      <c r="W730" s="277">
        <f>ROUND(C275,0)</f>
        <v>0</v>
      </c>
      <c r="X730" s="277">
        <f>ROUND(C276,0)</f>
        <v>3598230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2358900</v>
      </c>
      <c r="AH730" s="277">
        <f>ROUND(C305,0)</f>
        <v>3108750</v>
      </c>
      <c r="AI730" s="277">
        <f>ROUND(C306,0)</f>
        <v>444033</v>
      </c>
      <c r="AJ730" s="277">
        <f>ROUND(C307,0)</f>
        <v>1712838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0</v>
      </c>
      <c r="AO730" s="277">
        <f>ROUND(C312,0)</f>
        <v>53937</v>
      </c>
      <c r="AP730" s="277">
        <f>ROUND(C313,0)</f>
        <v>147662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260657</v>
      </c>
      <c r="AX730" s="277">
        <f>ROUND(C325,0)</f>
        <v>0</v>
      </c>
      <c r="AY730" s="277">
        <f>ROUND(C326,0)</f>
        <v>12680864</v>
      </c>
      <c r="AZ730" s="277">
        <f>ROUND(C327,0)</f>
        <v>10099196</v>
      </c>
      <c r="BA730" s="277">
        <f>ROUND(C328,0)</f>
        <v>0</v>
      </c>
      <c r="BB730" s="277">
        <f>ROUND(C332,0)</f>
        <v>-13806751</v>
      </c>
      <c r="BC730" s="277"/>
      <c r="BD730" s="277"/>
      <c r="BE730" s="277">
        <f>ROUND(C337,0)</f>
        <v>0</v>
      </c>
      <c r="BF730" s="277">
        <f>ROUND(C336,0)</f>
        <v>0</v>
      </c>
      <c r="BG730" s="277"/>
      <c r="BH730" s="277"/>
      <c r="BI730" s="277">
        <f>ROUND(CE60,2)</f>
        <v>360.64</v>
      </c>
      <c r="BJ730" s="277">
        <f>ROUND(C359,0)</f>
        <v>45997323</v>
      </c>
      <c r="BK730" s="277">
        <f>ROUND(C360,0)</f>
        <v>140135150</v>
      </c>
      <c r="BL730" s="277">
        <f>ROUND(C364,0)</f>
        <v>118855114</v>
      </c>
      <c r="BM730" s="277">
        <f>ROUND(C365,0)</f>
        <v>1035203</v>
      </c>
      <c r="BN730" s="277">
        <f>ROUND(C366,0)</f>
        <v>0</v>
      </c>
      <c r="BO730" s="277">
        <f>ROUND(C370,0)</f>
        <v>2604627</v>
      </c>
      <c r="BP730" s="277">
        <f>ROUND(C371,0)</f>
        <v>0</v>
      </c>
      <c r="BQ730" s="277">
        <f>ROUND(C378,0)</f>
        <v>19220061</v>
      </c>
      <c r="BR730" s="277">
        <f>ROUND(C379,0)</f>
        <v>3684685</v>
      </c>
      <c r="BS730" s="277">
        <f>ROUND(C380,0)</f>
        <v>3014214</v>
      </c>
      <c r="BT730" s="277">
        <f>ROUND(C381,0)</f>
        <v>5807395</v>
      </c>
      <c r="BU730" s="277">
        <f>ROUND(C382,0)</f>
        <v>0</v>
      </c>
      <c r="BV730" s="277">
        <f>ROUND(C383,0)</f>
        <v>10576282</v>
      </c>
      <c r="BW730" s="277">
        <f>ROUND(C384,0)</f>
        <v>774971</v>
      </c>
      <c r="BX730" s="277">
        <f>ROUND(C385,0)</f>
        <v>836483</v>
      </c>
      <c r="BY730" s="277">
        <f>ROUND(C386,0)</f>
        <v>419969</v>
      </c>
      <c r="BZ730" s="277">
        <f>ROUND(C387,0)</f>
        <v>1263380</v>
      </c>
      <c r="CA730" s="277">
        <f>ROUND(C388,0)</f>
        <v>2543716</v>
      </c>
      <c r="CB730" s="277">
        <f>C363</f>
        <v>15492723</v>
      </c>
      <c r="CC730" s="277">
        <f>ROUND(C389,0)</f>
        <v>6949734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199*2021*6010*A</v>
      </c>
      <c r="B734" s="277">
        <f>ROUND(C59,0)</f>
        <v>1705</v>
      </c>
      <c r="C734" s="277">
        <f>ROUND(C60,2)</f>
        <v>9.31</v>
      </c>
      <c r="D734" s="277">
        <f>ROUND(C61,0)</f>
        <v>678732</v>
      </c>
      <c r="E734" s="277">
        <f>ROUND(C62,0)</f>
        <v>186835</v>
      </c>
      <c r="F734" s="277">
        <f>ROUND(C63,0)</f>
        <v>68307</v>
      </c>
      <c r="G734" s="277">
        <f>ROUND(C64,0)</f>
        <v>188727</v>
      </c>
      <c r="H734" s="277">
        <f>ROUND(C65,0)</f>
        <v>0</v>
      </c>
      <c r="I734" s="277">
        <f>ROUND(C66,0)</f>
        <v>60679</v>
      </c>
      <c r="J734" s="277">
        <f>ROUND(C67,0)</f>
        <v>33075</v>
      </c>
      <c r="K734" s="277">
        <f>ROUND(C68,0)</f>
        <v>2438</v>
      </c>
      <c r="L734" s="277">
        <f>ROUND(C69,0)</f>
        <v>3485</v>
      </c>
      <c r="M734" s="277">
        <f>ROUND(C70,0)</f>
        <v>0</v>
      </c>
      <c r="N734" s="277">
        <f>ROUND(C75,0)</f>
        <v>-1534547</v>
      </c>
      <c r="O734" s="277">
        <f>ROUND(C73,0)</f>
        <v>-1534547</v>
      </c>
      <c r="P734" s="277">
        <f>IF(C76&gt;0,ROUND(C76,0),0)</f>
        <v>3000</v>
      </c>
      <c r="Q734" s="277">
        <f>IF(C77&gt;0,ROUND(C77,0),0)</f>
        <v>5006</v>
      </c>
      <c r="R734" s="277">
        <f>IF(C78&gt;0,ROUND(C78,0),0)</f>
        <v>0</v>
      </c>
      <c r="S734" s="277">
        <f>IF(C79&gt;0,ROUND(C79,0),0)</f>
        <v>36033</v>
      </c>
      <c r="T734" s="277">
        <f>IF(C80&gt;0,ROUND(C80,2),0)</f>
        <v>6.43</v>
      </c>
      <c r="U734" s="277"/>
      <c r="V734" s="277"/>
      <c r="W734" s="277"/>
      <c r="X734" s="277"/>
      <c r="Y734" s="277" t="e">
        <f>IF(M668&lt;&gt;0,ROUND(M668,0),0)</f>
        <v>#DIV/0!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">
      <c r="A735" s="209" t="str">
        <f>RIGHT($C$83,3)&amp;"*"&amp;RIGHT($C$82,4)&amp;"*"&amp;D$55&amp;"*"&amp;"A"</f>
        <v>199*2021*6030*A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 t="e">
        <f t="shared" ref="Y735:Y779" si="21">IF(M669&lt;&gt;0,ROUND(M669,0),0)</f>
        <v>#DIV/0!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">
      <c r="A736" s="209" t="str">
        <f>RIGHT($C$83,3)&amp;"*"&amp;RIGHT($C$82,4)&amp;"*"&amp;E$55&amp;"*"&amp;"A"</f>
        <v>199*2021*6070*A</v>
      </c>
      <c r="B736" s="277">
        <f>ROUND(E59,0)</f>
        <v>559</v>
      </c>
      <c r="C736" s="279">
        <f>ROUND(E60,2)</f>
        <v>12.96</v>
      </c>
      <c r="D736" s="277">
        <f>ROUND(E61,0)</f>
        <v>835562</v>
      </c>
      <c r="E736" s="277">
        <f>ROUND(E62,0)</f>
        <v>288117</v>
      </c>
      <c r="F736" s="277">
        <f>ROUND(E63,0)</f>
        <v>984993</v>
      </c>
      <c r="G736" s="277">
        <f>ROUND(E64,0)</f>
        <v>30990</v>
      </c>
      <c r="H736" s="277">
        <f>ROUND(E65,0)</f>
        <v>0</v>
      </c>
      <c r="I736" s="277">
        <f>ROUND(E66,0)</f>
        <v>32160</v>
      </c>
      <c r="J736" s="277">
        <f>ROUND(E67,0)</f>
        <v>103005</v>
      </c>
      <c r="K736" s="277">
        <f>ROUND(E68,0)</f>
        <v>0</v>
      </c>
      <c r="L736" s="277">
        <f>ROUND(E69,0)</f>
        <v>2973</v>
      </c>
      <c r="M736" s="277">
        <f>ROUND(E70,0)</f>
        <v>0</v>
      </c>
      <c r="N736" s="277">
        <f>ROUND(E75,0)</f>
        <v>-3220708</v>
      </c>
      <c r="O736" s="277">
        <f>ROUND(E73,0)</f>
        <v>-2831869</v>
      </c>
      <c r="P736" s="277">
        <f>IF(E76&gt;0,ROUND(E76,0),0)</f>
        <v>9343</v>
      </c>
      <c r="Q736" s="277">
        <f>IF(E77&gt;0,ROUND(E77,0),0)</f>
        <v>2389</v>
      </c>
      <c r="R736" s="277">
        <f>IF(E78&gt;0,ROUND(E78,0),0)</f>
        <v>0</v>
      </c>
      <c r="S736" s="277">
        <f>IF(E79&gt;0,ROUND(E79,0),0)</f>
        <v>53074</v>
      </c>
      <c r="T736" s="279">
        <f>IF(E80&gt;0,ROUND(E80,2),0)</f>
        <v>7.15</v>
      </c>
      <c r="U736" s="277"/>
      <c r="V736" s="278"/>
      <c r="W736" s="277"/>
      <c r="X736" s="277"/>
      <c r="Y736" s="277" t="e">
        <f t="shared" si="21"/>
        <v>#DIV/0!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">
      <c r="A737" s="209" t="str">
        <f>RIGHT($C$83,3)&amp;"*"&amp;RIGHT($C$82,4)&amp;"*"&amp;F$55&amp;"*"&amp;"A"</f>
        <v>199*2021*6100*A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 t="e">
        <f t="shared" si="21"/>
        <v>#DIV/0!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">
      <c r="A738" s="209" t="str">
        <f>RIGHT($C$83,3)&amp;"*"&amp;RIGHT($C$82,4)&amp;"*"&amp;G$55&amp;"*"&amp;"A"</f>
        <v>199*2021*6120*A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 t="e">
        <f t="shared" si="21"/>
        <v>#DIV/0!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">
      <c r="A739" s="209" t="str">
        <f>RIGHT($C$83,3)&amp;"*"&amp;RIGHT($C$82,4)&amp;"*"&amp;H$55&amp;"*"&amp;"A"</f>
        <v>199*2021*6140*A</v>
      </c>
      <c r="B739" s="277">
        <f>ROUND(H59,0)</f>
        <v>5260</v>
      </c>
      <c r="C739" s="279">
        <f>ROUND(H60,2)</f>
        <v>33.5</v>
      </c>
      <c r="D739" s="277">
        <f>ROUND(H61,0)</f>
        <v>1835199</v>
      </c>
      <c r="E739" s="277">
        <f>ROUND(H62,0)</f>
        <v>594862</v>
      </c>
      <c r="F739" s="277">
        <f>ROUND(H63,0)</f>
        <v>876570</v>
      </c>
      <c r="G739" s="277">
        <f>ROUND(H64,0)</f>
        <v>16265</v>
      </c>
      <c r="H739" s="277">
        <f>ROUND(H65,0)</f>
        <v>0</v>
      </c>
      <c r="I739" s="277">
        <f>ROUND(H66,0)</f>
        <v>580</v>
      </c>
      <c r="J739" s="277">
        <f>ROUND(H67,0)</f>
        <v>42688</v>
      </c>
      <c r="K739" s="277">
        <f>ROUND(H68,0)</f>
        <v>0</v>
      </c>
      <c r="L739" s="277">
        <f>ROUND(H69,0)</f>
        <v>8391</v>
      </c>
      <c r="M739" s="277">
        <f>ROUND(H70,0)</f>
        <v>0</v>
      </c>
      <c r="N739" s="277">
        <f>ROUND(H75,0)</f>
        <v>-12334438</v>
      </c>
      <c r="O739" s="277">
        <f>ROUND(H73,0)</f>
        <v>-11942283</v>
      </c>
      <c r="P739" s="277">
        <f>IF(H76&gt;0,ROUND(H76,0),0)</f>
        <v>3872</v>
      </c>
      <c r="Q739" s="277">
        <f>IF(H77&gt;0,ROUND(H77,0),0)</f>
        <v>18410</v>
      </c>
      <c r="R739" s="277">
        <f>IF(H78&gt;0,ROUND(H78,0),0)</f>
        <v>0</v>
      </c>
      <c r="S739" s="277">
        <f>IF(H79&gt;0,ROUND(H79,0),0)</f>
        <v>34368</v>
      </c>
      <c r="T739" s="279">
        <f>IF(H80&gt;0,ROUND(H80,2),0)</f>
        <v>9.92</v>
      </c>
      <c r="U739" s="277"/>
      <c r="V739" s="278"/>
      <c r="W739" s="277"/>
      <c r="X739" s="277"/>
      <c r="Y739" s="277" t="e">
        <f t="shared" si="21"/>
        <v>#DIV/0!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">
      <c r="A740" s="209" t="str">
        <f>RIGHT($C$83,3)&amp;"*"&amp;RIGHT($C$82,4)&amp;"*"&amp;I$55&amp;"*"&amp;"A"</f>
        <v>199*2021*6150*A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 t="e">
        <f t="shared" si="21"/>
        <v>#DIV/0!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">
      <c r="A741" s="209" t="str">
        <f>RIGHT($C$83,3)&amp;"*"&amp;RIGHT($C$82,4)&amp;"*"&amp;J$55&amp;"*"&amp;"A"</f>
        <v>199*2021*6170*A</v>
      </c>
      <c r="B741" s="277">
        <f>ROUND(J59,0)</f>
        <v>426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7717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-626814</v>
      </c>
      <c r="O741" s="277">
        <f>ROUND(J73,0)</f>
        <v>-610402</v>
      </c>
      <c r="P741" s="277">
        <f>IF(J76&gt;0,ROUND(J76,0),0)</f>
        <v>700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 t="e">
        <f t="shared" si="21"/>
        <v>#DIV/0!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">
      <c r="A742" s="209" t="str">
        <f>RIGHT($C$83,3)&amp;"*"&amp;RIGHT($C$82,4)&amp;"*"&amp;K$55&amp;"*"&amp;"A"</f>
        <v>199*2021*6200*A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 t="e">
        <f t="shared" si="21"/>
        <v>#DIV/0!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">
      <c r="A743" s="209" t="str">
        <f>RIGHT($C$83,3)&amp;"*"&amp;RIGHT($C$82,4)&amp;"*"&amp;L$55&amp;"*"&amp;"A"</f>
        <v>199*2021*6210*A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 t="e">
        <f t="shared" si="21"/>
        <v>#DIV/0!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">
      <c r="A744" s="209" t="str">
        <f>RIGHT($C$83,3)&amp;"*"&amp;RIGHT($C$82,4)&amp;"*"&amp;M$55&amp;"*"&amp;"A"</f>
        <v>199*2021*6330*A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 t="e">
        <f t="shared" si="21"/>
        <v>#DIV/0!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">
      <c r="A745" s="209" t="str">
        <f>RIGHT($C$83,3)&amp;"*"&amp;RIGHT($C$82,4)&amp;"*"&amp;N$55&amp;"*"&amp;"A"</f>
        <v>199*2021*6400*A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 t="e">
        <f t="shared" si="21"/>
        <v>#DIV/0!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">
      <c r="A746" s="209" t="str">
        <f>RIGHT($C$83,3)&amp;"*"&amp;RIGHT($C$82,4)&amp;"*"&amp;O$55&amp;"*"&amp;"A"</f>
        <v>199*2021*7010*A</v>
      </c>
      <c r="B746" s="277">
        <f>ROUND(O59,0)</f>
        <v>488</v>
      </c>
      <c r="C746" s="279">
        <f>ROUND(O60,2)</f>
        <v>11.76</v>
      </c>
      <c r="D746" s="277">
        <f>ROUND(O61,0)</f>
        <v>1091064</v>
      </c>
      <c r="E746" s="277">
        <f>ROUND(O62,0)</f>
        <v>376998</v>
      </c>
      <c r="F746" s="277">
        <f>ROUND(O63,0)</f>
        <v>287472</v>
      </c>
      <c r="G746" s="277">
        <f>ROUND(O64,0)</f>
        <v>89126</v>
      </c>
      <c r="H746" s="277">
        <f>ROUND(O65,0)</f>
        <v>0</v>
      </c>
      <c r="I746" s="277">
        <f>ROUND(O66,0)</f>
        <v>1176</v>
      </c>
      <c r="J746" s="277">
        <f>ROUND(O67,0)</f>
        <v>97735</v>
      </c>
      <c r="K746" s="277">
        <f>ROUND(O68,0)</f>
        <v>0</v>
      </c>
      <c r="L746" s="277">
        <f>ROUND(O69,0)</f>
        <v>10226</v>
      </c>
      <c r="M746" s="277">
        <f>ROUND(O70,0)</f>
        <v>0</v>
      </c>
      <c r="N746" s="277">
        <f>ROUND(O75,0)</f>
        <v>-2268874</v>
      </c>
      <c r="O746" s="277">
        <f>ROUND(O73,0)</f>
        <v>-2117355</v>
      </c>
      <c r="P746" s="277">
        <f>IF(O76&gt;0,ROUND(O76,0),0)</f>
        <v>8865</v>
      </c>
      <c r="Q746" s="277">
        <f>IF(O77&gt;0,ROUND(O77,0),0)</f>
        <v>2742</v>
      </c>
      <c r="R746" s="277">
        <f>IF(O78&gt;0,ROUND(O78,0),0)</f>
        <v>0</v>
      </c>
      <c r="S746" s="277">
        <f>IF(O79&gt;0,ROUND(O79,0),0)</f>
        <v>39286</v>
      </c>
      <c r="T746" s="279">
        <f>IF(O80&gt;0,ROUND(O80,2),0)</f>
        <v>10</v>
      </c>
      <c r="U746" s="277"/>
      <c r="V746" s="278"/>
      <c r="W746" s="277"/>
      <c r="X746" s="277"/>
      <c r="Y746" s="277" t="e">
        <f t="shared" si="21"/>
        <v>#DIV/0!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">
      <c r="A747" s="209" t="str">
        <f>RIGHT($C$83,3)&amp;"*"&amp;RIGHT($C$82,4)&amp;"*"&amp;P$55&amp;"*"&amp;"A"</f>
        <v>199*2021*7020*A</v>
      </c>
      <c r="B747" s="277">
        <f>ROUND(P59,0)</f>
        <v>0</v>
      </c>
      <c r="C747" s="279">
        <f>ROUND(P60,2)</f>
        <v>26.17</v>
      </c>
      <c r="D747" s="277">
        <f>ROUND(P61,0)</f>
        <v>1594533</v>
      </c>
      <c r="E747" s="277">
        <f>ROUND(P62,0)</f>
        <v>566383</v>
      </c>
      <c r="F747" s="277">
        <f>ROUND(P63,0)</f>
        <v>0</v>
      </c>
      <c r="G747" s="277">
        <f>ROUND(P64,0)</f>
        <v>2634291</v>
      </c>
      <c r="H747" s="277">
        <f>ROUND(P65,0)</f>
        <v>29197</v>
      </c>
      <c r="I747" s="277">
        <f>ROUND(P66,0)</f>
        <v>219667</v>
      </c>
      <c r="J747" s="277">
        <f>ROUND(P67,0)</f>
        <v>27011</v>
      </c>
      <c r="K747" s="277">
        <f>ROUND(P68,0)</f>
        <v>352020</v>
      </c>
      <c r="L747" s="277">
        <f>ROUND(P69,0)</f>
        <v>76414</v>
      </c>
      <c r="M747" s="277">
        <f>ROUND(P70,0)</f>
        <v>0</v>
      </c>
      <c r="N747" s="277">
        <f>ROUND(P75,0)</f>
        <v>-47195169</v>
      </c>
      <c r="O747" s="277">
        <f>ROUND(P73,0)</f>
        <v>-3103124</v>
      </c>
      <c r="P747" s="277">
        <f>IF(P76&gt;0,ROUND(P76,0),0)</f>
        <v>2450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0</v>
      </c>
      <c r="T747" s="279">
        <f>IF(P80&gt;0,ROUND(P80,2),0)</f>
        <v>13.33</v>
      </c>
      <c r="U747" s="277"/>
      <c r="V747" s="278"/>
      <c r="W747" s="277"/>
      <c r="X747" s="277"/>
      <c r="Y747" s="277" t="e">
        <f t="shared" si="21"/>
        <v>#DIV/0!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">
      <c r="A748" s="209" t="str">
        <f>RIGHT($C$83,3)&amp;"*"&amp;RIGHT($C$82,4)&amp;"*"&amp;Q$55&amp;"*"&amp;"A"</f>
        <v>199*2021*7030*A</v>
      </c>
      <c r="B748" s="277">
        <f>ROUND(Q59,0)</f>
        <v>0</v>
      </c>
      <c r="C748" s="279">
        <f>ROUND(Q60,2)</f>
        <v>2.37</v>
      </c>
      <c r="D748" s="277">
        <f>ROUND(Q61,0)</f>
        <v>223070</v>
      </c>
      <c r="E748" s="277">
        <f>ROUND(Q62,0)</f>
        <v>74368</v>
      </c>
      <c r="F748" s="277">
        <f>ROUND(Q63,0)</f>
        <v>0</v>
      </c>
      <c r="G748" s="277">
        <f>ROUND(Q64,0)</f>
        <v>44486</v>
      </c>
      <c r="H748" s="277">
        <f>ROUND(Q65,0)</f>
        <v>0</v>
      </c>
      <c r="I748" s="277">
        <f>ROUND(Q66,0)</f>
        <v>1990</v>
      </c>
      <c r="J748" s="277">
        <f>ROUND(Q67,0)</f>
        <v>43052</v>
      </c>
      <c r="K748" s="277">
        <f>ROUND(Q68,0)</f>
        <v>0</v>
      </c>
      <c r="L748" s="277">
        <f>ROUND(Q69,0)</f>
        <v>130</v>
      </c>
      <c r="M748" s="277">
        <f>ROUND(Q70,0)</f>
        <v>0</v>
      </c>
      <c r="N748" s="277">
        <f>ROUND(Q75,0)</f>
        <v>-559540</v>
      </c>
      <c r="O748" s="277">
        <f>ROUND(Q73,0)</f>
        <v>-38041</v>
      </c>
      <c r="P748" s="277">
        <f>IF(Q76&gt;0,ROUND(Q76,0),0)</f>
        <v>3905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2.36</v>
      </c>
      <c r="U748" s="277"/>
      <c r="V748" s="278"/>
      <c r="W748" s="277"/>
      <c r="X748" s="277"/>
      <c r="Y748" s="277" t="e">
        <f t="shared" si="21"/>
        <v>#DIV/0!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">
      <c r="A749" s="209" t="str">
        <f>RIGHT($C$83,3)&amp;"*"&amp;RIGHT($C$82,4)&amp;"*"&amp;R$55&amp;"*"&amp;"A"</f>
        <v>199*2021*7040*A</v>
      </c>
      <c r="B749" s="277">
        <f>ROUND(R59,0)</f>
        <v>0</v>
      </c>
      <c r="C749" s="279">
        <f>ROUND(R60,2)</f>
        <v>0</v>
      </c>
      <c r="D749" s="277">
        <f>ROUND(R61,0)</f>
        <v>0</v>
      </c>
      <c r="E749" s="277">
        <f>ROUND(R62,0)</f>
        <v>0</v>
      </c>
      <c r="F749" s="277">
        <f>ROUND(R63,0)</f>
        <v>-8954</v>
      </c>
      <c r="G749" s="277">
        <f>ROUND(R64,0)</f>
        <v>32781</v>
      </c>
      <c r="H749" s="277">
        <f>ROUND(R65,0)</f>
        <v>0</v>
      </c>
      <c r="I749" s="277">
        <f>ROUND(R66,0)</f>
        <v>272047</v>
      </c>
      <c r="J749" s="277">
        <f>ROUND(R67,0)</f>
        <v>1764</v>
      </c>
      <c r="K749" s="277">
        <f>ROUND(R68,0)</f>
        <v>0</v>
      </c>
      <c r="L749" s="277">
        <f>ROUND(R69,0)</f>
        <v>0</v>
      </c>
      <c r="M749" s="277">
        <f>ROUND(R70,0)</f>
        <v>0</v>
      </c>
      <c r="N749" s="277">
        <f>ROUND(R75,0)</f>
        <v>-615701</v>
      </c>
      <c r="O749" s="277">
        <f>ROUND(R73,0)</f>
        <v>-175530</v>
      </c>
      <c r="P749" s="277">
        <f>IF(R76&gt;0,ROUND(R76,0),0)</f>
        <v>160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 t="e">
        <f t="shared" si="21"/>
        <v>#DIV/0!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">
      <c r="A750" s="209" t="str">
        <f>RIGHT($C$83,3)&amp;"*"&amp;RIGHT($C$82,4)&amp;"*"&amp;S$55&amp;"*"&amp;"A"</f>
        <v>199*2021*7050*A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57041</v>
      </c>
      <c r="H750" s="277">
        <f>ROUND(S65,0)</f>
        <v>0</v>
      </c>
      <c r="I750" s="277">
        <f>ROUND(S66,0)</f>
        <v>0</v>
      </c>
      <c r="J750" s="277">
        <f>ROUND(S67,0)</f>
        <v>0</v>
      </c>
      <c r="K750" s="277">
        <f>ROUND(S68,0)</f>
        <v>0</v>
      </c>
      <c r="L750" s="277">
        <f>ROUND(S69,0)</f>
        <v>0</v>
      </c>
      <c r="M750" s="277">
        <f>ROUND(S70,0)</f>
        <v>0</v>
      </c>
      <c r="N750" s="277">
        <f>ROUND(S75,0)</f>
        <v>-402144</v>
      </c>
      <c r="O750" s="277">
        <f>ROUND(S73,0)</f>
        <v>-189732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 t="e">
        <f t="shared" si="21"/>
        <v>#DIV/0!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">
      <c r="A751" s="209" t="str">
        <f>RIGHT($C$83,3)&amp;"*"&amp;RIGHT($C$82,4)&amp;"*"&amp;T$55&amp;"*"&amp;"A"</f>
        <v>199*2021*7060*A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 t="e">
        <f t="shared" si="21"/>
        <v>#DIV/0!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">
      <c r="A752" s="209" t="str">
        <f>RIGHT($C$83,3)&amp;"*"&amp;RIGHT($C$82,4)&amp;"*"&amp;U$55&amp;"*"&amp;"A"</f>
        <v>199*2021*7070*A</v>
      </c>
      <c r="B752" s="277">
        <f>ROUND(U59,0)</f>
        <v>0</v>
      </c>
      <c r="C752" s="279">
        <f>ROUND(U60,2)</f>
        <v>35.159999999999997</v>
      </c>
      <c r="D752" s="277">
        <f>ROUND(U61,0)</f>
        <v>866789</v>
      </c>
      <c r="E752" s="277">
        <f>ROUND(U62,0)</f>
        <v>236585</v>
      </c>
      <c r="F752" s="277">
        <f>ROUND(U63,0)</f>
        <v>59175</v>
      </c>
      <c r="G752" s="277">
        <f>ROUND(U64,0)</f>
        <v>712700</v>
      </c>
      <c r="H752" s="277">
        <f>ROUND(U65,0)</f>
        <v>0</v>
      </c>
      <c r="I752" s="277">
        <f>ROUND(U66,0)</f>
        <v>483263</v>
      </c>
      <c r="J752" s="277">
        <f>ROUND(U67,0)</f>
        <v>30219</v>
      </c>
      <c r="K752" s="277">
        <f>ROUND(U68,0)</f>
        <v>3120</v>
      </c>
      <c r="L752" s="277">
        <f>ROUND(U69,0)</f>
        <v>71842</v>
      </c>
      <c r="M752" s="277">
        <f>ROUND(U70,0)</f>
        <v>0</v>
      </c>
      <c r="N752" s="277">
        <f>ROUND(U75,0)</f>
        <v>-16035053</v>
      </c>
      <c r="O752" s="277">
        <f>ROUND(U73,0)</f>
        <v>-6238148</v>
      </c>
      <c r="P752" s="277">
        <f>IF(U76&gt;0,ROUND(U76,0),0)</f>
        <v>2741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0</v>
      </c>
      <c r="T752" s="279">
        <f>IF(U80&gt;0,ROUND(U80,2),0)</f>
        <v>4.34</v>
      </c>
      <c r="U752" s="277"/>
      <c r="V752" s="278"/>
      <c r="W752" s="277"/>
      <c r="X752" s="277"/>
      <c r="Y752" s="277" t="e">
        <f t="shared" si="21"/>
        <v>#DIV/0!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">
      <c r="A753" s="209" t="str">
        <f>RIGHT($C$83,3)&amp;"*"&amp;RIGHT($C$82,4)&amp;"*"&amp;V$55&amp;"*"&amp;"A"</f>
        <v>199*2021*7110*A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-2289115</v>
      </c>
      <c r="O753" s="277">
        <f>ROUND(V73,0)</f>
        <v>-440133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 t="e">
        <f t="shared" si="21"/>
        <v>#DIV/0!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">
      <c r="A754" s="209" t="str">
        <f>RIGHT($C$83,3)&amp;"*"&amp;RIGHT($C$82,4)&amp;"*"&amp;W$55&amp;"*"&amp;"A"</f>
        <v>199*2021*7120*A</v>
      </c>
      <c r="B754" s="277">
        <f>ROUND(W59,0)</f>
        <v>0</v>
      </c>
      <c r="C754" s="279">
        <f>ROUND(W60,2)</f>
        <v>0.34</v>
      </c>
      <c r="D754" s="277">
        <f>ROUND(W61,0)</f>
        <v>27757</v>
      </c>
      <c r="E754" s="277">
        <f>ROUND(W62,0)</f>
        <v>11171</v>
      </c>
      <c r="F754" s="277">
        <f>ROUND(W63,0)</f>
        <v>0</v>
      </c>
      <c r="G754" s="277">
        <f>ROUND(W64,0)</f>
        <v>5</v>
      </c>
      <c r="H754" s="277">
        <f>ROUND(W65,0)</f>
        <v>0</v>
      </c>
      <c r="I754" s="277">
        <f>ROUND(W66,0)</f>
        <v>139700</v>
      </c>
      <c r="J754" s="277">
        <f>ROUND(W67,0)</f>
        <v>0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-1606790</v>
      </c>
      <c r="O754" s="277">
        <f>ROUND(W73,0)</f>
        <v>-43721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 t="e">
        <f t="shared" si="21"/>
        <v>#DIV/0!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">
      <c r="A755" s="209" t="str">
        <f>RIGHT($C$83,3)&amp;"*"&amp;RIGHT($C$82,4)&amp;"*"&amp;X$55&amp;"*"&amp;"A"</f>
        <v>199*2021*7130*A</v>
      </c>
      <c r="B755" s="277">
        <f>ROUND(X59,0)</f>
        <v>0</v>
      </c>
      <c r="C755" s="279">
        <f>ROUND(X60,2)</f>
        <v>1.04</v>
      </c>
      <c r="D755" s="277">
        <f>ROUND(X61,0)</f>
        <v>57762</v>
      </c>
      <c r="E755" s="277">
        <f>ROUND(X62,0)</f>
        <v>43109</v>
      </c>
      <c r="F755" s="277">
        <f>ROUND(X63,0)</f>
        <v>0</v>
      </c>
      <c r="G755" s="277">
        <f>ROUND(X64,0)</f>
        <v>32544</v>
      </c>
      <c r="H755" s="277">
        <f>ROUND(X65,0)</f>
        <v>0</v>
      </c>
      <c r="I755" s="277">
        <f>ROUND(X66,0)</f>
        <v>0</v>
      </c>
      <c r="J755" s="277">
        <f>ROUND(X67,0)</f>
        <v>0</v>
      </c>
      <c r="K755" s="277">
        <f>ROUND(X68,0)</f>
        <v>0</v>
      </c>
      <c r="L755" s="277">
        <f>ROUND(X69,0)</f>
        <v>0</v>
      </c>
      <c r="M755" s="277">
        <f>ROUND(X70,0)</f>
        <v>0</v>
      </c>
      <c r="N755" s="277">
        <f>ROUND(X75,0)</f>
        <v>-19428535</v>
      </c>
      <c r="O755" s="277">
        <f>ROUND(X73,0)</f>
        <v>-2727194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 t="e">
        <f t="shared" si="21"/>
        <v>#DIV/0!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">
      <c r="A756" s="209" t="str">
        <f>RIGHT($C$83,3)&amp;"*"&amp;RIGHT($C$82,4)&amp;"*"&amp;Y$55&amp;"*"&amp;"A"</f>
        <v>199*2021*7140*A</v>
      </c>
      <c r="B756" s="277">
        <f>ROUND(Y59,0)</f>
        <v>0</v>
      </c>
      <c r="C756" s="279">
        <f>ROUND(Y60,2)</f>
        <v>24.47</v>
      </c>
      <c r="D756" s="277">
        <f>ROUND(Y61,0)</f>
        <v>903832</v>
      </c>
      <c r="E756" s="277">
        <f>ROUND(Y62,0)</f>
        <v>281413</v>
      </c>
      <c r="F756" s="277">
        <f>ROUND(Y63,0)</f>
        <v>0</v>
      </c>
      <c r="G756" s="277">
        <f>ROUND(Y64,0)</f>
        <v>28608</v>
      </c>
      <c r="H756" s="277">
        <f>ROUND(Y65,0)</f>
        <v>0</v>
      </c>
      <c r="I756" s="277">
        <f>ROUND(Y66,0)</f>
        <v>221750</v>
      </c>
      <c r="J756" s="277">
        <f>ROUND(Y67,0)</f>
        <v>44959</v>
      </c>
      <c r="K756" s="277">
        <f>ROUND(Y68,0)</f>
        <v>0</v>
      </c>
      <c r="L756" s="277">
        <f>ROUND(Y69,0)</f>
        <v>12289</v>
      </c>
      <c r="M756" s="277">
        <f>ROUND(Y70,0)</f>
        <v>0</v>
      </c>
      <c r="N756" s="277">
        <f>ROUND(Y75,0)</f>
        <v>-9799792</v>
      </c>
      <c r="O756" s="277">
        <f>ROUND(Y73,0)</f>
        <v>-905531</v>
      </c>
      <c r="P756" s="277">
        <f>IF(Y76&gt;0,ROUND(Y76,0),0)</f>
        <v>4078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31845</v>
      </c>
      <c r="T756" s="279">
        <f>IF(Y80&gt;0,ROUND(Y80,2),0)</f>
        <v>0</v>
      </c>
      <c r="U756" s="277"/>
      <c r="V756" s="278"/>
      <c r="W756" s="277"/>
      <c r="X756" s="277"/>
      <c r="Y756" s="277" t="e">
        <f t="shared" si="21"/>
        <v>#DIV/0!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">
      <c r="A757" s="209" t="str">
        <f>RIGHT($C$83,3)&amp;"*"&amp;RIGHT($C$82,4)&amp;"*"&amp;Z$55&amp;"*"&amp;"A"</f>
        <v>199*2021*7150*A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 t="e">
        <f t="shared" si="21"/>
        <v>#DIV/0!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">
      <c r="A758" s="209" t="str">
        <f>RIGHT($C$83,3)&amp;"*"&amp;RIGHT($C$82,4)&amp;"*"&amp;AA$55&amp;"*"&amp;"A"</f>
        <v>199*2021*7160*A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0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 t="e">
        <f t="shared" si="21"/>
        <v>#DIV/0!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">
      <c r="A759" s="209" t="str">
        <f>RIGHT($C$83,3)&amp;"*"&amp;RIGHT($C$82,4)&amp;"*"&amp;AB$55&amp;"*"&amp;"A"</f>
        <v>199*2021*7170*A</v>
      </c>
      <c r="B759" s="277"/>
      <c r="C759" s="279">
        <f>ROUND(AB60,2)</f>
        <v>8.4</v>
      </c>
      <c r="D759" s="277">
        <f>ROUND(AB61,0)</f>
        <v>409951</v>
      </c>
      <c r="E759" s="277">
        <f>ROUND(AB62,0)</f>
        <v>110299</v>
      </c>
      <c r="F759" s="277">
        <f>ROUND(AB63,0)</f>
        <v>0</v>
      </c>
      <c r="G759" s="277">
        <f>ROUND(AB64,0)</f>
        <v>666680</v>
      </c>
      <c r="H759" s="277">
        <f>ROUND(AB65,0)</f>
        <v>0</v>
      </c>
      <c r="I759" s="277">
        <f>ROUND(AB66,0)</f>
        <v>64265</v>
      </c>
      <c r="J759" s="277">
        <f>ROUND(AB67,0)</f>
        <v>11708</v>
      </c>
      <c r="K759" s="277">
        <f>ROUND(AB68,0)</f>
        <v>0</v>
      </c>
      <c r="L759" s="277">
        <f>ROUND(AB69,0)</f>
        <v>49393</v>
      </c>
      <c r="M759" s="277">
        <f>ROUND(AB70,0)</f>
        <v>0</v>
      </c>
      <c r="N759" s="277">
        <f>ROUND(AB75,0)</f>
        <v>-9902892</v>
      </c>
      <c r="O759" s="277">
        <f>ROUND(AB73,0)</f>
        <v>-6992588</v>
      </c>
      <c r="P759" s="277">
        <f>IF(AB76&gt;0,ROUND(AB76,0),0)</f>
        <v>1062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 t="e">
        <f t="shared" si="21"/>
        <v>#DIV/0!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">
      <c r="A760" s="209" t="str">
        <f>RIGHT($C$83,3)&amp;"*"&amp;RIGHT($C$82,4)&amp;"*"&amp;AC$55&amp;"*"&amp;"A"</f>
        <v>199*2021*7180*A</v>
      </c>
      <c r="B760" s="277">
        <f>ROUND(AC59,0)</f>
        <v>0</v>
      </c>
      <c r="C760" s="279">
        <f>ROUND(AC60,2)</f>
        <v>4.55</v>
      </c>
      <c r="D760" s="277">
        <f>ROUND(AC61,0)</f>
        <v>121800</v>
      </c>
      <c r="E760" s="277">
        <f>ROUND(AC62,0)</f>
        <v>50562</v>
      </c>
      <c r="F760" s="277">
        <f>ROUND(AC63,0)</f>
        <v>0</v>
      </c>
      <c r="G760" s="277">
        <f>ROUND(AC64,0)</f>
        <v>41237</v>
      </c>
      <c r="H760" s="277">
        <f>ROUND(AC65,0)</f>
        <v>0</v>
      </c>
      <c r="I760" s="277">
        <f>ROUND(AC66,0)</f>
        <v>9140</v>
      </c>
      <c r="J760" s="277">
        <f>ROUND(AC67,0)</f>
        <v>9283</v>
      </c>
      <c r="K760" s="277">
        <f>ROUND(AC68,0)</f>
        <v>15228</v>
      </c>
      <c r="L760" s="277">
        <f>ROUND(AC69,0)</f>
        <v>1526</v>
      </c>
      <c r="M760" s="277">
        <f>ROUND(AC70,0)</f>
        <v>0</v>
      </c>
      <c r="N760" s="277">
        <f>ROUND(AC75,0)</f>
        <v>-3320624</v>
      </c>
      <c r="O760" s="277">
        <f>ROUND(AC73,0)</f>
        <v>-2809210</v>
      </c>
      <c r="P760" s="277">
        <f>IF(AC76&gt;0,ROUND(AC76,0),0)</f>
        <v>842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 t="e">
        <f t="shared" si="21"/>
        <v>#DIV/0!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">
      <c r="A761" s="209" t="str">
        <f>RIGHT($C$83,3)&amp;"*"&amp;RIGHT($C$82,4)&amp;"*"&amp;AD$55&amp;"*"&amp;"A"</f>
        <v>199*2021*7190*A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 t="e">
        <f t="shared" si="21"/>
        <v>#DIV/0!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">
      <c r="A762" s="209" t="str">
        <f>RIGHT($C$83,3)&amp;"*"&amp;RIGHT($C$82,4)&amp;"*"&amp;AE$55&amp;"*"&amp;"A"</f>
        <v>199*2021*7200*A</v>
      </c>
      <c r="B762" s="277">
        <f>ROUND(AE59,0)</f>
        <v>0</v>
      </c>
      <c r="C762" s="279">
        <f>ROUND(AE60,2)</f>
        <v>0.21</v>
      </c>
      <c r="D762" s="277">
        <f>ROUND(AE61,0)</f>
        <v>72130</v>
      </c>
      <c r="E762" s="277">
        <f>ROUND(AE62,0)</f>
        <v>2981</v>
      </c>
      <c r="F762" s="277">
        <f>ROUND(AE63,0)</f>
        <v>-2000</v>
      </c>
      <c r="G762" s="277">
        <f>ROUND(AE64,0)</f>
        <v>403</v>
      </c>
      <c r="H762" s="277">
        <f>ROUND(AE65,0)</f>
        <v>0</v>
      </c>
      <c r="I762" s="277">
        <f>ROUND(AE66,0)</f>
        <v>8878</v>
      </c>
      <c r="J762" s="277">
        <f>ROUND(AE67,0)</f>
        <v>6064</v>
      </c>
      <c r="K762" s="277">
        <f>ROUND(AE68,0)</f>
        <v>0</v>
      </c>
      <c r="L762" s="277">
        <f>ROUND(AE69,0)</f>
        <v>6053</v>
      </c>
      <c r="M762" s="277">
        <f>ROUND(AE70,0)</f>
        <v>0</v>
      </c>
      <c r="N762" s="277">
        <f>ROUND(AE75,0)</f>
        <v>-361378</v>
      </c>
      <c r="O762" s="277">
        <f>ROUND(AE73,0)</f>
        <v>-72318</v>
      </c>
      <c r="P762" s="277">
        <f>IF(AE76&gt;0,ROUND(AE76,0),0)</f>
        <v>550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 t="e">
        <f t="shared" si="21"/>
        <v>#DIV/0!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">
      <c r="A763" s="209" t="str">
        <f>RIGHT($C$83,3)&amp;"*"&amp;RIGHT($C$82,4)&amp;"*"&amp;AF$55&amp;"*"&amp;"A"</f>
        <v>199*2021*7220*A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 t="e">
        <f t="shared" si="21"/>
        <v>#DIV/0!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">
      <c r="A764" s="209" t="str">
        <f>RIGHT($C$83,3)&amp;"*"&amp;RIGHT($C$82,4)&amp;"*"&amp;AG$55&amp;"*"&amp;"A"</f>
        <v>199*2021*7230*A</v>
      </c>
      <c r="B764" s="277">
        <f>ROUND(AG59,0)</f>
        <v>0</v>
      </c>
      <c r="C764" s="279">
        <f>ROUND(AG60,2)</f>
        <v>45.21</v>
      </c>
      <c r="D764" s="277">
        <f>ROUND(AG61,0)</f>
        <v>1748554</v>
      </c>
      <c r="E764" s="277">
        <f>ROUND(AG62,0)</f>
        <v>476945</v>
      </c>
      <c r="F764" s="277">
        <f>ROUND(AG63,0)</f>
        <v>634170</v>
      </c>
      <c r="G764" s="277">
        <f>ROUND(AG64,0)</f>
        <v>289894</v>
      </c>
      <c r="H764" s="277">
        <f>ROUND(AG65,0)</f>
        <v>0</v>
      </c>
      <c r="I764" s="277">
        <f>ROUND(AG66,0)</f>
        <v>2291</v>
      </c>
      <c r="J764" s="277">
        <f>ROUND(AG67,0)</f>
        <v>51001</v>
      </c>
      <c r="K764" s="277">
        <f>ROUND(AG68,0)</f>
        <v>0</v>
      </c>
      <c r="L764" s="277">
        <f>ROUND(AG69,0)</f>
        <v>11416</v>
      </c>
      <c r="M764" s="277">
        <f>ROUND(AG70,0)</f>
        <v>0</v>
      </c>
      <c r="N764" s="277">
        <f>ROUND(AG75,0)</f>
        <v>-24956396</v>
      </c>
      <c r="O764" s="277">
        <f>ROUND(AG73,0)</f>
        <v>-2255333</v>
      </c>
      <c r="P764" s="277">
        <f>IF(AG76&gt;0,ROUND(AG76,0),0)</f>
        <v>4626</v>
      </c>
      <c r="Q764" s="277">
        <f>IF(AG77&gt;0,ROUND(AG77,0),0)</f>
        <v>0</v>
      </c>
      <c r="R764" s="277">
        <f>IF(AG78&gt;0,ROUND(AG78,0),0)</f>
        <v>0</v>
      </c>
      <c r="S764" s="277">
        <f>IF(AG79&gt;0,ROUND(AG79,0),0)</f>
        <v>159223</v>
      </c>
      <c r="T764" s="279">
        <f>IF(AG80&gt;0,ROUND(AG80,2),0)</f>
        <v>2.88</v>
      </c>
      <c r="U764" s="277"/>
      <c r="V764" s="278"/>
      <c r="W764" s="277"/>
      <c r="X764" s="277"/>
      <c r="Y764" s="277" t="e">
        <f t="shared" si="21"/>
        <v>#DIV/0!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">
      <c r="A765" s="209" t="str">
        <f>RIGHT($C$83,3)&amp;"*"&amp;RIGHT($C$82,4)&amp;"*"&amp;AH$55&amp;"*"&amp;"A"</f>
        <v>199*2021*7240*A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 t="e">
        <f t="shared" si="21"/>
        <v>#DIV/0!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">
      <c r="A766" s="209" t="str">
        <f>RIGHT($C$83,3)&amp;"*"&amp;RIGHT($C$82,4)&amp;"*"&amp;AI$55&amp;"*"&amp;"A"</f>
        <v>199*2021*7250*A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 t="e">
        <f t="shared" si="21"/>
        <v>#DIV/0!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">
      <c r="A767" s="209" t="str">
        <f>RIGHT($C$83,3)&amp;"*"&amp;RIGHT($C$82,4)&amp;"*"&amp;AJ$55&amp;"*"&amp;"A"</f>
        <v>199*2021*7260*A</v>
      </c>
      <c r="B767" s="277">
        <f>ROUND(AJ59,0)</f>
        <v>0</v>
      </c>
      <c r="C767" s="279">
        <f>ROUND(AJ60,2)</f>
        <v>85.31</v>
      </c>
      <c r="D767" s="277">
        <f>ROUND(AJ61,0)</f>
        <v>6446165</v>
      </c>
      <c r="E767" s="277">
        <f>ROUND(AJ62,0)</f>
        <v>1337952</v>
      </c>
      <c r="F767" s="277">
        <f>ROUND(AJ63,0)</f>
        <v>74851</v>
      </c>
      <c r="G767" s="277">
        <f>ROUND(AJ64,0)</f>
        <v>343961</v>
      </c>
      <c r="H767" s="277">
        <f>ROUND(AJ65,0)</f>
        <v>67152</v>
      </c>
      <c r="I767" s="277">
        <f>ROUND(AJ66,0)</f>
        <v>172076</v>
      </c>
      <c r="J767" s="277">
        <f>ROUND(AJ67,0)</f>
        <v>0</v>
      </c>
      <c r="K767" s="277">
        <f>ROUND(AJ68,0)</f>
        <v>410403</v>
      </c>
      <c r="L767" s="277">
        <f>ROUND(AJ69,0)</f>
        <v>66724</v>
      </c>
      <c r="M767" s="277">
        <f>ROUND(AJ70,0)</f>
        <v>0</v>
      </c>
      <c r="N767" s="277">
        <f>ROUND(AJ75,0)</f>
        <v>-28444195</v>
      </c>
      <c r="O767" s="277">
        <f>ROUND(AJ73,0)</f>
        <v>-3402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3.1</v>
      </c>
      <c r="U767" s="277"/>
      <c r="V767" s="278"/>
      <c r="W767" s="277"/>
      <c r="X767" s="277"/>
      <c r="Y767" s="277" t="e">
        <f t="shared" si="21"/>
        <v>#DIV/0!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">
      <c r="A768" s="209" t="str">
        <f>RIGHT($C$83,3)&amp;"*"&amp;RIGHT($C$82,4)&amp;"*"&amp;AK$55&amp;"*"&amp;"A"</f>
        <v>199*2021*7310*A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-11705</v>
      </c>
      <c r="O768" s="277">
        <f>ROUND(AK73,0)</f>
        <v>-11427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 t="e">
        <f t="shared" si="21"/>
        <v>#DIV/0!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">
      <c r="A769" s="209" t="str">
        <f>RIGHT($C$83,3)&amp;"*"&amp;RIGHT($C$82,4)&amp;"*"&amp;AL$55&amp;"*"&amp;"A"</f>
        <v>199*2021*7320*A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-23008</v>
      </c>
      <c r="O769" s="277">
        <f>ROUND(AL73,0)</f>
        <v>-21989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 t="e">
        <f t="shared" si="21"/>
        <v>#DIV/0!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">
      <c r="A770" s="209" t="str">
        <f>RIGHT($C$83,3)&amp;"*"&amp;RIGHT($C$82,4)&amp;"*"&amp;AM$55&amp;"*"&amp;"A"</f>
        <v>199*2021*7330*A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 t="e">
        <f t="shared" si="21"/>
        <v>#DIV/0!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">
      <c r="A771" s="209" t="str">
        <f>RIGHT($C$83,3)&amp;"*"&amp;RIGHT($C$82,4)&amp;"*"&amp;AN$55&amp;"*"&amp;"A"</f>
        <v>199*2021*7340*A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 t="e">
        <f t="shared" si="21"/>
        <v>#DIV/0!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">
      <c r="A772" s="209" t="str">
        <f>RIGHT($C$83,3)&amp;"*"&amp;RIGHT($C$82,4)&amp;"*"&amp;AO$55&amp;"*"&amp;"A"</f>
        <v>199*2021*7350*A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-991993</v>
      </c>
      <c r="O772" s="277">
        <f>ROUND(AO73,0)</f>
        <v>-925123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 t="e">
        <f t="shared" si="21"/>
        <v>#DIV/0!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">
      <c r="A773" s="209" t="str">
        <f>RIGHT($C$83,3)&amp;"*"&amp;RIGHT($C$82,4)&amp;"*"&amp;AP$55&amp;"*"&amp;"A"</f>
        <v>199*2021*7380*A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 t="e">
        <f t="shared" si="21"/>
        <v>#DIV/0!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">
      <c r="A774" s="209" t="str">
        <f>RIGHT($C$83,3)&amp;"*"&amp;RIGHT($C$82,4)&amp;"*"&amp;AQ$55&amp;"*"&amp;"A"</f>
        <v>199*2021*7390*A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 t="e">
        <f t="shared" si="21"/>
        <v>#DIV/0!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">
      <c r="A775" s="209" t="str">
        <f>RIGHT($C$83,3)&amp;"*"&amp;RIGHT($C$82,4)&amp;"*"&amp;AR$55&amp;"*"&amp;"A"</f>
        <v>199*2021*7400*A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 t="e">
        <f t="shared" si="21"/>
        <v>#DIV/0!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">
      <c r="A776" s="209" t="str">
        <f>RIGHT($C$83,3)&amp;"*"&amp;RIGHT($C$82,4)&amp;"*"&amp;AS$55&amp;"*"&amp;"A"</f>
        <v>199*2021*7410*A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 t="e">
        <f t="shared" si="21"/>
        <v>#DIV/0!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">
      <c r="A777" s="209" t="str">
        <f>RIGHT($C$83,3)&amp;"*"&amp;RIGHT($C$82,4)&amp;"*"&amp;AT$55&amp;"*"&amp;"A"</f>
        <v>199*2021*7420*A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 t="e">
        <f t="shared" si="21"/>
        <v>#DIV/0!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">
      <c r="A778" s="209" t="str">
        <f>RIGHT($C$83,3)&amp;"*"&amp;RIGHT($C$82,4)&amp;"*"&amp;AU$55&amp;"*"&amp;"A"</f>
        <v>199*2021*7430*A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 t="e">
        <f t="shared" si="21"/>
        <v>#DIV/0!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">
      <c r="A779" s="209" t="str">
        <f>RIGHT($C$83,3)&amp;"*"&amp;RIGHT($C$82,4)&amp;"*"&amp;AV$55&amp;"*"&amp;"A"</f>
        <v>199*2021*7490*A</v>
      </c>
      <c r="B779" s="277"/>
      <c r="C779" s="279">
        <f>ROUND(AV60,2)</f>
        <v>0</v>
      </c>
      <c r="D779" s="277">
        <f>ROUND(AV61,0)</f>
        <v>0</v>
      </c>
      <c r="E779" s="277">
        <f>ROUND(AV62,0)</f>
        <v>0</v>
      </c>
      <c r="F779" s="277">
        <f>ROUND(AV63,0)</f>
        <v>0</v>
      </c>
      <c r="G779" s="277">
        <f>ROUND(AV64,0)</f>
        <v>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0</v>
      </c>
      <c r="M779" s="277">
        <f>ROUND(AV70,0)</f>
        <v>0</v>
      </c>
      <c r="N779" s="277">
        <f>ROUND(AV75,0)</f>
        <v>-203061</v>
      </c>
      <c r="O779" s="277">
        <f>ROUND(AV73,0)</f>
        <v>-8321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 t="e">
        <f t="shared" si="21"/>
        <v>#DIV/0!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">
      <c r="A780" s="209" t="str">
        <f>RIGHT($C$83,3)&amp;"*"&amp;RIGHT($C$82,4)&amp;"*"&amp;AW$55&amp;"*"&amp;"A"</f>
        <v>199*2021*8200*A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">
      <c r="A781" s="209" t="str">
        <f>RIGHT($C$83,3)&amp;"*"&amp;RIGHT($C$82,4)&amp;"*"&amp;AX$55&amp;"*"&amp;"A"</f>
        <v>199*2021*8310*A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">
      <c r="A782" s="209" t="str">
        <f>RIGHT($C$83,3)&amp;"*"&amp;RIGHT($C$82,4)&amp;"*"&amp;AY$55&amp;"*"&amp;"A"</f>
        <v>199*2021*8320*A</v>
      </c>
      <c r="B782" s="277">
        <f>ROUND(AY59,0)</f>
        <v>28547</v>
      </c>
      <c r="C782" s="279">
        <f>ROUND(AY60,2)</f>
        <v>0.2</v>
      </c>
      <c r="D782" s="277">
        <f>ROUND(AY61,0)</f>
        <v>6447</v>
      </c>
      <c r="E782" s="277">
        <f>ROUND(AY62,0)</f>
        <v>771</v>
      </c>
      <c r="F782" s="277">
        <f>ROUND(AY63,0)</f>
        <v>0</v>
      </c>
      <c r="G782" s="277">
        <f>ROUND(AY64,0)</f>
        <v>309886</v>
      </c>
      <c r="H782" s="277">
        <f>ROUND(AY65,0)</f>
        <v>558</v>
      </c>
      <c r="I782" s="277">
        <f>ROUND(AY66,0)</f>
        <v>2420</v>
      </c>
      <c r="J782" s="277">
        <f>ROUND(AY67,0)</f>
        <v>18334</v>
      </c>
      <c r="K782" s="277">
        <f>ROUND(AY68,0)</f>
        <v>510</v>
      </c>
      <c r="L782" s="277">
        <f>ROUND(AY69,0)</f>
        <v>0</v>
      </c>
      <c r="M782" s="277">
        <f>ROUND(AY70,0)</f>
        <v>0</v>
      </c>
      <c r="N782" s="277"/>
      <c r="O782" s="277"/>
      <c r="P782" s="277">
        <f>IF(AY76&gt;0,ROUND(AY76,0),0)</f>
        <v>1663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">
      <c r="A783" s="209" t="str">
        <f>RIGHT($C$83,3)&amp;"*"&amp;RIGHT($C$82,4)&amp;"*"&amp;AZ$55&amp;"*"&amp;"A"</f>
        <v>199*2021*8330*A</v>
      </c>
      <c r="B783" s="277">
        <f>ROUND(AZ59,0)</f>
        <v>0</v>
      </c>
      <c r="C783" s="279">
        <f>ROUND(AZ60,2)</f>
        <v>14.52</v>
      </c>
      <c r="D783" s="277">
        <f>ROUND(AZ61,0)</f>
        <v>275516</v>
      </c>
      <c r="E783" s="277">
        <f>ROUND(AZ62,0)</f>
        <v>112659</v>
      </c>
      <c r="F783" s="277">
        <f>ROUND(AZ63,0)</f>
        <v>0</v>
      </c>
      <c r="G783" s="277">
        <f>ROUND(AZ64,0)</f>
        <v>108</v>
      </c>
      <c r="H783" s="277">
        <f>ROUND(AZ65,0)</f>
        <v>0</v>
      </c>
      <c r="I783" s="277">
        <f>ROUND(AZ66,0)</f>
        <v>-82</v>
      </c>
      <c r="J783" s="277">
        <f>ROUND(AZ67,0)</f>
        <v>0</v>
      </c>
      <c r="K783" s="277">
        <f>ROUND(AZ68,0)</f>
        <v>0</v>
      </c>
      <c r="L783" s="277">
        <f>ROUND(AZ69,0)</f>
        <v>1796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">
      <c r="A784" s="209" t="str">
        <f>RIGHT($C$83,3)&amp;"*"&amp;RIGHT($C$82,4)&amp;"*"&amp;BA$55&amp;"*"&amp;"A"</f>
        <v>199*2021*8350*A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2687</v>
      </c>
      <c r="H784" s="277">
        <f>ROUND(BA65,0)</f>
        <v>0</v>
      </c>
      <c r="I784" s="277">
        <f>ROUND(BA66,0)</f>
        <v>0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">
      <c r="A785" s="209" t="str">
        <f>RIGHT($C$83,3)&amp;"*"&amp;RIGHT($C$82,4)&amp;"*"&amp;BB$55&amp;"*"&amp;"A"</f>
        <v>199*2021*8360*A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">
      <c r="A786" s="209" t="str">
        <f>RIGHT($C$83,3)&amp;"*"&amp;RIGHT($C$82,4)&amp;"*"&amp;BC$55&amp;"*"&amp;"A"</f>
        <v>199*2021*8370*A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">
      <c r="A787" s="209" t="str">
        <f>RIGHT($C$83,3)&amp;"*"&amp;RIGHT($C$82,4)&amp;"*"&amp;BD$55&amp;"*"&amp;"A"</f>
        <v>199*2021*8420*A</v>
      </c>
      <c r="B787" s="277"/>
      <c r="C787" s="279">
        <f>ROUND(BD60,2)</f>
        <v>4.1900000000000004</v>
      </c>
      <c r="D787" s="277">
        <f>ROUND(BD61,0)</f>
        <v>116797</v>
      </c>
      <c r="E787" s="277">
        <f>ROUND(BD62,0)</f>
        <v>42950</v>
      </c>
      <c r="F787" s="277">
        <f>ROUND(BD63,0)</f>
        <v>0</v>
      </c>
      <c r="G787" s="277">
        <f>ROUND(BD64,0)</f>
        <v>-74404</v>
      </c>
      <c r="H787" s="277">
        <f>ROUND(BD65,0)</f>
        <v>0</v>
      </c>
      <c r="I787" s="277">
        <f>ROUND(BD66,0)</f>
        <v>13016</v>
      </c>
      <c r="J787" s="277">
        <f>ROUND(BD67,0)</f>
        <v>23461</v>
      </c>
      <c r="K787" s="277">
        <f>ROUND(BD68,0)</f>
        <v>319</v>
      </c>
      <c r="L787" s="277">
        <f>ROUND(BD69,0)</f>
        <v>9671</v>
      </c>
      <c r="M787" s="277">
        <f>ROUND(BD70,0)</f>
        <v>0</v>
      </c>
      <c r="N787" s="277"/>
      <c r="O787" s="277"/>
      <c r="P787" s="277">
        <f>IF(BD76&gt;0,ROUND(BD76,0),0)</f>
        <v>2128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">
      <c r="A788" s="209" t="str">
        <f>RIGHT($C$83,3)&amp;"*"&amp;RIGHT($C$82,4)&amp;"*"&amp;BE$55&amp;"*"&amp;"A"</f>
        <v>199*2021*8430*A</v>
      </c>
      <c r="B788" s="277">
        <f>ROUND(BE59,0)</f>
        <v>70293</v>
      </c>
      <c r="C788" s="279">
        <f>ROUND(BE60,2)</f>
        <v>0</v>
      </c>
      <c r="D788" s="277">
        <f>ROUND(BE61,0)</f>
        <v>116958</v>
      </c>
      <c r="E788" s="277">
        <f>ROUND(BE62,0)</f>
        <v>50662</v>
      </c>
      <c r="F788" s="277">
        <f>ROUND(BE63,0)</f>
        <v>0</v>
      </c>
      <c r="G788" s="277">
        <f>ROUND(BE64,0)</f>
        <v>33842</v>
      </c>
      <c r="H788" s="277">
        <f>ROUND(BE65,0)</f>
        <v>384141</v>
      </c>
      <c r="I788" s="277">
        <f>ROUND(BE66,0)</f>
        <v>273536</v>
      </c>
      <c r="J788" s="277">
        <f>ROUND(BE67,0)</f>
        <v>34254</v>
      </c>
      <c r="K788" s="277">
        <f>ROUND(BE68,0)</f>
        <v>28192</v>
      </c>
      <c r="L788" s="277">
        <f>ROUND(BE69,0)</f>
        <v>240</v>
      </c>
      <c r="M788" s="277">
        <f>ROUND(BE70,0)</f>
        <v>0</v>
      </c>
      <c r="N788" s="277"/>
      <c r="O788" s="277"/>
      <c r="P788" s="277">
        <f>IF(BE76&gt;0,ROUND(BE76,0),0)</f>
        <v>3107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">
      <c r="A789" s="209" t="str">
        <f>RIGHT($C$83,3)&amp;"*"&amp;RIGHT($C$82,4)&amp;"*"&amp;BF$55&amp;"*"&amp;"A"</f>
        <v>199*2021*8460*A</v>
      </c>
      <c r="B789" s="277"/>
      <c r="C789" s="279">
        <f>ROUND(BF60,2)</f>
        <v>9.34</v>
      </c>
      <c r="D789" s="277">
        <f>ROUND(BF61,0)</f>
        <v>281610</v>
      </c>
      <c r="E789" s="277">
        <f>ROUND(BF62,0)</f>
        <v>110945</v>
      </c>
      <c r="F789" s="277">
        <f>ROUND(BF63,0)</f>
        <v>0</v>
      </c>
      <c r="G789" s="277">
        <f>ROUND(BF64,0)</f>
        <v>75488</v>
      </c>
      <c r="H789" s="277">
        <f>ROUND(BF65,0)</f>
        <v>0</v>
      </c>
      <c r="I789" s="277">
        <f>ROUND(BF66,0)</f>
        <v>128701</v>
      </c>
      <c r="J789" s="277">
        <f>ROUND(BF67,0)</f>
        <v>8798</v>
      </c>
      <c r="K789" s="277">
        <f>ROUND(BF68,0)</f>
        <v>243</v>
      </c>
      <c r="L789" s="277">
        <f>ROUND(BF69,0)</f>
        <v>222</v>
      </c>
      <c r="M789" s="277">
        <f>ROUND(BF70,0)</f>
        <v>0</v>
      </c>
      <c r="N789" s="277"/>
      <c r="O789" s="277"/>
      <c r="P789" s="277">
        <f>IF(BF76&gt;0,ROUND(BF76,0),0)</f>
        <v>798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">
      <c r="A790" s="209" t="str">
        <f>RIGHT($C$83,3)&amp;"*"&amp;RIGHT($C$82,4)&amp;"*"&amp;BG$55&amp;"*"&amp;"A"</f>
        <v>199*2021*8470*A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37660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">
      <c r="A791" s="209" t="str">
        <f>RIGHT($C$83,3)&amp;"*"&amp;RIGHT($C$82,4)&amp;"*"&amp;BH$55&amp;"*"&amp;"A"</f>
        <v>199*2021*8480*A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27611</v>
      </c>
      <c r="H791" s="277">
        <f>ROUND(BH65,0)</f>
        <v>24244</v>
      </c>
      <c r="I791" s="277">
        <f>ROUND(BH66,0)</f>
        <v>191122</v>
      </c>
      <c r="J791" s="277">
        <f>ROUND(BH67,0)</f>
        <v>3087</v>
      </c>
      <c r="K791" s="277">
        <f>ROUND(BH68,0)</f>
        <v>958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280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">
      <c r="A792" s="209" t="str">
        <f>RIGHT($C$83,3)&amp;"*"&amp;RIGHT($C$82,4)&amp;"*"&amp;BI$55&amp;"*"&amp;"A"</f>
        <v>199*2021*8490*A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">
      <c r="A793" s="209" t="str">
        <f>RIGHT($C$83,3)&amp;"*"&amp;RIGHT($C$82,4)&amp;"*"&amp;BJ$55&amp;"*"&amp;"A"</f>
        <v>199*2021*8510*A</v>
      </c>
      <c r="B793" s="277"/>
      <c r="C793" s="279">
        <f>ROUND(BJ60,2)</f>
        <v>0</v>
      </c>
      <c r="D793" s="277">
        <f>ROUND(BJ61,0)</f>
        <v>0</v>
      </c>
      <c r="E793" s="277">
        <f>ROUND(BJ62,0)</f>
        <v>0</v>
      </c>
      <c r="F793" s="277">
        <f>ROUND(BJ63,0)</f>
        <v>0</v>
      </c>
      <c r="G793" s="277">
        <f>ROUND(BJ64,0)</f>
        <v>0</v>
      </c>
      <c r="H793" s="277">
        <f>ROUND(BJ65,0)</f>
        <v>0</v>
      </c>
      <c r="I793" s="277">
        <f>ROUND(BJ66,0)</f>
        <v>0</v>
      </c>
      <c r="J793" s="277">
        <f>ROUND(BJ67,0)</f>
        <v>0</v>
      </c>
      <c r="K793" s="277">
        <f>ROUND(BJ68,0)</f>
        <v>0</v>
      </c>
      <c r="L793" s="277">
        <f>ROUND(BJ69,0)</f>
        <v>0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">
      <c r="A794" s="209" t="str">
        <f>RIGHT($C$83,3)&amp;"*"&amp;RIGHT($C$82,4)&amp;"*"&amp;BK$55&amp;"*"&amp;"A"</f>
        <v>199*2021*8530*A</v>
      </c>
      <c r="B794" s="277"/>
      <c r="C794" s="279">
        <f>ROUND(BK60,2)</f>
        <v>0</v>
      </c>
      <c r="D794" s="277">
        <f>ROUND(BK61,0)</f>
        <v>0</v>
      </c>
      <c r="E794" s="277">
        <f>ROUND(BK62,0)</f>
        <v>0</v>
      </c>
      <c r="F794" s="277">
        <f>ROUND(BK63,0)</f>
        <v>2614</v>
      </c>
      <c r="G794" s="277">
        <f>ROUND(BK64,0)</f>
        <v>15</v>
      </c>
      <c r="H794" s="277">
        <f>ROUND(BK65,0)</f>
        <v>0</v>
      </c>
      <c r="I794" s="277">
        <f>ROUND(BK66,0)</f>
        <v>1673</v>
      </c>
      <c r="J794" s="277">
        <f>ROUND(BK67,0)</f>
        <v>27562</v>
      </c>
      <c r="K794" s="277">
        <f>ROUND(BK68,0)</f>
        <v>0</v>
      </c>
      <c r="L794" s="277">
        <f>ROUND(BK69,0)</f>
        <v>0</v>
      </c>
      <c r="M794" s="277">
        <f>ROUND(BK70,0)</f>
        <v>0</v>
      </c>
      <c r="N794" s="277"/>
      <c r="O794" s="277"/>
      <c r="P794" s="277">
        <f>IF(BK76&gt;0,ROUND(BK76,0),0)</f>
        <v>2500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">
      <c r="A795" s="209" t="str">
        <f>RIGHT($C$83,3)&amp;"*"&amp;RIGHT($C$82,4)&amp;"*"&amp;BL$55&amp;"*"&amp;"A"</f>
        <v>199*2021*8560*A</v>
      </c>
      <c r="B795" s="277"/>
      <c r="C795" s="279">
        <f>ROUND(BL60,2)</f>
        <v>15.4</v>
      </c>
      <c r="D795" s="277">
        <f>ROUND(BL61,0)</f>
        <v>428083</v>
      </c>
      <c r="E795" s="277">
        <f>ROUND(BL62,0)</f>
        <v>140341</v>
      </c>
      <c r="F795" s="277">
        <f>ROUND(BL63,0)</f>
        <v>0</v>
      </c>
      <c r="G795" s="277">
        <f>ROUND(BL64,0)</f>
        <v>9815</v>
      </c>
      <c r="H795" s="277">
        <f>ROUND(BL65,0)</f>
        <v>51</v>
      </c>
      <c r="I795" s="277">
        <f>ROUND(BL66,0)</f>
        <v>0</v>
      </c>
      <c r="J795" s="277">
        <f>ROUND(BL67,0)</f>
        <v>0</v>
      </c>
      <c r="K795" s="277">
        <f>ROUND(BL68,0)</f>
        <v>0</v>
      </c>
      <c r="L795" s="277">
        <f>ROUND(BL69,0)</f>
        <v>389</v>
      </c>
      <c r="M795" s="277">
        <f>ROUND(BL70,0)</f>
        <v>0</v>
      </c>
      <c r="N795" s="277"/>
      <c r="O795" s="277"/>
      <c r="P795" s="277">
        <f>IF(BL76&gt;0,ROUND(BL76,0),0)</f>
        <v>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">
      <c r="A796" s="209" t="str">
        <f>RIGHT($C$83,3)&amp;"*"&amp;RIGHT($C$82,4)&amp;"*"&amp;BM$55&amp;"*"&amp;"A"</f>
        <v>199*2021*8590*A</v>
      </c>
      <c r="B796" s="277"/>
      <c r="C796" s="279">
        <f>ROUND(BM60,2)</f>
        <v>0</v>
      </c>
      <c r="D796" s="277">
        <f>ROUND(BM61,0)</f>
        <v>71080</v>
      </c>
      <c r="E796" s="277">
        <f>ROUND(BM62,0)</f>
        <v>31109</v>
      </c>
      <c r="F796" s="277">
        <f>ROUND(BM63,0)</f>
        <v>17450</v>
      </c>
      <c r="G796" s="277">
        <f>ROUND(BM64,0)</f>
        <v>1023</v>
      </c>
      <c r="H796" s="277">
        <f>ROUND(BM65,0)</f>
        <v>0</v>
      </c>
      <c r="I796" s="277">
        <f>ROUND(BM66,0)</f>
        <v>2800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">
      <c r="A797" s="209" t="str">
        <f>RIGHT($C$83,3)&amp;"*"&amp;RIGHT($C$82,4)&amp;"*"&amp;BN$55&amp;"*"&amp;"A"</f>
        <v>199*2021*8610*A</v>
      </c>
      <c r="B797" s="277"/>
      <c r="C797" s="279">
        <f>ROUND(BN60,2)</f>
        <v>1.22</v>
      </c>
      <c r="D797" s="277">
        <f>ROUND(BN61,0)</f>
        <v>296516</v>
      </c>
      <c r="E797" s="277">
        <f>ROUND(BN62,0)</f>
        <v>1580912</v>
      </c>
      <c r="F797" s="277">
        <f>ROUND(BN63,0)</f>
        <v>19566</v>
      </c>
      <c r="G797" s="277">
        <f>ROUND(BN64,0)</f>
        <v>23190</v>
      </c>
      <c r="H797" s="277">
        <f>ROUND(BN65,0)</f>
        <v>160</v>
      </c>
      <c r="I797" s="277">
        <f>ROUND(BN66,0)</f>
        <v>8083422</v>
      </c>
      <c r="J797" s="277">
        <f>ROUND(BN67,0)</f>
        <v>24178</v>
      </c>
      <c r="K797" s="277">
        <f>ROUND(BN68,0)</f>
        <v>1671</v>
      </c>
      <c r="L797" s="277">
        <f>ROUND(BN69,0)</f>
        <v>824045</v>
      </c>
      <c r="M797" s="277">
        <f>ROUND(BN70,0)</f>
        <v>0</v>
      </c>
      <c r="N797" s="277"/>
      <c r="O797" s="277"/>
      <c r="P797" s="277">
        <f>IF(BN76&gt;0,ROUND(BN76,0),0)</f>
        <v>2193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">
      <c r="A798" s="209" t="str">
        <f>RIGHT($C$83,3)&amp;"*"&amp;RIGHT($C$82,4)&amp;"*"&amp;BO$55&amp;"*"&amp;"A"</f>
        <v>199*2021*8620*A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">
      <c r="A799" s="209" t="str">
        <f>RIGHT($C$83,3)&amp;"*"&amp;RIGHT($C$82,4)&amp;"*"&amp;BP$55&amp;"*"&amp;"A"</f>
        <v>199*2021*8630*A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">
      <c r="A800" s="209" t="str">
        <f>RIGHT($C$83,3)&amp;"*"&amp;RIGHT($C$82,4)&amp;"*"&amp;BQ$55&amp;"*"&amp;"A"</f>
        <v>199*2021*8640*A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">
      <c r="A801" s="209" t="str">
        <f>RIGHT($C$83,3)&amp;"*"&amp;RIGHT($C$82,4)&amp;"*"&amp;BR$55&amp;"*"&amp;"A"</f>
        <v>199*2021*8650*A</v>
      </c>
      <c r="B801" s="277"/>
      <c r="C801" s="279">
        <f>ROUND(BR60,2)</f>
        <v>0</v>
      </c>
      <c r="D801" s="277">
        <f>ROUND(BR61,0)</f>
        <v>29922</v>
      </c>
      <c r="E801" s="277">
        <f>ROUND(BR62,0)</f>
        <v>8940</v>
      </c>
      <c r="F801" s="277">
        <f>ROUND(BR63,0)</f>
        <v>0</v>
      </c>
      <c r="G801" s="277">
        <f>ROUND(BR64,0)</f>
        <v>1812</v>
      </c>
      <c r="H801" s="277">
        <f>ROUND(BR65,0)</f>
        <v>0</v>
      </c>
      <c r="I801" s="277">
        <f>ROUND(BR66,0)</f>
        <v>3124</v>
      </c>
      <c r="J801" s="277">
        <f>ROUND(BR67,0)</f>
        <v>4498</v>
      </c>
      <c r="K801" s="277">
        <f>ROUND(BR68,0)</f>
        <v>0</v>
      </c>
      <c r="L801" s="277">
        <f>ROUND(BR69,0)</f>
        <v>50367</v>
      </c>
      <c r="M801" s="277">
        <f>ROUND(BR70,0)</f>
        <v>0</v>
      </c>
      <c r="N801" s="277"/>
      <c r="O801" s="277"/>
      <c r="P801" s="277">
        <f>IF(BR76&gt;0,ROUND(BR76,0),0)</f>
        <v>408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">
      <c r="A802" s="209" t="str">
        <f>RIGHT($C$83,3)&amp;"*"&amp;RIGHT($C$82,4)&amp;"*"&amp;BS$55&amp;"*"&amp;"A"</f>
        <v>199*2021*8660*A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3307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300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">
      <c r="A803" s="209" t="str">
        <f>RIGHT($C$83,3)&amp;"*"&amp;RIGHT($C$82,4)&amp;"*"&amp;BT$55&amp;"*"&amp;"A"</f>
        <v>199*2021*8670*A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4189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380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">
      <c r="A804" s="209" t="str">
        <f>RIGHT($C$83,3)&amp;"*"&amp;RIGHT($C$82,4)&amp;"*"&amp;BU$55&amp;"*"&amp;"A"</f>
        <v>199*2021*8680*A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">
      <c r="A805" s="209" t="str">
        <f>RIGHT($C$83,3)&amp;"*"&amp;RIGHT($C$82,4)&amp;"*"&amp;BV$55&amp;"*"&amp;"A"</f>
        <v>199*2021*8690*A</v>
      </c>
      <c r="B805" s="277"/>
      <c r="C805" s="279">
        <f>ROUND(BV60,2)</f>
        <v>8.83</v>
      </c>
      <c r="D805" s="277">
        <f>ROUND(BV61,0)</f>
        <v>244034</v>
      </c>
      <c r="E805" s="277">
        <f>ROUND(BV62,0)</f>
        <v>82784</v>
      </c>
      <c r="F805" s="277">
        <f>ROUND(BV63,0)</f>
        <v>0</v>
      </c>
      <c r="G805" s="277">
        <f>ROUND(BV64,0)</f>
        <v>4232</v>
      </c>
      <c r="H805" s="277">
        <f>ROUND(BV65,0)</f>
        <v>0</v>
      </c>
      <c r="I805" s="277">
        <f>ROUND(BV66,0)</f>
        <v>26494</v>
      </c>
      <c r="J805" s="277">
        <f>ROUND(BV67,0)</f>
        <v>14994</v>
      </c>
      <c r="K805" s="277">
        <f>ROUND(BV68,0)</f>
        <v>21382</v>
      </c>
      <c r="L805" s="277">
        <f>ROUND(BV69,0)</f>
        <v>22971</v>
      </c>
      <c r="M805" s="277">
        <f>ROUND(BV70,0)</f>
        <v>0</v>
      </c>
      <c r="N805" s="277"/>
      <c r="O805" s="277"/>
      <c r="P805" s="277">
        <f>IF(BV76&gt;0,ROUND(BV76,0),0)</f>
        <v>1360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">
      <c r="A806" s="209" t="str">
        <f>RIGHT($C$83,3)&amp;"*"&amp;RIGHT($C$82,4)&amp;"*"&amp;BW$55&amp;"*"&amp;"A"</f>
        <v>199*2021*8700*A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0</v>
      </c>
      <c r="G806" s="277">
        <f>ROUND(BW64,0)</f>
        <v>0</v>
      </c>
      <c r="H806" s="277">
        <f>ROUND(BW65,0)</f>
        <v>0</v>
      </c>
      <c r="I806" s="277">
        <f>ROUND(BW66,0)</f>
        <v>0</v>
      </c>
      <c r="J806" s="277">
        <f>ROUND(BW67,0)</f>
        <v>0</v>
      </c>
      <c r="K806" s="277">
        <f>ROUND(BW68,0)</f>
        <v>0</v>
      </c>
      <c r="L806" s="277">
        <f>ROUND(BW69,0)</f>
        <v>0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">
      <c r="A807" s="209" t="str">
        <f>RIGHT($C$83,3)&amp;"*"&amp;RIGHT($C$82,4)&amp;"*"&amp;BX$55&amp;"*"&amp;"A"</f>
        <v>199*2021*8710*A</v>
      </c>
      <c r="B807" s="277"/>
      <c r="C807" s="279">
        <f>ROUND(BX60,2)</f>
        <v>3.4</v>
      </c>
      <c r="D807" s="277">
        <f>ROUND(BX61,0)</f>
        <v>240998</v>
      </c>
      <c r="E807" s="277">
        <f>ROUND(BX62,0)</f>
        <v>41065</v>
      </c>
      <c r="F807" s="277">
        <f>ROUND(BX63,0)</f>
        <v>0</v>
      </c>
      <c r="G807" s="277">
        <f>ROUND(BX64,0)</f>
        <v>944</v>
      </c>
      <c r="H807" s="277">
        <f>ROUND(BX65,0)</f>
        <v>0</v>
      </c>
      <c r="I807" s="277">
        <f>ROUND(BX66,0)</f>
        <v>47396</v>
      </c>
      <c r="J807" s="277">
        <f>ROUND(BX67,0)</f>
        <v>3572</v>
      </c>
      <c r="K807" s="277">
        <f>ROUND(BX68,0)</f>
        <v>0</v>
      </c>
      <c r="L807" s="277">
        <f>ROUND(BX69,0)</f>
        <v>2184</v>
      </c>
      <c r="M807" s="277">
        <f>ROUND(BX70,0)</f>
        <v>0</v>
      </c>
      <c r="N807" s="277"/>
      <c r="O807" s="277"/>
      <c r="P807" s="277">
        <f>IF(BX76&gt;0,ROUND(BX76,0),0)</f>
        <v>324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">
      <c r="A808" s="209" t="str">
        <f>RIGHT($C$83,3)&amp;"*"&amp;RIGHT($C$82,4)&amp;"*"&amp;BY$55&amp;"*"&amp;"A"</f>
        <v>199*2021*8720*A</v>
      </c>
      <c r="B808" s="277"/>
      <c r="C808" s="279">
        <f>ROUND(BY60,2)</f>
        <v>1.84</v>
      </c>
      <c r="D808" s="277">
        <f>ROUND(BY61,0)</f>
        <v>159224</v>
      </c>
      <c r="E808" s="277">
        <f>ROUND(BY62,0)</f>
        <v>58157</v>
      </c>
      <c r="F808" s="277">
        <f>ROUND(BY63,0)</f>
        <v>0</v>
      </c>
      <c r="G808" s="277">
        <f>ROUND(BY64,0)</f>
        <v>28814</v>
      </c>
      <c r="H808" s="277">
        <f>ROUND(BY65,0)</f>
        <v>0</v>
      </c>
      <c r="I808" s="277">
        <f>ROUND(BY66,0)</f>
        <v>84704</v>
      </c>
      <c r="J808" s="277">
        <f>ROUND(BY67,0)</f>
        <v>0</v>
      </c>
      <c r="K808" s="277">
        <f>ROUND(BY68,0)</f>
        <v>0</v>
      </c>
      <c r="L808" s="277">
        <f>ROUND(BY69,0)</f>
        <v>50485</v>
      </c>
      <c r="M808" s="277">
        <f>ROUND(BY70,0)</f>
        <v>0</v>
      </c>
      <c r="N808" s="277"/>
      <c r="O808" s="277"/>
      <c r="P808" s="277">
        <f>IF(BY76&gt;0,ROUND(BY76,0),0)</f>
        <v>0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">
      <c r="A809" s="209" t="str">
        <f>RIGHT($C$83,3)&amp;"*"&amp;RIGHT($C$82,4)&amp;"*"&amp;BZ$55&amp;"*"&amp;"A"</f>
        <v>199*2021*8730*A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">
      <c r="A810" s="209" t="str">
        <f>RIGHT($C$83,3)&amp;"*"&amp;RIGHT($C$82,4)&amp;"*"&amp;CA$55&amp;"*"&amp;"A"</f>
        <v>199*2021*8740*A</v>
      </c>
      <c r="B810" s="277"/>
      <c r="C810" s="279">
        <f>ROUND(CA60,2)</f>
        <v>0</v>
      </c>
      <c r="D810" s="277">
        <f>ROUND(CA61,0)</f>
        <v>0</v>
      </c>
      <c r="E810" s="277">
        <f>ROUND(CA62,0)</f>
        <v>0</v>
      </c>
      <c r="F810" s="277">
        <f>ROUND(CA63,0)</f>
        <v>0</v>
      </c>
      <c r="G810" s="277">
        <f>ROUND(CA64,0)</f>
        <v>323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4430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">
      <c r="A811" s="209" t="str">
        <f>RIGHT($C$83,3)&amp;"*"&amp;RIGHT($C$82,4)&amp;"*"&amp;CB$55&amp;"*"&amp;"A"</f>
        <v>199*2021*8770*A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">
      <c r="A812" s="209" t="str">
        <f>RIGHT($C$83,3)&amp;"*"&amp;RIGHT($C$82,4)&amp;"*"&amp;CC$55&amp;"*"&amp;"A"</f>
        <v>199*2021*8790*A</v>
      </c>
      <c r="B812" s="277"/>
      <c r="C812" s="279">
        <f>ROUND(CC60,2)</f>
        <v>0.94</v>
      </c>
      <c r="D812" s="277">
        <f>ROUND(CC61,0)</f>
        <v>39974</v>
      </c>
      <c r="E812" s="277">
        <f>ROUND(CC62,0)</f>
        <v>-3215188</v>
      </c>
      <c r="F812" s="277">
        <f>ROUND(CC63,0)</f>
        <v>0</v>
      </c>
      <c r="G812" s="277">
        <f>ROUND(CC64,0)</f>
        <v>152270</v>
      </c>
      <c r="H812" s="277">
        <f>ROUND(CC65,0)</f>
        <v>0</v>
      </c>
      <c r="I812" s="277">
        <f>ROUND(CC66,0)</f>
        <v>-9369</v>
      </c>
      <c r="J812" s="277">
        <f>ROUND(CC67,0)</f>
        <v>95453</v>
      </c>
      <c r="K812" s="277">
        <f>ROUND(CC68,0)</f>
        <v>0</v>
      </c>
      <c r="L812" s="277">
        <f>ROUND(CC69,0)</f>
        <v>616375</v>
      </c>
      <c r="M812" s="277">
        <f>ROUND(CC70,0)</f>
        <v>0</v>
      </c>
      <c r="N812" s="277"/>
      <c r="O812" s="277"/>
      <c r="P812" s="277">
        <f>IF(CC76&gt;0,ROUND(CC76,0),0)</f>
        <v>8658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">
      <c r="A813" s="209" t="str">
        <f>RIGHT($C$83,3)&amp;"*"&amp;RIGHT($C$82,4)&amp;"*"&amp;"9000"&amp;"*"&amp;"A"</f>
        <v>199*2021*9000*A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">
      <c r="B815" s="281" t="s">
        <v>1004</v>
      </c>
      <c r="C815" s="282">
        <f t="shared" ref="C815:K815" si="22">SUM(C734:C813)</f>
        <v>360.63999999999993</v>
      </c>
      <c r="D815" s="278">
        <f t="shared" si="22"/>
        <v>19220059</v>
      </c>
      <c r="E815" s="278">
        <f t="shared" si="22"/>
        <v>3684687</v>
      </c>
      <c r="F815" s="278">
        <f t="shared" si="22"/>
        <v>3014214</v>
      </c>
      <c r="G815" s="278">
        <f t="shared" si="22"/>
        <v>5807395</v>
      </c>
      <c r="H815" s="278">
        <f t="shared" si="22"/>
        <v>505503</v>
      </c>
      <c r="I815" s="278">
        <f t="shared" si="22"/>
        <v>10576279</v>
      </c>
      <c r="J815" s="278">
        <f t="shared" si="22"/>
        <v>774968</v>
      </c>
      <c r="K815" s="278">
        <f t="shared" si="22"/>
        <v>836484</v>
      </c>
      <c r="L815" s="278">
        <f>SUM(L734:L813)+SUM(U734:U813)</f>
        <v>1904037</v>
      </c>
      <c r="M815" s="278">
        <f>SUM(M734:M813)+SUM(V734:V813)</f>
        <v>0</v>
      </c>
      <c r="N815" s="278">
        <f t="shared" ref="N815:Y815" si="23">SUM(N734:N813)</f>
        <v>-186132472</v>
      </c>
      <c r="O815" s="278">
        <f t="shared" si="23"/>
        <v>-45997321</v>
      </c>
      <c r="P815" s="278">
        <f t="shared" si="23"/>
        <v>70293</v>
      </c>
      <c r="Q815" s="278">
        <f t="shared" si="23"/>
        <v>28547</v>
      </c>
      <c r="R815" s="278">
        <f t="shared" si="23"/>
        <v>0</v>
      </c>
      <c r="S815" s="278">
        <f t="shared" si="23"/>
        <v>353829</v>
      </c>
      <c r="T815" s="282">
        <f t="shared" si="23"/>
        <v>59.510000000000005</v>
      </c>
      <c r="U815" s="278">
        <f t="shared" si="23"/>
        <v>0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 t="e">
        <f t="shared" si="23"/>
        <v>#DIV/0!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">
      <c r="B816" s="278" t="s">
        <v>1005</v>
      </c>
      <c r="C816" s="282">
        <f>CE60</f>
        <v>360.63999999999993</v>
      </c>
      <c r="D816" s="278">
        <f>CE61</f>
        <v>19220060.899999999</v>
      </c>
      <c r="E816" s="278">
        <f>CE62</f>
        <v>3684687</v>
      </c>
      <c r="F816" s="278">
        <f>CE63</f>
        <v>3014213.5699999994</v>
      </c>
      <c r="G816" s="278">
        <f>CE64</f>
        <v>5807395.4100000011</v>
      </c>
      <c r="H816" s="281">
        <f>CE65</f>
        <v>505502.79</v>
      </c>
      <c r="I816" s="281">
        <f>CE66</f>
        <v>10576282.280000001</v>
      </c>
      <c r="J816" s="281">
        <f>CE67</f>
        <v>774968</v>
      </c>
      <c r="K816" s="281">
        <f>CE68</f>
        <v>836483.16000000015</v>
      </c>
      <c r="L816" s="281">
        <f>CE69</f>
        <v>1904035.36</v>
      </c>
      <c r="M816" s="281">
        <f>CE70</f>
        <v>0</v>
      </c>
      <c r="N816" s="278">
        <f>CE75</f>
        <v>-186132471.29000002</v>
      </c>
      <c r="O816" s="278">
        <f>CE73</f>
        <v>-45997321.969999999</v>
      </c>
      <c r="P816" s="278">
        <f>CE76</f>
        <v>70293</v>
      </c>
      <c r="Q816" s="278">
        <f>CE77</f>
        <v>28547</v>
      </c>
      <c r="R816" s="278">
        <f>CE78</f>
        <v>0</v>
      </c>
      <c r="S816" s="278">
        <f>CE79</f>
        <v>353829</v>
      </c>
      <c r="T816" s="282">
        <f>CE80</f>
        <v>59.510000000000005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13188462.729999999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19220061</v>
      </c>
      <c r="E817" s="180">
        <f>C379</f>
        <v>3684685</v>
      </c>
      <c r="F817" s="180">
        <f>C380</f>
        <v>3014214</v>
      </c>
      <c r="G817" s="241">
        <f>C381</f>
        <v>5807395</v>
      </c>
      <c r="H817" s="241">
        <f>C382</f>
        <v>0</v>
      </c>
      <c r="I817" s="241">
        <f>C383</f>
        <v>10576282</v>
      </c>
      <c r="J817" s="241">
        <f>C384</f>
        <v>774971</v>
      </c>
      <c r="K817" s="241">
        <f>C385</f>
        <v>836483</v>
      </c>
      <c r="L817" s="241">
        <f>C386+C387+C388+C389</f>
        <v>11176799</v>
      </c>
      <c r="M817" s="241">
        <f>C370</f>
        <v>2604627</v>
      </c>
      <c r="N817" s="180">
        <f>D361</f>
        <v>186132473</v>
      </c>
      <c r="O817" s="180">
        <f>C359</f>
        <v>45997323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X47" transitionEvaluation="1" transitionEntry="1" codeName="Sheet10">
    <pageSetUpPr autoPageBreaks="0" fitToPage="1"/>
  </sheetPr>
  <dimension ref="A1:CF816"/>
  <sheetViews>
    <sheetView showGridLines="0" topLeftCell="A37" zoomScaleNormal="100" workbookViewId="0">
      <pane xSplit="2" ySplit="10" topLeftCell="AX47" activePane="bottomRight" state="frozen"/>
      <selection activeCell="A164" sqref="A164"/>
      <selection pane="topRight" activeCell="C164" sqref="C164"/>
      <selection pane="bottomLeft" activeCell="A164" sqref="A164"/>
      <selection pane="bottomRight" activeCell="AY69" sqref="AY69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294" t="s">
        <v>1265</v>
      </c>
      <c r="C16" s="236"/>
    </row>
    <row r="17" spans="1:7" ht="12.75" customHeight="1" x14ac:dyDescent="0.3">
      <c r="A17" s="294" t="s">
        <v>1264</v>
      </c>
      <c r="C17" s="289"/>
      <c r="F17" s="237"/>
    </row>
    <row r="18" spans="1:7" ht="12.75" customHeight="1" x14ac:dyDescent="0.3">
      <c r="A18" s="292"/>
      <c r="C18" s="236"/>
    </row>
    <row r="19" spans="1:7" ht="12.75" customHeight="1" x14ac:dyDescent="0.3">
      <c r="C19" s="236"/>
    </row>
    <row r="20" spans="1:7" ht="12.75" customHeight="1" x14ac:dyDescent="0.3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">
      <c r="A21" s="199"/>
      <c r="C21" s="236"/>
    </row>
    <row r="22" spans="1:7" ht="12.65" customHeight="1" x14ac:dyDescent="0.3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">
      <c r="B23" s="199"/>
      <c r="C23" s="236"/>
    </row>
    <row r="24" spans="1:7" ht="12.65" customHeight="1" x14ac:dyDescent="0.3">
      <c r="A24" s="241" t="s">
        <v>3</v>
      </c>
      <c r="C24" s="236"/>
    </row>
    <row r="25" spans="1:7" ht="12.65" customHeight="1" x14ac:dyDescent="0.3">
      <c r="A25" s="198" t="s">
        <v>1234</v>
      </c>
      <c r="C25" s="236"/>
    </row>
    <row r="26" spans="1:7" ht="12.65" customHeight="1" x14ac:dyDescent="0.3">
      <c r="A26" s="199" t="s">
        <v>4</v>
      </c>
      <c r="C26" s="236"/>
    </row>
    <row r="27" spans="1:7" ht="12.65" customHeight="1" x14ac:dyDescent="0.3">
      <c r="A27" s="198" t="s">
        <v>1235</v>
      </c>
      <c r="C27" s="236"/>
    </row>
    <row r="28" spans="1:7" ht="12.65" customHeight="1" x14ac:dyDescent="0.3">
      <c r="A28" s="199" t="s">
        <v>5</v>
      </c>
      <c r="C28" s="236"/>
    </row>
    <row r="29" spans="1:7" ht="12.65" customHeight="1" x14ac:dyDescent="0.3">
      <c r="A29" s="198"/>
      <c r="C29" s="236"/>
    </row>
    <row r="30" spans="1:7" ht="12.65" customHeight="1" x14ac:dyDescent="0.3">
      <c r="A30" s="180" t="s">
        <v>6</v>
      </c>
      <c r="C30" s="236"/>
    </row>
    <row r="31" spans="1:7" ht="12.65" customHeight="1" x14ac:dyDescent="0.3">
      <c r="A31" s="199" t="s">
        <v>7</v>
      </c>
      <c r="C31" s="236"/>
    </row>
    <row r="32" spans="1:7" ht="12.65" customHeight="1" x14ac:dyDescent="0.3">
      <c r="A32" s="199" t="s">
        <v>8</v>
      </c>
      <c r="C32" s="236"/>
    </row>
    <row r="33" spans="1:84" ht="12.65" customHeight="1" x14ac:dyDescent="0.3">
      <c r="A33" s="198" t="s">
        <v>1236</v>
      </c>
      <c r="C33" s="236"/>
    </row>
    <row r="34" spans="1:84" ht="12.65" customHeight="1" x14ac:dyDescent="0.3">
      <c r="A34" s="199" t="s">
        <v>9</v>
      </c>
      <c r="C34" s="236"/>
    </row>
    <row r="35" spans="1:84" ht="12.65" customHeight="1" x14ac:dyDescent="0.3">
      <c r="A35" s="199"/>
      <c r="C35" s="236"/>
    </row>
    <row r="36" spans="1:84" ht="12.65" customHeight="1" x14ac:dyDescent="0.3">
      <c r="A36" s="198" t="s">
        <v>1237</v>
      </c>
      <c r="C36" s="236"/>
    </row>
    <row r="37" spans="1:84" ht="12.65" customHeight="1" x14ac:dyDescent="0.3">
      <c r="A37" s="199" t="s">
        <v>1229</v>
      </c>
      <c r="C37" s="236"/>
    </row>
    <row r="38" spans="1:84" ht="12" customHeight="1" x14ac:dyDescent="0.3">
      <c r="A38" s="198"/>
      <c r="C38" s="236"/>
    </row>
    <row r="39" spans="1:84" ht="12.65" customHeight="1" x14ac:dyDescent="0.3">
      <c r="A39" s="199"/>
      <c r="C39" s="236"/>
    </row>
    <row r="40" spans="1:84" ht="12" customHeight="1" x14ac:dyDescent="0.3">
      <c r="A40" s="199"/>
      <c r="C40" s="236"/>
    </row>
    <row r="41" spans="1:84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">
      <c r="A43" s="199"/>
      <c r="C43" s="236"/>
      <c r="F43" s="181"/>
    </row>
    <row r="44" spans="1:84" ht="12" customHeight="1" x14ac:dyDescent="0.3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">
      <c r="A47" s="297" t="s">
        <v>204</v>
      </c>
      <c r="B47" s="301"/>
      <c r="C47" s="302">
        <f>265952.58</f>
        <v>265952.58</v>
      </c>
      <c r="D47" s="302"/>
      <c r="E47" s="302">
        <f>-30.11+75200.01+51890.95+173115.33</f>
        <v>300176.18</v>
      </c>
      <c r="F47" s="302"/>
      <c r="G47" s="302"/>
      <c r="H47" s="302">
        <f>603181.27</f>
        <v>603181.27</v>
      </c>
      <c r="I47" s="302"/>
      <c r="J47" s="302"/>
      <c r="K47" s="302"/>
      <c r="L47" s="302"/>
      <c r="M47" s="302"/>
      <c r="N47" s="302"/>
      <c r="O47" s="302">
        <f>1347.74+364716.83</f>
        <v>366064.57</v>
      </c>
      <c r="P47" s="302">
        <f>168285.19+6.08</f>
        <v>168291.27</v>
      </c>
      <c r="Q47" s="302">
        <f>61117.13</f>
        <v>61117.13</v>
      </c>
      <c r="R47" s="302"/>
      <c r="S47" s="302"/>
      <c r="T47" s="302"/>
      <c r="U47" s="302">
        <f>239303.24</f>
        <v>239303.24</v>
      </c>
      <c r="V47" s="302"/>
      <c r="W47" s="302">
        <f>820.04</f>
        <v>820.04</v>
      </c>
      <c r="X47" s="302">
        <f>41690.3</f>
        <v>41690.300000000003</v>
      </c>
      <c r="Y47" s="302">
        <f>133410.59+77526.13</f>
        <v>210936.72</v>
      </c>
      <c r="Z47" s="302"/>
      <c r="AA47" s="302"/>
      <c r="AB47" s="302">
        <f>102190.17</f>
        <v>102190.17</v>
      </c>
      <c r="AC47" s="302">
        <f>112871.63</f>
        <v>112871.63</v>
      </c>
      <c r="AD47" s="302"/>
      <c r="AE47" s="302"/>
      <c r="AF47" s="302"/>
      <c r="AG47" s="302">
        <f>554633.23</f>
        <v>554633.23</v>
      </c>
      <c r="AH47" s="302"/>
      <c r="AI47" s="302"/>
      <c r="AJ47" s="302">
        <f>210388.31+719057.6+162412.93</f>
        <v>1091858.8399999999</v>
      </c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>
        <f>696.28</f>
        <v>696.28</v>
      </c>
      <c r="AZ47" s="302">
        <f>87254.46</f>
        <v>87254.46</v>
      </c>
      <c r="BA47" s="302"/>
      <c r="BB47" s="302"/>
      <c r="BC47" s="302"/>
      <c r="BD47" s="302">
        <f>49695.92</f>
        <v>49695.92</v>
      </c>
      <c r="BE47" s="302">
        <f>48214.72</f>
        <v>48214.720000000001</v>
      </c>
      <c r="BF47" s="302">
        <f>127545.14</f>
        <v>127545.14</v>
      </c>
      <c r="BG47" s="302"/>
      <c r="BH47" s="302">
        <f>145.42+1500.47</f>
        <v>1645.89</v>
      </c>
      <c r="BI47" s="302"/>
      <c r="BJ47" s="302"/>
      <c r="BK47" s="302"/>
      <c r="BL47" s="302">
        <f>147693.29</f>
        <v>147693.29</v>
      </c>
      <c r="BM47" s="302">
        <f>45552.15</f>
        <v>45552.15</v>
      </c>
      <c r="BN47" s="302">
        <f>-2352926.42</f>
        <v>-2352926.42</v>
      </c>
      <c r="BO47" s="302"/>
      <c r="BP47" s="302"/>
      <c r="BQ47" s="302"/>
      <c r="BR47" s="302">
        <f>6418.99</f>
        <v>6418.99</v>
      </c>
      <c r="BS47" s="302"/>
      <c r="BT47" s="302"/>
      <c r="BU47" s="302"/>
      <c r="BV47" s="302">
        <f>87899.89</f>
        <v>87899.89</v>
      </c>
      <c r="BW47" s="302"/>
      <c r="BX47" s="302">
        <f>17272.35+26021.9</f>
        <v>43294.25</v>
      </c>
      <c r="BY47" s="302">
        <f>79813.65</f>
        <v>79813.649999999994</v>
      </c>
      <c r="BZ47" s="302"/>
      <c r="CA47" s="302"/>
      <c r="CB47" s="302"/>
      <c r="CC47" s="302"/>
      <c r="CD47" s="297"/>
      <c r="CE47" s="297">
        <f>SUM(C47:CC47)</f>
        <v>2491885.38</v>
      </c>
      <c r="CF47" s="2"/>
    </row>
    <row r="48" spans="1:84" ht="12.65" customHeight="1" x14ac:dyDescent="0.3">
      <c r="A48" s="297" t="s">
        <v>205</v>
      </c>
      <c r="B48" s="301"/>
      <c r="C48" s="303">
        <f>ROUND(((B48/CE61)*C61),0)</f>
        <v>0</v>
      </c>
      <c r="D48" s="303">
        <f>ROUND(((B48/CE61)*D61),0)</f>
        <v>0</v>
      </c>
      <c r="E48" s="297">
        <f>ROUND(((B48/CE61)*E61),0)</f>
        <v>0</v>
      </c>
      <c r="F48" s="297">
        <f>ROUND(((B48/CE61)*F61),0)</f>
        <v>0</v>
      </c>
      <c r="G48" s="297">
        <f>ROUND(((B48/CE61)*G61),0)</f>
        <v>0</v>
      </c>
      <c r="H48" s="297">
        <f>ROUND(((B48/CE61)*H61),0)</f>
        <v>0</v>
      </c>
      <c r="I48" s="297">
        <f>ROUND(((B48/CE61)*I61),0)</f>
        <v>0</v>
      </c>
      <c r="J48" s="297">
        <f>ROUND(((B48/CE61)*J61),0)</f>
        <v>0</v>
      </c>
      <c r="K48" s="297">
        <f>ROUND(((B48/CE61)*K61),0)</f>
        <v>0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0</v>
      </c>
      <c r="P48" s="297">
        <f>ROUND(((B48/CE61)*P61),0)</f>
        <v>0</v>
      </c>
      <c r="Q48" s="297">
        <f>ROUND(((B48/CE61)*Q61),0)</f>
        <v>0</v>
      </c>
      <c r="R48" s="297">
        <f>ROUND(((B48/CE61)*R61),0)</f>
        <v>0</v>
      </c>
      <c r="S48" s="297">
        <f>ROUND(((B48/CE61)*S61),0)</f>
        <v>0</v>
      </c>
      <c r="T48" s="297">
        <f>ROUND(((B48/CE61)*T61),0)</f>
        <v>0</v>
      </c>
      <c r="U48" s="297">
        <f>ROUND(((B48/CE61)*U61),0)</f>
        <v>0</v>
      </c>
      <c r="V48" s="297">
        <f>ROUND(((B48/CE61)*V61),0)</f>
        <v>0</v>
      </c>
      <c r="W48" s="297">
        <f>ROUND(((B48/CE61)*W61),0)</f>
        <v>0</v>
      </c>
      <c r="X48" s="297">
        <f>ROUND(((B48/CE61)*X61),0)</f>
        <v>0</v>
      </c>
      <c r="Y48" s="297">
        <f>ROUND(((B48/CE61)*Y61),0)</f>
        <v>0</v>
      </c>
      <c r="Z48" s="297">
        <f>ROUND(((B48/CE61)*Z61),0)</f>
        <v>0</v>
      </c>
      <c r="AA48" s="297">
        <f>ROUND(((B48/CE61)*AA61),0)</f>
        <v>0</v>
      </c>
      <c r="AB48" s="297">
        <f>ROUND(((B48/CE61)*AB61),0)</f>
        <v>0</v>
      </c>
      <c r="AC48" s="297">
        <f>ROUND(((B48/CE61)*AC61),0)</f>
        <v>0</v>
      </c>
      <c r="AD48" s="297">
        <f>ROUND(((B48/CE61)*AD61),0)</f>
        <v>0</v>
      </c>
      <c r="AE48" s="297">
        <f>ROUND(((B48/CE61)*AE61),0)</f>
        <v>0</v>
      </c>
      <c r="AF48" s="297">
        <f>ROUND(((B48/CE61)*AF61),0)</f>
        <v>0</v>
      </c>
      <c r="AG48" s="297">
        <f>ROUND(((B48/CE61)*AG61),0)</f>
        <v>0</v>
      </c>
      <c r="AH48" s="297">
        <f>ROUND(((B48/CE61)*AH61),0)</f>
        <v>0</v>
      </c>
      <c r="AI48" s="297">
        <f>ROUND(((B48/CE61)*AI61),0)</f>
        <v>0</v>
      </c>
      <c r="AJ48" s="297">
        <f>ROUND(((B48/CE61)*AJ61),0)</f>
        <v>0</v>
      </c>
      <c r="AK48" s="297">
        <f>ROUND(((B48/CE61)*AK61),0)</f>
        <v>0</v>
      </c>
      <c r="AL48" s="297">
        <f>ROUND(((B48/CE61)*AL61),0)</f>
        <v>0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0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0</v>
      </c>
      <c r="AT48" s="297">
        <f>ROUND(((B48/CE61)*AT61),0)</f>
        <v>0</v>
      </c>
      <c r="AU48" s="297">
        <f>ROUND(((B48/CE61)*AU61),0)</f>
        <v>0</v>
      </c>
      <c r="AV48" s="297">
        <f>ROUND(((B48/CE61)*AV61),0)</f>
        <v>0</v>
      </c>
      <c r="AW48" s="297">
        <f>ROUND(((B48/CE61)*AW61),0)</f>
        <v>0</v>
      </c>
      <c r="AX48" s="297">
        <f>ROUND(((B48/CE61)*AX61),0)</f>
        <v>0</v>
      </c>
      <c r="AY48" s="297">
        <f>ROUND(((B48/CE61)*AY61),0)</f>
        <v>0</v>
      </c>
      <c r="AZ48" s="297">
        <f>ROUND(((B48/CE61)*AZ61),0)</f>
        <v>0</v>
      </c>
      <c r="BA48" s="297">
        <f>ROUND(((B48/CE61)*BA61),0)</f>
        <v>0</v>
      </c>
      <c r="BB48" s="297">
        <f>ROUND(((B48/CE61)*BB61),0)</f>
        <v>0</v>
      </c>
      <c r="BC48" s="297">
        <f>ROUND(((B48/CE61)*BC61),0)</f>
        <v>0</v>
      </c>
      <c r="BD48" s="297">
        <f>ROUND(((B48/CE61)*BD61),0)</f>
        <v>0</v>
      </c>
      <c r="BE48" s="297">
        <f>ROUND(((B48/CE61)*BE61),0)</f>
        <v>0</v>
      </c>
      <c r="BF48" s="297">
        <f>ROUND(((B48/CE61)*BF61),0)</f>
        <v>0</v>
      </c>
      <c r="BG48" s="297">
        <f>ROUND(((B48/CE61)*BG61),0)</f>
        <v>0</v>
      </c>
      <c r="BH48" s="297">
        <f>ROUND(((B48/CE61)*BH61),0)</f>
        <v>0</v>
      </c>
      <c r="BI48" s="297">
        <f>ROUND(((B48/CE61)*BI61),0)</f>
        <v>0</v>
      </c>
      <c r="BJ48" s="297">
        <f>ROUND(((B48/CE61)*BJ61),0)</f>
        <v>0</v>
      </c>
      <c r="BK48" s="297">
        <f>ROUND(((B48/CE61)*BK61),0)</f>
        <v>0</v>
      </c>
      <c r="BL48" s="297">
        <f>ROUND(((B48/CE61)*BL61),0)</f>
        <v>0</v>
      </c>
      <c r="BM48" s="297">
        <f>ROUND(((B48/CE61)*BM61),0)</f>
        <v>0</v>
      </c>
      <c r="BN48" s="297">
        <f>ROUND(((B48/CE61)*BN61),0)</f>
        <v>0</v>
      </c>
      <c r="BO48" s="297">
        <f>ROUND(((B48/CE61)*BO61),0)</f>
        <v>0</v>
      </c>
      <c r="BP48" s="297">
        <f>ROUND(((B48/CE61)*BP61),0)</f>
        <v>0</v>
      </c>
      <c r="BQ48" s="297">
        <f>ROUND(((B48/CE61)*BQ61),0)</f>
        <v>0</v>
      </c>
      <c r="BR48" s="297">
        <f>ROUND(((B48/CE61)*BR61),0)</f>
        <v>0</v>
      </c>
      <c r="BS48" s="297">
        <f>ROUND(((B48/CE61)*BS61),0)</f>
        <v>0</v>
      </c>
      <c r="BT48" s="297">
        <f>ROUND(((B48/CE61)*BT61),0)</f>
        <v>0</v>
      </c>
      <c r="BU48" s="297">
        <f>ROUND(((B48/CE61)*BU61),0)</f>
        <v>0</v>
      </c>
      <c r="BV48" s="297">
        <f>ROUND(((B48/CE61)*BV61),0)</f>
        <v>0</v>
      </c>
      <c r="BW48" s="297">
        <f>ROUND(((B48/CE61)*BW61),0)</f>
        <v>0</v>
      </c>
      <c r="BX48" s="297">
        <f>ROUND(((B48/CE61)*BX61),0)</f>
        <v>0</v>
      </c>
      <c r="BY48" s="297">
        <f>ROUND(((B48/CE61)*BY61),0)</f>
        <v>0</v>
      </c>
      <c r="BZ48" s="297">
        <f>ROUND(((B48/CE61)*BZ61),0)</f>
        <v>0</v>
      </c>
      <c r="CA48" s="297">
        <f>ROUND(((B48/CE61)*CA61),0)</f>
        <v>0</v>
      </c>
      <c r="CB48" s="297">
        <f>ROUND(((B48/CE61)*CB61),0)</f>
        <v>0</v>
      </c>
      <c r="CC48" s="297">
        <f>ROUND(((B48/CE61)*CC61),0)</f>
        <v>0</v>
      </c>
      <c r="CD48" s="297"/>
      <c r="CE48" s="297">
        <f>SUM(C48:CD48)</f>
        <v>0</v>
      </c>
      <c r="CF48" s="2"/>
    </row>
    <row r="49" spans="1:84" ht="12.65" customHeight="1" x14ac:dyDescent="0.3">
      <c r="A49" s="297" t="s">
        <v>206</v>
      </c>
      <c r="B49" s="297">
        <f>B47+B48</f>
        <v>0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">
      <c r="A51" s="304" t="s">
        <v>207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297"/>
      <c r="CE51" s="297">
        <f>SUM(C51:CD51)</f>
        <v>0</v>
      </c>
      <c r="CF51" s="2"/>
    </row>
    <row r="52" spans="1:84" ht="12.65" customHeight="1" x14ac:dyDescent="0.3">
      <c r="A52" s="304" t="s">
        <v>208</v>
      </c>
      <c r="B52" s="302">
        <f>714844.92</f>
        <v>714844.92</v>
      </c>
      <c r="C52" s="297">
        <f>ROUND((B52/(CE76+CF76)*C76),0)</f>
        <v>30509</v>
      </c>
      <c r="D52" s="297">
        <f>ROUND((B52/(CE76+CF76)*D76),0)</f>
        <v>0</v>
      </c>
      <c r="E52" s="297">
        <f>ROUND((B52/(CE76+CF76)*E76),0)</f>
        <v>95014</v>
      </c>
      <c r="F52" s="297">
        <f>ROUND((B52/(CE76+CF76)*F76),0)</f>
        <v>0</v>
      </c>
      <c r="G52" s="297">
        <f>ROUND((B52/(CE76+CF76)*G76),0)</f>
        <v>0</v>
      </c>
      <c r="H52" s="297">
        <f>ROUND((B52/(CE76+CF76)*H76),0)</f>
        <v>39376</v>
      </c>
      <c r="I52" s="297">
        <f>ROUND((B52/(CE76+CF76)*I76),0)</f>
        <v>0</v>
      </c>
      <c r="J52" s="297">
        <f>ROUND((B52/(CE76+CF76)*J76),0)</f>
        <v>7119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90153</v>
      </c>
      <c r="P52" s="297">
        <f>ROUND((B52/(CE76+CF76)*P76),0)</f>
        <v>24915</v>
      </c>
      <c r="Q52" s="297">
        <f>ROUND((B52/(CE76+CF76)*Q76),0)</f>
        <v>39712</v>
      </c>
      <c r="R52" s="297">
        <f>ROUND((B52/(CE76+CF76)*R76),0)</f>
        <v>1627</v>
      </c>
      <c r="S52" s="297">
        <f>ROUND((B52/(CE76+CF76)*S76),0)</f>
        <v>0</v>
      </c>
      <c r="T52" s="297">
        <f>ROUND((B52/(CE76+CF76)*T76),0)</f>
        <v>0</v>
      </c>
      <c r="U52" s="297">
        <f>ROUND((B52/(CE76+CF76)*U76),0)</f>
        <v>27875</v>
      </c>
      <c r="V52" s="297">
        <f>ROUND((B52/(CE76+CF76)*V76),0)</f>
        <v>0</v>
      </c>
      <c r="W52" s="297">
        <f>ROUND((B52/(CE76+CF76)*W76),0)</f>
        <v>0</v>
      </c>
      <c r="X52" s="297">
        <f>ROUND((B52/(CE76+CF76)*X76),0)</f>
        <v>0</v>
      </c>
      <c r="Y52" s="297">
        <f>ROUND((B52/(CE76+CF76)*Y76),0)</f>
        <v>41471</v>
      </c>
      <c r="Z52" s="297">
        <f>ROUND((B52/(CE76+CF76)*Z76),0)</f>
        <v>0</v>
      </c>
      <c r="AA52" s="297">
        <f>ROUND((B52/(CE76+CF76)*AA76),0)</f>
        <v>0</v>
      </c>
      <c r="AB52" s="297">
        <f>ROUND((B52/(CE76+CF76)*AB76),0)</f>
        <v>10800</v>
      </c>
      <c r="AC52" s="297">
        <f>ROUND((B52/(CE76+CF76)*AC76),0)</f>
        <v>8563</v>
      </c>
      <c r="AD52" s="297">
        <f>ROUND((B52/(CE76+CF76)*AD76),0)</f>
        <v>0</v>
      </c>
      <c r="AE52" s="297">
        <f>ROUND((B52/(CE76+CF76)*AE76),0)</f>
        <v>5593</v>
      </c>
      <c r="AF52" s="297">
        <f>ROUND((B52/(CE76+CF76)*AF76),0)</f>
        <v>0</v>
      </c>
      <c r="AG52" s="297">
        <f>ROUND((B52/(CE76+CF76)*AG76),0)</f>
        <v>47044</v>
      </c>
      <c r="AH52" s="297">
        <f>ROUND((B52/(CE76+CF76)*AH76),0)</f>
        <v>0</v>
      </c>
      <c r="AI52" s="297">
        <f>ROUND((B52/(CE76+CF76)*AI76),0)</f>
        <v>0</v>
      </c>
      <c r="AJ52" s="297">
        <f>ROUND((B52/(CE76+CF76)*AJ76),0)</f>
        <v>0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0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0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16912</v>
      </c>
      <c r="AZ52" s="297">
        <f>ROUND((B52/(CE76+CF76)*AZ76),0)</f>
        <v>0</v>
      </c>
      <c r="BA52" s="297">
        <f>ROUND((B52/(CE76+CF76)*BA76),0)</f>
        <v>0</v>
      </c>
      <c r="BB52" s="297">
        <f>ROUND((B52/(CE76+CF76)*BB76),0)</f>
        <v>0</v>
      </c>
      <c r="BC52" s="297">
        <f>ROUND((B52/(CE76+CF76)*BC76),0)</f>
        <v>0</v>
      </c>
      <c r="BD52" s="297">
        <f>ROUND((B52/(CE76+CF76)*BD76),0)</f>
        <v>21641</v>
      </c>
      <c r="BE52" s="297">
        <f>ROUND((B52/(CE76+CF76)*BE76),0)</f>
        <v>31597</v>
      </c>
      <c r="BF52" s="297">
        <f>ROUND((B52/(CE76+CF76)*BF76),0)</f>
        <v>8115</v>
      </c>
      <c r="BG52" s="297">
        <f>ROUND((B52/(CE76+CF76)*BG76),0)</f>
        <v>0</v>
      </c>
      <c r="BH52" s="297">
        <f>ROUND((B52/(CE76+CF76)*BH76),0)</f>
        <v>2847</v>
      </c>
      <c r="BI52" s="297">
        <f>ROUND((B52/(CE76+CF76)*BI76),0)</f>
        <v>0</v>
      </c>
      <c r="BJ52" s="297">
        <f>ROUND((B52/(CE76+CF76)*BJ76),0)</f>
        <v>0</v>
      </c>
      <c r="BK52" s="297">
        <f>ROUND((B52/(CE76+CF76)*BK76),0)</f>
        <v>25424</v>
      </c>
      <c r="BL52" s="297">
        <f>ROUND((B52/(CE76+CF76)*BL76),0)</f>
        <v>0</v>
      </c>
      <c r="BM52" s="297">
        <f>ROUND((B52/(CE76+CF76)*BM76),0)</f>
        <v>0</v>
      </c>
      <c r="BN52" s="297">
        <f>ROUND((B52/(CE76+CF76)*BN76),0)</f>
        <v>22302</v>
      </c>
      <c r="BO52" s="297">
        <f>ROUND((B52/(CE76+CF76)*BO76),0)</f>
        <v>0</v>
      </c>
      <c r="BP52" s="297">
        <f>ROUND((B52/(CE76+CF76)*BP76),0)</f>
        <v>0</v>
      </c>
      <c r="BQ52" s="297">
        <f>ROUND((B52/(CE76+CF76)*BQ76),0)</f>
        <v>0</v>
      </c>
      <c r="BR52" s="297">
        <f>ROUND((B52/(CE76+CF76)*BR76),0)</f>
        <v>4149</v>
      </c>
      <c r="BS52" s="297">
        <f>ROUND((B52/(CE76+CF76)*BS76),0)</f>
        <v>3051</v>
      </c>
      <c r="BT52" s="297">
        <f>ROUND((B52/(CE76+CF76)*BT76),0)</f>
        <v>3864</v>
      </c>
      <c r="BU52" s="297">
        <f>ROUND((B52/(CE76+CF76)*BU76),0)</f>
        <v>0</v>
      </c>
      <c r="BV52" s="297">
        <f>ROUND((B52/(CE76+CF76)*BV76),0)</f>
        <v>13831</v>
      </c>
      <c r="BW52" s="297">
        <f>ROUND((B52/(CE76+CF76)*BW76),0)</f>
        <v>0</v>
      </c>
      <c r="BX52" s="297">
        <f>ROUND((B52/(CE76+CF76)*BX76),0)</f>
        <v>3295</v>
      </c>
      <c r="BY52" s="297">
        <f>ROUND((B52/(CE76+CF76)*BY76),0)</f>
        <v>0</v>
      </c>
      <c r="BZ52" s="297">
        <f>ROUND((B52/(CE76+CF76)*BZ76),0)</f>
        <v>0</v>
      </c>
      <c r="CA52" s="297">
        <f>ROUND((B52/(CE76+CF76)*CA76),0)</f>
        <v>0</v>
      </c>
      <c r="CB52" s="297">
        <f>ROUND((B52/(CE76+CF76)*CB76),0)</f>
        <v>0</v>
      </c>
      <c r="CC52" s="297">
        <f>ROUND((B52/(CE76+CF76)*CC76),0)</f>
        <v>88048</v>
      </c>
      <c r="CD52" s="297"/>
      <c r="CE52" s="297">
        <f>SUM(C52:CD52)</f>
        <v>714847</v>
      </c>
      <c r="CF52" s="2"/>
    </row>
    <row r="53" spans="1:84" ht="12.65" customHeight="1" x14ac:dyDescent="0.3">
      <c r="A53" s="297" t="s">
        <v>206</v>
      </c>
      <c r="B53" s="297">
        <f>B51+B52</f>
        <v>714844.92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">
      <c r="A55" s="304" t="s">
        <v>209</v>
      </c>
      <c r="B55" s="297"/>
      <c r="C55" s="306" t="s">
        <v>1268</v>
      </c>
      <c r="D55" s="299" t="s">
        <v>11</v>
      </c>
      <c r="E55" s="300" t="s">
        <v>1269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7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8" t="s">
        <v>221</v>
      </c>
      <c r="T58" s="308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8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8" t="s">
        <v>221</v>
      </c>
      <c r="AW58" s="308" t="s">
        <v>221</v>
      </c>
      <c r="AX58" s="308" t="s">
        <v>221</v>
      </c>
      <c r="AY58" s="299" t="s">
        <v>231</v>
      </c>
      <c r="AZ58" s="299" t="s">
        <v>231</v>
      </c>
      <c r="BA58" s="308" t="s">
        <v>221</v>
      </c>
      <c r="BB58" s="308" t="s">
        <v>221</v>
      </c>
      <c r="BC58" s="308" t="s">
        <v>221</v>
      </c>
      <c r="BD58" s="308" t="s">
        <v>221</v>
      </c>
      <c r="BE58" s="299" t="s">
        <v>232</v>
      </c>
      <c r="BF58" s="308" t="s">
        <v>221</v>
      </c>
      <c r="BG58" s="308" t="s">
        <v>221</v>
      </c>
      <c r="BH58" s="308" t="s">
        <v>221</v>
      </c>
      <c r="BI58" s="308" t="s">
        <v>221</v>
      </c>
      <c r="BJ58" s="308" t="s">
        <v>221</v>
      </c>
      <c r="BK58" s="308" t="s">
        <v>221</v>
      </c>
      <c r="BL58" s="308" t="s">
        <v>221</v>
      </c>
      <c r="BM58" s="308" t="s">
        <v>221</v>
      </c>
      <c r="BN58" s="308" t="s">
        <v>221</v>
      </c>
      <c r="BO58" s="308" t="s">
        <v>221</v>
      </c>
      <c r="BP58" s="308" t="s">
        <v>221</v>
      </c>
      <c r="BQ58" s="308" t="s">
        <v>221</v>
      </c>
      <c r="BR58" s="308" t="s">
        <v>221</v>
      </c>
      <c r="BS58" s="308" t="s">
        <v>221</v>
      </c>
      <c r="BT58" s="308" t="s">
        <v>221</v>
      </c>
      <c r="BU58" s="308" t="s">
        <v>221</v>
      </c>
      <c r="BV58" s="308" t="s">
        <v>221</v>
      </c>
      <c r="BW58" s="308" t="s">
        <v>221</v>
      </c>
      <c r="BX58" s="308" t="s">
        <v>221</v>
      </c>
      <c r="BY58" s="308" t="s">
        <v>221</v>
      </c>
      <c r="BZ58" s="308" t="s">
        <v>221</v>
      </c>
      <c r="CA58" s="308" t="s">
        <v>221</v>
      </c>
      <c r="CB58" s="308" t="s">
        <v>221</v>
      </c>
      <c r="CC58" s="308" t="s">
        <v>221</v>
      </c>
      <c r="CD58" s="308" t="s">
        <v>221</v>
      </c>
      <c r="CE58" s="308" t="s">
        <v>221</v>
      </c>
      <c r="CF58" s="2"/>
    </row>
    <row r="59" spans="1:84" ht="12.65" customHeight="1" x14ac:dyDescent="0.3">
      <c r="A59" s="304" t="s">
        <v>233</v>
      </c>
      <c r="B59" s="297"/>
      <c r="C59" s="302">
        <f>220</f>
        <v>220</v>
      </c>
      <c r="D59" s="302"/>
      <c r="E59" s="302">
        <f>2954</f>
        <v>2954</v>
      </c>
      <c r="F59" s="302"/>
      <c r="G59" s="302"/>
      <c r="H59" s="302">
        <f>3571</f>
        <v>3571</v>
      </c>
      <c r="I59" s="302"/>
      <c r="J59" s="302">
        <f>980</f>
        <v>980</v>
      </c>
      <c r="K59" s="302"/>
      <c r="L59" s="302"/>
      <c r="M59" s="302"/>
      <c r="N59" s="302"/>
      <c r="O59" s="302">
        <f>739</f>
        <v>739</v>
      </c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29347</v>
      </c>
      <c r="AZ59" s="185"/>
      <c r="BA59" s="249"/>
      <c r="BB59" s="249"/>
      <c r="BC59" s="249"/>
      <c r="BD59" s="249"/>
      <c r="BE59" s="185">
        <v>70293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8"/>
      <c r="CE59" s="297"/>
      <c r="CF59" s="2"/>
    </row>
    <row r="60" spans="1:84" ht="12.65" customHeight="1" x14ac:dyDescent="0.3">
      <c r="A60" s="309" t="s">
        <v>234</v>
      </c>
      <c r="B60" s="297"/>
      <c r="C60" s="186">
        <f>11.33</f>
        <v>11.33</v>
      </c>
      <c r="D60" s="187"/>
      <c r="E60" s="187">
        <f>3.98+10.55+1.98</f>
        <v>16.510000000000002</v>
      </c>
      <c r="F60" s="223"/>
      <c r="G60" s="187"/>
      <c r="H60" s="187">
        <f>32.97</f>
        <v>32.97</v>
      </c>
      <c r="I60" s="187"/>
      <c r="J60" s="223"/>
      <c r="K60" s="187"/>
      <c r="L60" s="187"/>
      <c r="M60" s="187"/>
      <c r="N60" s="187"/>
      <c r="O60" s="187">
        <f>0.89+13.89</f>
        <v>14.780000000000001</v>
      </c>
      <c r="P60" s="221">
        <f>8.17+7.62</f>
        <v>15.79</v>
      </c>
      <c r="Q60" s="221">
        <f>2.02</f>
        <v>2.02</v>
      </c>
      <c r="R60" s="221"/>
      <c r="S60" s="221"/>
      <c r="T60" s="221"/>
      <c r="U60" s="221">
        <f>11.72</f>
        <v>11.72</v>
      </c>
      <c r="V60" s="221"/>
      <c r="W60" s="221">
        <f>0.27</f>
        <v>0.27</v>
      </c>
      <c r="X60" s="221">
        <f>0.94</f>
        <v>0.94</v>
      </c>
      <c r="Y60" s="221">
        <f>7.09+2.66</f>
        <v>9.75</v>
      </c>
      <c r="Z60" s="221"/>
      <c r="AA60" s="221"/>
      <c r="AB60" s="221">
        <f>3.85</f>
        <v>3.85</v>
      </c>
      <c r="AC60" s="221">
        <f>5.07</f>
        <v>5.07</v>
      </c>
      <c r="AD60" s="221"/>
      <c r="AE60" s="221"/>
      <c r="AF60" s="221"/>
      <c r="AG60" s="221">
        <f>24.86</f>
        <v>24.86</v>
      </c>
      <c r="AH60" s="221"/>
      <c r="AI60" s="221"/>
      <c r="AJ60" s="221">
        <f>8.33+22.47+5.37+3.29</f>
        <v>39.459999999999994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f>0.7</f>
        <v>0.7</v>
      </c>
      <c r="AZ60" s="221">
        <f>7.04</f>
        <v>7.04</v>
      </c>
      <c r="BA60" s="221"/>
      <c r="BB60" s="221"/>
      <c r="BC60" s="221"/>
      <c r="BD60" s="221">
        <v>3.56</v>
      </c>
      <c r="BE60" s="221">
        <f>2.18</f>
        <v>2.1800000000000002</v>
      </c>
      <c r="BF60" s="221">
        <f>7.29</f>
        <v>7.29</v>
      </c>
      <c r="BG60" s="221"/>
      <c r="BH60" s="221">
        <v>0.23</v>
      </c>
      <c r="BI60" s="221"/>
      <c r="BJ60" s="221"/>
      <c r="BK60" s="221"/>
      <c r="BL60" s="221">
        <f>11.15</f>
        <v>11.15</v>
      </c>
      <c r="BM60" s="221">
        <f>1.05</f>
        <v>1.05</v>
      </c>
      <c r="BN60" s="221">
        <f>1.16</f>
        <v>1.1599999999999999</v>
      </c>
      <c r="BO60" s="221"/>
      <c r="BP60" s="221"/>
      <c r="BQ60" s="221"/>
      <c r="BR60" s="221">
        <f>0.73</f>
        <v>0.73</v>
      </c>
      <c r="BS60" s="221"/>
      <c r="BT60" s="221"/>
      <c r="BU60" s="221"/>
      <c r="BV60" s="221">
        <f>4.98</f>
        <v>4.9800000000000004</v>
      </c>
      <c r="BW60" s="221"/>
      <c r="BX60" s="221">
        <f>1.13+1.13</f>
        <v>2.2599999999999998</v>
      </c>
      <c r="BY60" s="221">
        <f>3.24</f>
        <v>3.24</v>
      </c>
      <c r="BZ60" s="221"/>
      <c r="CA60" s="221"/>
      <c r="CB60" s="221"/>
      <c r="CC60" s="221"/>
      <c r="CD60" s="308" t="s">
        <v>221</v>
      </c>
      <c r="CE60" s="310">
        <f t="shared" ref="CE60:CE70" si="0">SUM(C60:CD60)</f>
        <v>234.8899999999999</v>
      </c>
      <c r="CF60" s="2"/>
    </row>
    <row r="61" spans="1:84" ht="12.65" customHeight="1" x14ac:dyDescent="0.3">
      <c r="A61" s="304" t="s">
        <v>235</v>
      </c>
      <c r="B61" s="297"/>
      <c r="C61" s="302">
        <f>854951.45</f>
        <v>854951.45</v>
      </c>
      <c r="D61" s="302"/>
      <c r="E61" s="302">
        <f>-106.74+344380.65+633391.14</f>
        <v>977665.05</v>
      </c>
      <c r="F61" s="185"/>
      <c r="G61" s="302"/>
      <c r="H61" s="302">
        <f>1720066.2</f>
        <v>1720066.2</v>
      </c>
      <c r="I61" s="185"/>
      <c r="J61" s="185"/>
      <c r="K61" s="185"/>
      <c r="L61" s="185"/>
      <c r="M61" s="302"/>
      <c r="N61" s="302"/>
      <c r="O61" s="302">
        <f>1585.53+1406001.81</f>
        <v>1407587.34</v>
      </c>
      <c r="P61" s="185">
        <f>504280.98</f>
        <v>504280.98</v>
      </c>
      <c r="Q61" s="185">
        <f>189666.56</f>
        <v>189666.56</v>
      </c>
      <c r="R61" s="185"/>
      <c r="S61" s="185"/>
      <c r="T61" s="185"/>
      <c r="U61" s="185">
        <f>628360.64</f>
        <v>628360.64</v>
      </c>
      <c r="V61" s="185"/>
      <c r="W61" s="185">
        <f>2701.58</f>
        <v>2701.58</v>
      </c>
      <c r="X61" s="185">
        <f>58233.46</f>
        <v>58233.46</v>
      </c>
      <c r="Y61" s="185">
        <f>504850.97+227708.76</f>
        <v>732559.73</v>
      </c>
      <c r="Z61" s="185"/>
      <c r="AA61" s="185"/>
      <c r="AB61" s="185">
        <f>324477.51</f>
        <v>324477.51</v>
      </c>
      <c r="AC61" s="185">
        <f>333311.51</f>
        <v>333311.51</v>
      </c>
      <c r="AD61" s="185"/>
      <c r="AE61" s="185"/>
      <c r="AF61" s="185"/>
      <c r="AG61" s="185">
        <f>1711350.88</f>
        <v>1711350.88</v>
      </c>
      <c r="AH61" s="185"/>
      <c r="AI61" s="185"/>
      <c r="AJ61" s="185">
        <f>880338.04+2415304.12+831175.4</f>
        <v>4126817.56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5936.24</f>
        <v>5936.24</v>
      </c>
      <c r="AZ61" s="185">
        <f>233250.48</f>
        <v>233250.48</v>
      </c>
      <c r="BA61" s="185"/>
      <c r="BB61" s="185"/>
      <c r="BC61" s="185"/>
      <c r="BD61" s="185">
        <f>134049.06</f>
        <v>134049.06</v>
      </c>
      <c r="BE61" s="185">
        <f>107877.99</f>
        <v>107877.99</v>
      </c>
      <c r="BF61" s="185">
        <f>230725.08</f>
        <v>230725.08</v>
      </c>
      <c r="BG61" s="185"/>
      <c r="BH61" s="185">
        <f>15901.75</f>
        <v>15901.75</v>
      </c>
      <c r="BI61" s="185"/>
      <c r="BJ61" s="185"/>
      <c r="BK61" s="185"/>
      <c r="BL61" s="185">
        <f>398521.96</f>
        <v>398521.96</v>
      </c>
      <c r="BM61" s="185">
        <f>52985.16</f>
        <v>52985.16</v>
      </c>
      <c r="BN61" s="185">
        <f>59044.67</f>
        <v>59044.67</v>
      </c>
      <c r="BO61" s="185"/>
      <c r="BP61" s="185"/>
      <c r="BQ61" s="185"/>
      <c r="BR61" s="185">
        <f>23224.28</f>
        <v>23224.28</v>
      </c>
      <c r="BS61" s="185"/>
      <c r="BT61" s="185"/>
      <c r="BU61" s="185"/>
      <c r="BV61" s="185">
        <f>253532.68</f>
        <v>253532.68</v>
      </c>
      <c r="BW61" s="185"/>
      <c r="BX61" s="185">
        <f>86978.71+99563.32</f>
        <v>186542.03000000003</v>
      </c>
      <c r="BY61" s="185">
        <f>287289.52</f>
        <v>287289.52</v>
      </c>
      <c r="BZ61" s="185"/>
      <c r="CA61" s="185"/>
      <c r="CB61" s="185"/>
      <c r="CC61" s="185"/>
      <c r="CD61" s="308" t="s">
        <v>221</v>
      </c>
      <c r="CE61" s="297">
        <f t="shared" si="0"/>
        <v>15560911.349999998</v>
      </c>
      <c r="CF61" s="2"/>
    </row>
    <row r="62" spans="1:84" ht="12.65" customHeight="1" x14ac:dyDescent="0.3">
      <c r="A62" s="304" t="s">
        <v>3</v>
      </c>
      <c r="B62" s="297"/>
      <c r="C62" s="297">
        <f t="shared" ref="C62:BN62" si="1">ROUND(C47+C48,0)</f>
        <v>265953</v>
      </c>
      <c r="D62" s="297">
        <f t="shared" si="1"/>
        <v>0</v>
      </c>
      <c r="E62" s="297">
        <f t="shared" si="1"/>
        <v>300176</v>
      </c>
      <c r="F62" s="297">
        <f t="shared" si="1"/>
        <v>0</v>
      </c>
      <c r="G62" s="297">
        <f t="shared" si="1"/>
        <v>0</v>
      </c>
      <c r="H62" s="297">
        <f t="shared" si="1"/>
        <v>603181</v>
      </c>
      <c r="I62" s="297">
        <f t="shared" si="1"/>
        <v>0</v>
      </c>
      <c r="J62" s="297">
        <f>ROUND(J47+J48,0)</f>
        <v>0</v>
      </c>
      <c r="K62" s="297">
        <f t="shared" si="1"/>
        <v>0</v>
      </c>
      <c r="L62" s="297">
        <f t="shared" si="1"/>
        <v>0</v>
      </c>
      <c r="M62" s="297">
        <f t="shared" si="1"/>
        <v>0</v>
      </c>
      <c r="N62" s="297">
        <f t="shared" si="1"/>
        <v>0</v>
      </c>
      <c r="O62" s="297">
        <f t="shared" si="1"/>
        <v>366065</v>
      </c>
      <c r="P62" s="297">
        <f t="shared" si="1"/>
        <v>168291</v>
      </c>
      <c r="Q62" s="297">
        <f t="shared" si="1"/>
        <v>61117</v>
      </c>
      <c r="R62" s="297">
        <f t="shared" si="1"/>
        <v>0</v>
      </c>
      <c r="S62" s="297">
        <f t="shared" si="1"/>
        <v>0</v>
      </c>
      <c r="T62" s="297">
        <f t="shared" si="1"/>
        <v>0</v>
      </c>
      <c r="U62" s="297">
        <f t="shared" si="1"/>
        <v>239303</v>
      </c>
      <c r="V62" s="297">
        <f t="shared" si="1"/>
        <v>0</v>
      </c>
      <c r="W62" s="297">
        <f t="shared" si="1"/>
        <v>820</v>
      </c>
      <c r="X62" s="297">
        <f t="shared" si="1"/>
        <v>41690</v>
      </c>
      <c r="Y62" s="297">
        <f t="shared" si="1"/>
        <v>210937</v>
      </c>
      <c r="Z62" s="297">
        <f t="shared" si="1"/>
        <v>0</v>
      </c>
      <c r="AA62" s="297">
        <f t="shared" si="1"/>
        <v>0</v>
      </c>
      <c r="AB62" s="297">
        <f t="shared" si="1"/>
        <v>102190</v>
      </c>
      <c r="AC62" s="297">
        <f t="shared" si="1"/>
        <v>112872</v>
      </c>
      <c r="AD62" s="297">
        <f t="shared" si="1"/>
        <v>0</v>
      </c>
      <c r="AE62" s="297">
        <f t="shared" si="1"/>
        <v>0</v>
      </c>
      <c r="AF62" s="297">
        <f t="shared" si="1"/>
        <v>0</v>
      </c>
      <c r="AG62" s="297">
        <f t="shared" si="1"/>
        <v>554633</v>
      </c>
      <c r="AH62" s="297">
        <f t="shared" si="1"/>
        <v>0</v>
      </c>
      <c r="AI62" s="297">
        <f t="shared" si="1"/>
        <v>0</v>
      </c>
      <c r="AJ62" s="297">
        <f t="shared" si="1"/>
        <v>1091859</v>
      </c>
      <c r="AK62" s="297">
        <f t="shared" si="1"/>
        <v>0</v>
      </c>
      <c r="AL62" s="297">
        <f t="shared" si="1"/>
        <v>0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0</v>
      </c>
      <c r="AQ62" s="297">
        <f t="shared" si="1"/>
        <v>0</v>
      </c>
      <c r="AR62" s="297">
        <f t="shared" si="1"/>
        <v>0</v>
      </c>
      <c r="AS62" s="297">
        <f t="shared" si="1"/>
        <v>0</v>
      </c>
      <c r="AT62" s="297">
        <f t="shared" si="1"/>
        <v>0</v>
      </c>
      <c r="AU62" s="297">
        <f t="shared" si="1"/>
        <v>0</v>
      </c>
      <c r="AV62" s="297">
        <f t="shared" si="1"/>
        <v>0</v>
      </c>
      <c r="AW62" s="297">
        <f t="shared" si="1"/>
        <v>0</v>
      </c>
      <c r="AX62" s="297">
        <f t="shared" si="1"/>
        <v>0</v>
      </c>
      <c r="AY62" s="297">
        <f>ROUND(AY47+AY48,0)</f>
        <v>696</v>
      </c>
      <c r="AZ62" s="297">
        <f>ROUND(AZ47+AZ48,0)</f>
        <v>87254</v>
      </c>
      <c r="BA62" s="297">
        <f>ROUND(BA47+BA48,0)</f>
        <v>0</v>
      </c>
      <c r="BB62" s="297">
        <f t="shared" si="1"/>
        <v>0</v>
      </c>
      <c r="BC62" s="297">
        <f t="shared" si="1"/>
        <v>0</v>
      </c>
      <c r="BD62" s="297">
        <f t="shared" si="1"/>
        <v>49696</v>
      </c>
      <c r="BE62" s="297">
        <f t="shared" si="1"/>
        <v>48215</v>
      </c>
      <c r="BF62" s="297">
        <f t="shared" si="1"/>
        <v>127545</v>
      </c>
      <c r="BG62" s="297">
        <f t="shared" si="1"/>
        <v>0</v>
      </c>
      <c r="BH62" s="297">
        <f t="shared" si="1"/>
        <v>1646</v>
      </c>
      <c r="BI62" s="297">
        <f t="shared" si="1"/>
        <v>0</v>
      </c>
      <c r="BJ62" s="297">
        <f t="shared" si="1"/>
        <v>0</v>
      </c>
      <c r="BK62" s="297">
        <f t="shared" si="1"/>
        <v>0</v>
      </c>
      <c r="BL62" s="297">
        <f t="shared" si="1"/>
        <v>147693</v>
      </c>
      <c r="BM62" s="297">
        <f t="shared" si="1"/>
        <v>45552</v>
      </c>
      <c r="BN62" s="297">
        <f t="shared" si="1"/>
        <v>-2352926</v>
      </c>
      <c r="BO62" s="297">
        <f t="shared" ref="BO62:CC62" si="2">ROUND(BO47+BO48,0)</f>
        <v>0</v>
      </c>
      <c r="BP62" s="297">
        <f t="shared" si="2"/>
        <v>0</v>
      </c>
      <c r="BQ62" s="297">
        <f t="shared" si="2"/>
        <v>0</v>
      </c>
      <c r="BR62" s="297">
        <f t="shared" si="2"/>
        <v>6419</v>
      </c>
      <c r="BS62" s="297">
        <f t="shared" si="2"/>
        <v>0</v>
      </c>
      <c r="BT62" s="297">
        <f t="shared" si="2"/>
        <v>0</v>
      </c>
      <c r="BU62" s="297">
        <f t="shared" si="2"/>
        <v>0</v>
      </c>
      <c r="BV62" s="297">
        <f t="shared" si="2"/>
        <v>87900</v>
      </c>
      <c r="BW62" s="297">
        <f t="shared" si="2"/>
        <v>0</v>
      </c>
      <c r="BX62" s="297">
        <f t="shared" si="2"/>
        <v>43294</v>
      </c>
      <c r="BY62" s="297">
        <f t="shared" si="2"/>
        <v>79814</v>
      </c>
      <c r="BZ62" s="297">
        <f t="shared" si="2"/>
        <v>0</v>
      </c>
      <c r="CA62" s="297">
        <f t="shared" si="2"/>
        <v>0</v>
      </c>
      <c r="CB62" s="297">
        <f t="shared" si="2"/>
        <v>0</v>
      </c>
      <c r="CC62" s="297">
        <f t="shared" si="2"/>
        <v>0</v>
      </c>
      <c r="CD62" s="308" t="s">
        <v>221</v>
      </c>
      <c r="CE62" s="297">
        <f t="shared" si="0"/>
        <v>2491885</v>
      </c>
      <c r="CF62" s="2"/>
    </row>
    <row r="63" spans="1:84" ht="12.65" customHeight="1" x14ac:dyDescent="0.3">
      <c r="A63" s="304" t="s">
        <v>236</v>
      </c>
      <c r="B63" s="297"/>
      <c r="C63" s="302">
        <f>17725</f>
        <v>17725</v>
      </c>
      <c r="D63" s="302"/>
      <c r="E63" s="302">
        <f>-5000+746386.17</f>
        <v>741386.17</v>
      </c>
      <c r="F63" s="185"/>
      <c r="G63" s="302"/>
      <c r="H63" s="302">
        <f>676597.54</f>
        <v>676597.54</v>
      </c>
      <c r="I63" s="185"/>
      <c r="J63" s="185"/>
      <c r="K63" s="185"/>
      <c r="L63" s="185"/>
      <c r="M63" s="302"/>
      <c r="N63" s="302"/>
      <c r="O63" s="302">
        <f>161595.05</f>
        <v>161595.04999999999</v>
      </c>
      <c r="P63" s="185"/>
      <c r="Q63" s="185"/>
      <c r="R63" s="185">
        <f>16044.88</f>
        <v>16044.88</v>
      </c>
      <c r="S63" s="185"/>
      <c r="T63" s="185"/>
      <c r="U63" s="185">
        <f>79238.5</f>
        <v>79238.5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>
        <f>4657.68</f>
        <v>4657.68</v>
      </c>
      <c r="AF63" s="185"/>
      <c r="AG63" s="185">
        <f>1232686.11</f>
        <v>1232686.1100000001</v>
      </c>
      <c r="AH63" s="185"/>
      <c r="AI63" s="185"/>
      <c r="AJ63" s="185">
        <f>180+1485</f>
        <v>1665</v>
      </c>
      <c r="AK63" s="185"/>
      <c r="AL63" s="185">
        <f>10624.04</f>
        <v>10624.04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f>3500</f>
        <v>3500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308" t="s">
        <v>221</v>
      </c>
      <c r="CE63" s="297">
        <f t="shared" si="0"/>
        <v>2945719.9699999997</v>
      </c>
      <c r="CF63" s="2"/>
    </row>
    <row r="64" spans="1:84" ht="12.65" customHeight="1" x14ac:dyDescent="0.3">
      <c r="A64" s="304" t="s">
        <v>237</v>
      </c>
      <c r="B64" s="297"/>
      <c r="C64" s="302">
        <f>134584.14</f>
        <v>134584.14000000001</v>
      </c>
      <c r="D64" s="302"/>
      <c r="E64" s="185">
        <f>17135.18+89.55+20018.75+8925.52</f>
        <v>46169</v>
      </c>
      <c r="F64" s="185"/>
      <c r="G64" s="302"/>
      <c r="H64" s="302">
        <f>13529.57-85.02</f>
        <v>13444.55</v>
      </c>
      <c r="I64" s="185"/>
      <c r="J64" s="185">
        <f>-20.53</f>
        <v>-20.53</v>
      </c>
      <c r="K64" s="185"/>
      <c r="L64" s="185"/>
      <c r="M64" s="302"/>
      <c r="N64" s="302"/>
      <c r="O64" s="302">
        <f>88404.19+15058.64</f>
        <v>103462.83</v>
      </c>
      <c r="P64" s="185">
        <f>405546.96+52.48</f>
        <v>405599.44</v>
      </c>
      <c r="Q64" s="185">
        <f>24979.78</f>
        <v>24979.78</v>
      </c>
      <c r="R64" s="185">
        <f>1810.96+14752.94</f>
        <v>16563.900000000001</v>
      </c>
      <c r="S64" s="185">
        <f>174166.29</f>
        <v>174166.29</v>
      </c>
      <c r="T64" s="185"/>
      <c r="U64" s="185">
        <f>552295.25+69970.11</f>
        <v>622265.36</v>
      </c>
      <c r="V64" s="185"/>
      <c r="W64" s="185"/>
      <c r="X64" s="185">
        <f>29938.58</f>
        <v>29938.58</v>
      </c>
      <c r="Y64" s="185">
        <f>8745.66+1923.48</f>
        <v>10669.14</v>
      </c>
      <c r="Z64" s="185"/>
      <c r="AA64" s="185"/>
      <c r="AB64" s="185">
        <f>326261.86+4751.28</f>
        <v>331013.14</v>
      </c>
      <c r="AC64" s="185">
        <f>12989.53</f>
        <v>12989.53</v>
      </c>
      <c r="AD64" s="185"/>
      <c r="AE64" s="185">
        <f>204.61</f>
        <v>204.61</v>
      </c>
      <c r="AF64" s="185"/>
      <c r="AG64" s="185">
        <f>203986.39</f>
        <v>203986.39</v>
      </c>
      <c r="AH64" s="185"/>
      <c r="AI64" s="185"/>
      <c r="AJ64" s="185">
        <f>15372.42+152429.65+15.99</f>
        <v>167818.06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203790.99</f>
        <v>203790.99</v>
      </c>
      <c r="AZ64" s="185">
        <f>30384.25</f>
        <v>30384.25</v>
      </c>
      <c r="BA64" s="185"/>
      <c r="BB64" s="185"/>
      <c r="BC64" s="185"/>
      <c r="BD64" s="185">
        <f>44521.51</f>
        <v>44521.51</v>
      </c>
      <c r="BE64" s="185">
        <f>2674.57</f>
        <v>2674.57</v>
      </c>
      <c r="BF64" s="185">
        <f>87664.77</f>
        <v>87664.77</v>
      </c>
      <c r="BG64" s="185"/>
      <c r="BH64" s="185">
        <f>5324.6</f>
        <v>5324.6</v>
      </c>
      <c r="BI64" s="185"/>
      <c r="BJ64" s="185"/>
      <c r="BK64" s="185">
        <f>82.21</f>
        <v>82.21</v>
      </c>
      <c r="BL64" s="185">
        <f>9285.4</f>
        <v>9285.4</v>
      </c>
      <c r="BM64" s="185"/>
      <c r="BN64" s="185">
        <f>-66612.14</f>
        <v>-66612.14</v>
      </c>
      <c r="BO64" s="185"/>
      <c r="BP64" s="185"/>
      <c r="BQ64" s="185"/>
      <c r="BR64" s="185">
        <f>3351.88</f>
        <v>3351.88</v>
      </c>
      <c r="BS64" s="185"/>
      <c r="BT64" s="185"/>
      <c r="BU64" s="185"/>
      <c r="BV64" s="185">
        <f>2071.34</f>
        <v>2071.34</v>
      </c>
      <c r="BW64" s="185"/>
      <c r="BX64" s="185">
        <f>915.52+66944.48</f>
        <v>67860</v>
      </c>
      <c r="BY64" s="185">
        <f>483.56</f>
        <v>483.56</v>
      </c>
      <c r="BZ64" s="185"/>
      <c r="CA64" s="185">
        <f>461.61</f>
        <v>461.61</v>
      </c>
      <c r="CB64" s="185"/>
      <c r="CC64" s="185">
        <f>93433.74</f>
        <v>93433.74</v>
      </c>
      <c r="CD64" s="308" t="s">
        <v>221</v>
      </c>
      <c r="CE64" s="297">
        <f t="shared" si="0"/>
        <v>2782612.4999999995</v>
      </c>
      <c r="CF64" s="2"/>
    </row>
    <row r="65" spans="1:84" ht="12.65" customHeight="1" x14ac:dyDescent="0.3">
      <c r="A65" s="304" t="s">
        <v>238</v>
      </c>
      <c r="B65" s="297"/>
      <c r="C65" s="302"/>
      <c r="D65" s="302"/>
      <c r="E65" s="302"/>
      <c r="F65" s="302"/>
      <c r="G65" s="302"/>
      <c r="H65" s="302"/>
      <c r="I65" s="185"/>
      <c r="J65" s="302"/>
      <c r="K65" s="185"/>
      <c r="L65" s="185"/>
      <c r="M65" s="302"/>
      <c r="N65" s="302"/>
      <c r="O65" s="302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f>20593.18+35004.18+75</f>
        <v>55672.36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398119.88</f>
        <v>398119.88</v>
      </c>
      <c r="BF65" s="185"/>
      <c r="BG65" s="185"/>
      <c r="BH65" s="185">
        <f>9585.41</f>
        <v>9585.41</v>
      </c>
      <c r="BI65" s="185"/>
      <c r="BJ65" s="185"/>
      <c r="BK65" s="185"/>
      <c r="BL65" s="185"/>
      <c r="BM65" s="185"/>
      <c r="BN65" s="185">
        <f>-24753.3</f>
        <v>-24753.3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f>1467.42</f>
        <v>1467.42</v>
      </c>
      <c r="BZ65" s="185"/>
      <c r="CA65" s="185"/>
      <c r="CB65" s="185"/>
      <c r="CC65" s="185"/>
      <c r="CD65" s="308" t="s">
        <v>221</v>
      </c>
      <c r="CE65" s="297">
        <f t="shared" si="0"/>
        <v>440091.76999999996</v>
      </c>
      <c r="CF65" s="2"/>
    </row>
    <row r="66" spans="1:84" ht="12.65" customHeight="1" x14ac:dyDescent="0.3">
      <c r="A66" s="304" t="s">
        <v>239</v>
      </c>
      <c r="B66" s="297"/>
      <c r="C66" s="302">
        <f>420901.9+141.45</f>
        <v>421043.35000000003</v>
      </c>
      <c r="D66" s="302"/>
      <c r="E66" s="302">
        <f>1355.03+66.56+5713.5+2261.25-128568.11+30.16+66098.31</f>
        <v>-53043.3</v>
      </c>
      <c r="F66" s="302"/>
      <c r="G66" s="302"/>
      <c r="H66" s="302">
        <f>741829.54+524205.9</f>
        <v>1266035.44</v>
      </c>
      <c r="I66" s="302"/>
      <c r="J66" s="302"/>
      <c r="K66" s="185"/>
      <c r="L66" s="185"/>
      <c r="M66" s="302"/>
      <c r="N66" s="302"/>
      <c r="O66" s="185">
        <f>8325+307593.01+30.16</f>
        <v>315948.17</v>
      </c>
      <c r="P66" s="185">
        <f>245668.13+9835.39</f>
        <v>255503.52000000002</v>
      </c>
      <c r="Q66" s="185">
        <f>-881.26</f>
        <v>-881.26</v>
      </c>
      <c r="R66" s="185">
        <f>1693.76+1696.81+229299.04</f>
        <v>232689.61000000002</v>
      </c>
      <c r="S66" s="302"/>
      <c r="T66" s="302"/>
      <c r="U66" s="185">
        <f>37795.81</f>
        <v>37795.81</v>
      </c>
      <c r="V66" s="185"/>
      <c r="W66" s="185">
        <f>120002</f>
        <v>120002</v>
      </c>
      <c r="X66" s="185"/>
      <c r="Y66" s="185">
        <f>128265.58+1872.03</f>
        <v>130137.61</v>
      </c>
      <c r="Z66" s="185"/>
      <c r="AA66" s="185">
        <f>20633.84</f>
        <v>20633.84</v>
      </c>
      <c r="AB66" s="185">
        <f>18214.59</f>
        <v>18214.59</v>
      </c>
      <c r="AC66" s="185">
        <f>63293.87</f>
        <v>63293.87</v>
      </c>
      <c r="AD66" s="185"/>
      <c r="AE66" s="185">
        <f>1922.16</f>
        <v>1922.16</v>
      </c>
      <c r="AF66" s="185"/>
      <c r="AG66" s="185">
        <f>154465.06-9302.14</f>
        <v>145162.91999999998</v>
      </c>
      <c r="AH66" s="185"/>
      <c r="AI66" s="185"/>
      <c r="AJ66" s="185">
        <f>17045.22+83681.63+10036.86+277844</f>
        <v>388607.71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f>5339.98</f>
        <v>5339.98</v>
      </c>
      <c r="AZ66" s="185">
        <f>180216.86+22.7</f>
        <v>180239.56</v>
      </c>
      <c r="BA66" s="185">
        <f>46.34</f>
        <v>46.34</v>
      </c>
      <c r="BB66" s="185"/>
      <c r="BC66" s="185"/>
      <c r="BD66" s="185">
        <f>7363.96</f>
        <v>7363.96</v>
      </c>
      <c r="BE66" s="185">
        <f>44662.27+180907.35</f>
        <v>225569.62</v>
      </c>
      <c r="BF66" s="185"/>
      <c r="BG66" s="185">
        <f>8928.93</f>
        <v>8928.93</v>
      </c>
      <c r="BH66" s="185">
        <f>1362.49</f>
        <v>1362.49</v>
      </c>
      <c r="BI66" s="185"/>
      <c r="BJ66" s="185"/>
      <c r="BK66" s="185">
        <f>15225.86</f>
        <v>15225.86</v>
      </c>
      <c r="BL66" s="185"/>
      <c r="BM66" s="185">
        <f>10317+1595</f>
        <v>11912</v>
      </c>
      <c r="BN66" s="185">
        <f>116190.55+4211398.11</f>
        <v>4327588.66</v>
      </c>
      <c r="BO66" s="185"/>
      <c r="BP66" s="185"/>
      <c r="BQ66" s="185"/>
      <c r="BR66" s="185">
        <f>-1699.18</f>
        <v>-1699.18</v>
      </c>
      <c r="BS66" s="185"/>
      <c r="BT66" s="185"/>
      <c r="BU66" s="185"/>
      <c r="BV66" s="185">
        <f>6725.47</f>
        <v>6725.47</v>
      </c>
      <c r="BW66" s="185"/>
      <c r="BX66" s="185">
        <f>3359.12+16665.95</f>
        <v>20025.07</v>
      </c>
      <c r="BY66" s="185">
        <f>14977+16372.44</f>
        <v>31349.440000000002</v>
      </c>
      <c r="BZ66" s="185"/>
      <c r="CA66" s="185">
        <f>510-6600</f>
        <v>-6090</v>
      </c>
      <c r="CB66" s="185"/>
      <c r="CC66" s="185">
        <f>24100+2782.16</f>
        <v>26882.16</v>
      </c>
      <c r="CD66" s="308" t="s">
        <v>221</v>
      </c>
      <c r="CE66" s="297">
        <f t="shared" si="0"/>
        <v>8223836.4000000004</v>
      </c>
      <c r="CF66" s="2"/>
    </row>
    <row r="67" spans="1:84" ht="12.65" customHeight="1" x14ac:dyDescent="0.3">
      <c r="A67" s="304" t="s">
        <v>6</v>
      </c>
      <c r="B67" s="297"/>
      <c r="C67" s="297">
        <f>ROUND(C51+C52,0)</f>
        <v>30509</v>
      </c>
      <c r="D67" s="297">
        <f>ROUND(D51+D52,0)</f>
        <v>0</v>
      </c>
      <c r="E67" s="297">
        <f t="shared" ref="E67:BP67" si="3">ROUND(E51+E52,0)</f>
        <v>95014</v>
      </c>
      <c r="F67" s="297">
        <f t="shared" si="3"/>
        <v>0</v>
      </c>
      <c r="G67" s="297">
        <f t="shared" si="3"/>
        <v>0</v>
      </c>
      <c r="H67" s="297">
        <f t="shared" si="3"/>
        <v>39376</v>
      </c>
      <c r="I67" s="297">
        <f t="shared" si="3"/>
        <v>0</v>
      </c>
      <c r="J67" s="297">
        <f>ROUND(J51+J52,0)</f>
        <v>7119</v>
      </c>
      <c r="K67" s="297">
        <f t="shared" si="3"/>
        <v>0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90153</v>
      </c>
      <c r="P67" s="297">
        <f t="shared" si="3"/>
        <v>24915</v>
      </c>
      <c r="Q67" s="297">
        <f t="shared" si="3"/>
        <v>39712</v>
      </c>
      <c r="R67" s="297">
        <f t="shared" si="3"/>
        <v>1627</v>
      </c>
      <c r="S67" s="297">
        <f t="shared" si="3"/>
        <v>0</v>
      </c>
      <c r="T67" s="297">
        <f t="shared" si="3"/>
        <v>0</v>
      </c>
      <c r="U67" s="297">
        <f t="shared" si="3"/>
        <v>27875</v>
      </c>
      <c r="V67" s="297">
        <f t="shared" si="3"/>
        <v>0</v>
      </c>
      <c r="W67" s="297">
        <f t="shared" si="3"/>
        <v>0</v>
      </c>
      <c r="X67" s="297">
        <f t="shared" si="3"/>
        <v>0</v>
      </c>
      <c r="Y67" s="297">
        <f t="shared" si="3"/>
        <v>41471</v>
      </c>
      <c r="Z67" s="297">
        <f t="shared" si="3"/>
        <v>0</v>
      </c>
      <c r="AA67" s="297">
        <f t="shared" si="3"/>
        <v>0</v>
      </c>
      <c r="AB67" s="297">
        <f t="shared" si="3"/>
        <v>10800</v>
      </c>
      <c r="AC67" s="297">
        <f t="shared" si="3"/>
        <v>8563</v>
      </c>
      <c r="AD67" s="297">
        <f t="shared" si="3"/>
        <v>0</v>
      </c>
      <c r="AE67" s="297">
        <f t="shared" si="3"/>
        <v>5593</v>
      </c>
      <c r="AF67" s="297">
        <f t="shared" si="3"/>
        <v>0</v>
      </c>
      <c r="AG67" s="297">
        <f t="shared" si="3"/>
        <v>47044</v>
      </c>
      <c r="AH67" s="297">
        <f t="shared" si="3"/>
        <v>0</v>
      </c>
      <c r="AI67" s="297">
        <f t="shared" si="3"/>
        <v>0</v>
      </c>
      <c r="AJ67" s="297">
        <f t="shared" si="3"/>
        <v>0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0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0</v>
      </c>
      <c r="AU67" s="297">
        <f t="shared" si="3"/>
        <v>0</v>
      </c>
      <c r="AV67" s="297">
        <f t="shared" si="3"/>
        <v>0</v>
      </c>
      <c r="AW67" s="297">
        <f t="shared" si="3"/>
        <v>0</v>
      </c>
      <c r="AX67" s="297">
        <f t="shared" si="3"/>
        <v>0</v>
      </c>
      <c r="AY67" s="297">
        <f t="shared" si="3"/>
        <v>16912</v>
      </c>
      <c r="AZ67" s="297">
        <f>ROUND(AZ51+AZ52,0)</f>
        <v>0</v>
      </c>
      <c r="BA67" s="297">
        <f>ROUND(BA51+BA52,0)</f>
        <v>0</v>
      </c>
      <c r="BB67" s="297">
        <f t="shared" si="3"/>
        <v>0</v>
      </c>
      <c r="BC67" s="297">
        <f t="shared" si="3"/>
        <v>0</v>
      </c>
      <c r="BD67" s="297">
        <f t="shared" si="3"/>
        <v>21641</v>
      </c>
      <c r="BE67" s="297">
        <f t="shared" si="3"/>
        <v>31597</v>
      </c>
      <c r="BF67" s="297">
        <f t="shared" si="3"/>
        <v>8115</v>
      </c>
      <c r="BG67" s="297">
        <f t="shared" si="3"/>
        <v>0</v>
      </c>
      <c r="BH67" s="297">
        <f t="shared" si="3"/>
        <v>2847</v>
      </c>
      <c r="BI67" s="297">
        <f t="shared" si="3"/>
        <v>0</v>
      </c>
      <c r="BJ67" s="297">
        <f t="shared" si="3"/>
        <v>0</v>
      </c>
      <c r="BK67" s="297">
        <f t="shared" si="3"/>
        <v>25424</v>
      </c>
      <c r="BL67" s="297">
        <f t="shared" si="3"/>
        <v>0</v>
      </c>
      <c r="BM67" s="297">
        <f t="shared" si="3"/>
        <v>0</v>
      </c>
      <c r="BN67" s="297">
        <f t="shared" si="3"/>
        <v>22302</v>
      </c>
      <c r="BO67" s="297">
        <f t="shared" si="3"/>
        <v>0</v>
      </c>
      <c r="BP67" s="297">
        <f t="shared" si="3"/>
        <v>0</v>
      </c>
      <c r="BQ67" s="297">
        <f t="shared" ref="BQ67:CC67" si="4">ROUND(BQ51+BQ52,0)</f>
        <v>0</v>
      </c>
      <c r="BR67" s="297">
        <f t="shared" si="4"/>
        <v>4149</v>
      </c>
      <c r="BS67" s="297">
        <f t="shared" si="4"/>
        <v>3051</v>
      </c>
      <c r="BT67" s="297">
        <f t="shared" si="4"/>
        <v>3864</v>
      </c>
      <c r="BU67" s="297">
        <f t="shared" si="4"/>
        <v>0</v>
      </c>
      <c r="BV67" s="297">
        <f t="shared" si="4"/>
        <v>13831</v>
      </c>
      <c r="BW67" s="297">
        <f t="shared" si="4"/>
        <v>0</v>
      </c>
      <c r="BX67" s="297">
        <f t="shared" si="4"/>
        <v>3295</v>
      </c>
      <c r="BY67" s="297">
        <f t="shared" si="4"/>
        <v>0</v>
      </c>
      <c r="BZ67" s="297">
        <f t="shared" si="4"/>
        <v>0</v>
      </c>
      <c r="CA67" s="297">
        <f t="shared" si="4"/>
        <v>0</v>
      </c>
      <c r="CB67" s="297">
        <f t="shared" si="4"/>
        <v>0</v>
      </c>
      <c r="CC67" s="297">
        <f t="shared" si="4"/>
        <v>88048</v>
      </c>
      <c r="CD67" s="308" t="s">
        <v>221</v>
      </c>
      <c r="CE67" s="297">
        <f t="shared" si="0"/>
        <v>714847</v>
      </c>
      <c r="CF67" s="2"/>
    </row>
    <row r="68" spans="1:84" ht="12.65" customHeight="1" x14ac:dyDescent="0.3">
      <c r="A68" s="304" t="s">
        <v>240</v>
      </c>
      <c r="B68" s="297"/>
      <c r="C68" s="302">
        <f>-6526.58</f>
        <v>-6526.58</v>
      </c>
      <c r="D68" s="302"/>
      <c r="E68" s="302">
        <f>-6526.58</f>
        <v>-6526.58</v>
      </c>
      <c r="F68" s="302"/>
      <c r="G68" s="302"/>
      <c r="H68" s="302"/>
      <c r="I68" s="302"/>
      <c r="J68" s="302"/>
      <c r="K68" s="185"/>
      <c r="L68" s="185"/>
      <c r="M68" s="302"/>
      <c r="N68" s="302"/>
      <c r="O68" s="302">
        <f>-6526.58</f>
        <v>-6526.58</v>
      </c>
      <c r="P68" s="185">
        <f>-4255.15</f>
        <v>-4255.1499999999996</v>
      </c>
      <c r="Q68" s="185"/>
      <c r="R68" s="185"/>
      <c r="S68" s="185"/>
      <c r="T68" s="185"/>
      <c r="U68" s="185">
        <f>2453.64</f>
        <v>2453.64</v>
      </c>
      <c r="V68" s="185"/>
      <c r="W68" s="185"/>
      <c r="X68" s="185"/>
      <c r="Y68" s="185"/>
      <c r="Z68" s="185"/>
      <c r="AA68" s="185"/>
      <c r="AB68" s="185"/>
      <c r="AC68" s="185">
        <f>18914.86</f>
        <v>18914.86</v>
      </c>
      <c r="AD68" s="185"/>
      <c r="AE68" s="185"/>
      <c r="AF68" s="185"/>
      <c r="AG68" s="185">
        <f>-6526.58</f>
        <v>-6526.58</v>
      </c>
      <c r="AH68" s="185"/>
      <c r="AI68" s="185"/>
      <c r="AJ68" s="185">
        <f>153691.31+200316.19</f>
        <v>354007.5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22634.51</f>
        <v>22634.51</v>
      </c>
      <c r="BF68" s="185"/>
      <c r="BG68" s="185"/>
      <c r="BH68" s="185"/>
      <c r="BI68" s="185"/>
      <c r="BJ68" s="185"/>
      <c r="BK68" s="185"/>
      <c r="BL68" s="185"/>
      <c r="BM68" s="185"/>
      <c r="BN68" s="185">
        <f>14570.53</f>
        <v>14570.53</v>
      </c>
      <c r="BO68" s="185"/>
      <c r="BP68" s="185"/>
      <c r="BQ68" s="185"/>
      <c r="BR68" s="185"/>
      <c r="BS68" s="185"/>
      <c r="BT68" s="185"/>
      <c r="BU68" s="185"/>
      <c r="BV68" s="185">
        <f>8433.95</f>
        <v>8433.9500000000007</v>
      </c>
      <c r="BW68" s="185"/>
      <c r="BX68" s="185"/>
      <c r="BY68" s="185"/>
      <c r="BZ68" s="185"/>
      <c r="CA68" s="185"/>
      <c r="CB68" s="185"/>
      <c r="CC68" s="185"/>
      <c r="CD68" s="308" t="s">
        <v>221</v>
      </c>
      <c r="CE68" s="297">
        <f t="shared" si="0"/>
        <v>390653.52000000008</v>
      </c>
      <c r="CF68" s="2"/>
    </row>
    <row r="69" spans="1:84" ht="12.65" customHeight="1" x14ac:dyDescent="0.3">
      <c r="A69" s="304" t="s">
        <v>241</v>
      </c>
      <c r="B69" s="297"/>
      <c r="C69" s="302">
        <f>25.98+4385.15</f>
        <v>4411.1299999999992</v>
      </c>
      <c r="D69" s="302"/>
      <c r="E69" s="185">
        <f>1500</f>
        <v>1500</v>
      </c>
      <c r="F69" s="185"/>
      <c r="G69" s="302"/>
      <c r="H69" s="302">
        <f>600+1267</f>
        <v>1867</v>
      </c>
      <c r="I69" s="185"/>
      <c r="J69" s="185"/>
      <c r="K69" s="185"/>
      <c r="L69" s="185"/>
      <c r="M69" s="302"/>
      <c r="N69" s="302"/>
      <c r="O69" s="302">
        <f>2130.86+661.52+638.75</f>
        <v>3431.13</v>
      </c>
      <c r="P69" s="185">
        <f>31675.04+482.98+45.66</f>
        <v>32203.68</v>
      </c>
      <c r="Q69" s="185"/>
      <c r="R69" s="224">
        <f>3817.44</f>
        <v>3817.44</v>
      </c>
      <c r="S69" s="185">
        <f>13171.45</f>
        <v>13171.45</v>
      </c>
      <c r="T69" s="302"/>
      <c r="U69" s="185">
        <f>105.22+106605.34</f>
        <v>106710.56</v>
      </c>
      <c r="V69" s="185"/>
      <c r="W69" s="302"/>
      <c r="X69" s="185"/>
      <c r="Y69" s="185">
        <f>99061.28+33.7</f>
        <v>99094.98</v>
      </c>
      <c r="Z69" s="185"/>
      <c r="AA69" s="185"/>
      <c r="AB69" s="185">
        <f>34779.84</f>
        <v>34779.839999999997</v>
      </c>
      <c r="AC69" s="185">
        <f>5378.38</f>
        <v>5378.38</v>
      </c>
      <c r="AD69" s="185"/>
      <c r="AE69" s="185"/>
      <c r="AF69" s="185"/>
      <c r="AG69" s="185">
        <f>16691.13+2667.23</f>
        <v>19358.36</v>
      </c>
      <c r="AH69" s="185"/>
      <c r="AI69" s="185"/>
      <c r="AJ69" s="185">
        <f>3723.91+21335.85+4036.44+34211.1+2336.37+13935.14+731</f>
        <v>80309.81</v>
      </c>
      <c r="AK69" s="185"/>
      <c r="AL69" s="185"/>
      <c r="AM69" s="185"/>
      <c r="AN69" s="185"/>
      <c r="AO69" s="302"/>
      <c r="AP69" s="185"/>
      <c r="AQ69" s="302"/>
      <c r="AR69" s="302"/>
      <c r="AS69" s="302"/>
      <c r="AT69" s="302"/>
      <c r="AU69" s="185"/>
      <c r="AV69" s="185"/>
      <c r="AW69" s="185"/>
      <c r="AX69" s="185"/>
      <c r="AY69" s="185">
        <f>2989.16</f>
        <v>2989.16</v>
      </c>
      <c r="AZ69" s="185">
        <f>1698.4</f>
        <v>1698.4</v>
      </c>
      <c r="BA69" s="185"/>
      <c r="BB69" s="185"/>
      <c r="BC69" s="185"/>
      <c r="BD69" s="185">
        <f>-56345.94</f>
        <v>-56345.94</v>
      </c>
      <c r="BE69" s="185">
        <f>30938.3</f>
        <v>30938.3</v>
      </c>
      <c r="BF69" s="185">
        <f>1103.69</f>
        <v>1103.69</v>
      </c>
      <c r="BG69" s="185"/>
      <c r="BH69" s="224">
        <f>29.61+568.09</f>
        <v>597.70000000000005</v>
      </c>
      <c r="BI69" s="185"/>
      <c r="BJ69" s="185"/>
      <c r="BK69" s="185"/>
      <c r="BL69" s="185"/>
      <c r="BM69" s="185"/>
      <c r="BN69" s="185">
        <f>842240.4+6741.3</f>
        <v>848981.70000000007</v>
      </c>
      <c r="BO69" s="185"/>
      <c r="BP69" s="185"/>
      <c r="BQ69" s="185"/>
      <c r="BR69" s="185"/>
      <c r="BS69" s="185"/>
      <c r="BT69" s="185"/>
      <c r="BU69" s="185"/>
      <c r="BV69" s="185">
        <f>815.57+71438.04</f>
        <v>72253.61</v>
      </c>
      <c r="BW69" s="185"/>
      <c r="BX69" s="185">
        <v>460.24</v>
      </c>
      <c r="BY69" s="185">
        <f>3312.93</f>
        <v>3312.93</v>
      </c>
      <c r="BZ69" s="185"/>
      <c r="CA69" s="185">
        <f>59986.95</f>
        <v>59986.95</v>
      </c>
      <c r="CB69" s="185"/>
      <c r="CC69" s="185">
        <f>245450.14+2925</f>
        <v>248375.14</v>
      </c>
      <c r="CD69" s="311"/>
      <c r="CE69" s="297">
        <f t="shared" si="0"/>
        <v>1620385.6400000001</v>
      </c>
      <c r="CF69" s="2"/>
    </row>
    <row r="70" spans="1:84" ht="12.65" customHeight="1" x14ac:dyDescent="0.3">
      <c r="A70" s="304" t="s">
        <v>242</v>
      </c>
      <c r="B70" s="297"/>
      <c r="C70" s="302"/>
      <c r="D70" s="302"/>
      <c r="E70" s="302"/>
      <c r="F70" s="185"/>
      <c r="G70" s="302"/>
      <c r="H70" s="302"/>
      <c r="I70" s="302"/>
      <c r="J70" s="185"/>
      <c r="K70" s="185"/>
      <c r="L70" s="185"/>
      <c r="M70" s="302"/>
      <c r="N70" s="302"/>
      <c r="O70" s="302"/>
      <c r="P70" s="302"/>
      <c r="Q70" s="302"/>
      <c r="R70" s="302"/>
      <c r="S70" s="302"/>
      <c r="T70" s="302"/>
      <c r="U70" s="185"/>
      <c r="V70" s="302"/>
      <c r="W70" s="302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11"/>
      <c r="CE70" s="297">
        <f t="shared" si="0"/>
        <v>0</v>
      </c>
      <c r="CF70" s="2"/>
    </row>
    <row r="71" spans="1:84" ht="12.65" customHeight="1" x14ac:dyDescent="0.3">
      <c r="A71" s="304" t="s">
        <v>243</v>
      </c>
      <c r="B71" s="297"/>
      <c r="C71" s="297">
        <f>SUM(C61:C68)+C69-C70</f>
        <v>1722650.4899999998</v>
      </c>
      <c r="D71" s="297">
        <f t="shared" ref="D71:AI71" si="5">SUM(D61:D69)-D70</f>
        <v>0</v>
      </c>
      <c r="E71" s="297">
        <f t="shared" si="5"/>
        <v>2102340.34</v>
      </c>
      <c r="F71" s="297">
        <f t="shared" si="5"/>
        <v>0</v>
      </c>
      <c r="G71" s="297">
        <f t="shared" si="5"/>
        <v>0</v>
      </c>
      <c r="H71" s="297">
        <f t="shared" si="5"/>
        <v>4320567.7300000004</v>
      </c>
      <c r="I71" s="297">
        <f t="shared" si="5"/>
        <v>0</v>
      </c>
      <c r="J71" s="297">
        <f t="shared" si="5"/>
        <v>7098.47</v>
      </c>
      <c r="K71" s="297">
        <f t="shared" si="5"/>
        <v>0</v>
      </c>
      <c r="L71" s="297">
        <f t="shared" si="5"/>
        <v>0</v>
      </c>
      <c r="M71" s="297">
        <f t="shared" si="5"/>
        <v>0</v>
      </c>
      <c r="N71" s="297">
        <f t="shared" si="5"/>
        <v>0</v>
      </c>
      <c r="O71" s="297">
        <f t="shared" si="5"/>
        <v>2441715.94</v>
      </c>
      <c r="P71" s="297">
        <f t="shared" si="5"/>
        <v>1386538.47</v>
      </c>
      <c r="Q71" s="297">
        <f t="shared" si="5"/>
        <v>314594.07999999996</v>
      </c>
      <c r="R71" s="297">
        <f t="shared" si="5"/>
        <v>270742.83</v>
      </c>
      <c r="S71" s="297">
        <f t="shared" si="5"/>
        <v>187337.74000000002</v>
      </c>
      <c r="T71" s="297">
        <f t="shared" si="5"/>
        <v>0</v>
      </c>
      <c r="U71" s="297">
        <f t="shared" si="5"/>
        <v>1744002.51</v>
      </c>
      <c r="V71" s="297">
        <f t="shared" si="5"/>
        <v>0</v>
      </c>
      <c r="W71" s="297">
        <f t="shared" si="5"/>
        <v>123523.58</v>
      </c>
      <c r="X71" s="297">
        <f t="shared" si="5"/>
        <v>129862.04</v>
      </c>
      <c r="Y71" s="297">
        <f t="shared" si="5"/>
        <v>1224869.46</v>
      </c>
      <c r="Z71" s="297">
        <f t="shared" si="5"/>
        <v>0</v>
      </c>
      <c r="AA71" s="297">
        <f t="shared" si="5"/>
        <v>20633.84</v>
      </c>
      <c r="AB71" s="297">
        <f t="shared" si="5"/>
        <v>821475.08</v>
      </c>
      <c r="AC71" s="297">
        <f t="shared" si="5"/>
        <v>555323.15</v>
      </c>
      <c r="AD71" s="297">
        <f t="shared" si="5"/>
        <v>0</v>
      </c>
      <c r="AE71" s="297">
        <f t="shared" si="5"/>
        <v>12377.45</v>
      </c>
      <c r="AF71" s="297">
        <f t="shared" si="5"/>
        <v>0</v>
      </c>
      <c r="AG71" s="297">
        <f t="shared" si="5"/>
        <v>3907695.08</v>
      </c>
      <c r="AH71" s="297">
        <f t="shared" si="5"/>
        <v>0</v>
      </c>
      <c r="AI71" s="297">
        <f t="shared" si="5"/>
        <v>0</v>
      </c>
      <c r="AJ71" s="297">
        <f t="shared" ref="AJ71:BO71" si="6">SUM(AJ61:AJ69)-AJ70</f>
        <v>6266757</v>
      </c>
      <c r="AK71" s="297">
        <f t="shared" si="6"/>
        <v>0</v>
      </c>
      <c r="AL71" s="297">
        <f t="shared" si="6"/>
        <v>10624.04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0</v>
      </c>
      <c r="AQ71" s="297">
        <f t="shared" si="6"/>
        <v>0</v>
      </c>
      <c r="AR71" s="297">
        <f t="shared" si="6"/>
        <v>0</v>
      </c>
      <c r="AS71" s="297">
        <f t="shared" si="6"/>
        <v>0</v>
      </c>
      <c r="AT71" s="297">
        <f t="shared" si="6"/>
        <v>0</v>
      </c>
      <c r="AU71" s="297">
        <f t="shared" si="6"/>
        <v>0</v>
      </c>
      <c r="AV71" s="297">
        <f t="shared" si="6"/>
        <v>0</v>
      </c>
      <c r="AW71" s="297">
        <f t="shared" si="6"/>
        <v>0</v>
      </c>
      <c r="AX71" s="297">
        <f t="shared" si="6"/>
        <v>0</v>
      </c>
      <c r="AY71" s="297">
        <f t="shared" si="6"/>
        <v>235664.37</v>
      </c>
      <c r="AZ71" s="297">
        <f t="shared" si="6"/>
        <v>532826.69000000006</v>
      </c>
      <c r="BA71" s="297">
        <f t="shared" si="6"/>
        <v>46.34</v>
      </c>
      <c r="BB71" s="297">
        <f t="shared" si="6"/>
        <v>0</v>
      </c>
      <c r="BC71" s="297">
        <f t="shared" si="6"/>
        <v>0</v>
      </c>
      <c r="BD71" s="297">
        <f t="shared" si="6"/>
        <v>200925.59</v>
      </c>
      <c r="BE71" s="297">
        <f t="shared" si="6"/>
        <v>867626.87</v>
      </c>
      <c r="BF71" s="297">
        <f t="shared" si="6"/>
        <v>455153.54</v>
      </c>
      <c r="BG71" s="297">
        <f t="shared" si="6"/>
        <v>8928.93</v>
      </c>
      <c r="BH71" s="297">
        <f t="shared" si="6"/>
        <v>37264.949999999997</v>
      </c>
      <c r="BI71" s="297">
        <f t="shared" si="6"/>
        <v>0</v>
      </c>
      <c r="BJ71" s="297">
        <f t="shared" si="6"/>
        <v>0</v>
      </c>
      <c r="BK71" s="297">
        <f t="shared" si="6"/>
        <v>40732.07</v>
      </c>
      <c r="BL71" s="297">
        <f t="shared" si="6"/>
        <v>555500.36</v>
      </c>
      <c r="BM71" s="297">
        <f t="shared" si="6"/>
        <v>110449.16</v>
      </c>
      <c r="BN71" s="297">
        <f t="shared" si="6"/>
        <v>2831696.12</v>
      </c>
      <c r="BO71" s="297">
        <f t="shared" si="6"/>
        <v>0</v>
      </c>
      <c r="BP71" s="297">
        <f t="shared" ref="BP71:CC71" si="7">SUM(BP61:BP69)-BP70</f>
        <v>0</v>
      </c>
      <c r="BQ71" s="297">
        <f t="shared" si="7"/>
        <v>0</v>
      </c>
      <c r="BR71" s="297">
        <f t="shared" si="7"/>
        <v>35444.979999999996</v>
      </c>
      <c r="BS71" s="297">
        <f t="shared" si="7"/>
        <v>3051</v>
      </c>
      <c r="BT71" s="297">
        <f t="shared" si="7"/>
        <v>3864</v>
      </c>
      <c r="BU71" s="297">
        <f t="shared" si="7"/>
        <v>0</v>
      </c>
      <c r="BV71" s="297">
        <f t="shared" si="7"/>
        <v>444748.05</v>
      </c>
      <c r="BW71" s="297">
        <f t="shared" si="7"/>
        <v>0</v>
      </c>
      <c r="BX71" s="297">
        <f t="shared" si="7"/>
        <v>321476.34000000003</v>
      </c>
      <c r="BY71" s="297">
        <f t="shared" si="7"/>
        <v>403716.87</v>
      </c>
      <c r="BZ71" s="297">
        <f t="shared" si="7"/>
        <v>0</v>
      </c>
      <c r="CA71" s="297">
        <f t="shared" si="7"/>
        <v>54358.559999999998</v>
      </c>
      <c r="CB71" s="297">
        <f t="shared" si="7"/>
        <v>0</v>
      </c>
      <c r="CC71" s="297">
        <f t="shared" si="7"/>
        <v>456739.04000000004</v>
      </c>
      <c r="CD71" s="303">
        <f>CD69-CD70</f>
        <v>0</v>
      </c>
      <c r="CE71" s="297">
        <f>SUM(CE61:CE69)-CE70</f>
        <v>35170943.149999991</v>
      </c>
      <c r="CF71" s="2"/>
    </row>
    <row r="72" spans="1:84" ht="12.65" customHeight="1" x14ac:dyDescent="0.3">
      <c r="A72" s="304" t="s">
        <v>244</v>
      </c>
      <c r="B72" s="297"/>
      <c r="C72" s="308" t="s">
        <v>221</v>
      </c>
      <c r="D72" s="308" t="s">
        <v>221</v>
      </c>
      <c r="E72" s="308" t="s">
        <v>221</v>
      </c>
      <c r="F72" s="308" t="s">
        <v>221</v>
      </c>
      <c r="G72" s="308" t="s">
        <v>221</v>
      </c>
      <c r="H72" s="308" t="s">
        <v>221</v>
      </c>
      <c r="I72" s="308" t="s">
        <v>221</v>
      </c>
      <c r="J72" s="308" t="s">
        <v>221</v>
      </c>
      <c r="K72" s="254" t="s">
        <v>221</v>
      </c>
      <c r="L72" s="308" t="s">
        <v>221</v>
      </c>
      <c r="M72" s="308" t="s">
        <v>221</v>
      </c>
      <c r="N72" s="308" t="s">
        <v>221</v>
      </c>
      <c r="O72" s="308" t="s">
        <v>221</v>
      </c>
      <c r="P72" s="308" t="s">
        <v>221</v>
      </c>
      <c r="Q72" s="308" t="s">
        <v>221</v>
      </c>
      <c r="R72" s="308" t="s">
        <v>221</v>
      </c>
      <c r="S72" s="308" t="s">
        <v>221</v>
      </c>
      <c r="T72" s="308" t="s">
        <v>221</v>
      </c>
      <c r="U72" s="308" t="s">
        <v>221</v>
      </c>
      <c r="V72" s="308" t="s">
        <v>221</v>
      </c>
      <c r="W72" s="308" t="s">
        <v>221</v>
      </c>
      <c r="X72" s="308" t="s">
        <v>221</v>
      </c>
      <c r="Y72" s="308" t="s">
        <v>221</v>
      </c>
      <c r="Z72" s="308" t="s">
        <v>221</v>
      </c>
      <c r="AA72" s="308" t="s">
        <v>221</v>
      </c>
      <c r="AB72" s="308" t="s">
        <v>221</v>
      </c>
      <c r="AC72" s="308" t="s">
        <v>221</v>
      </c>
      <c r="AD72" s="308" t="s">
        <v>221</v>
      </c>
      <c r="AE72" s="308" t="s">
        <v>221</v>
      </c>
      <c r="AF72" s="308" t="s">
        <v>221</v>
      </c>
      <c r="AG72" s="308" t="s">
        <v>221</v>
      </c>
      <c r="AH72" s="308" t="s">
        <v>221</v>
      </c>
      <c r="AI72" s="308" t="s">
        <v>221</v>
      </c>
      <c r="AJ72" s="308" t="s">
        <v>221</v>
      </c>
      <c r="AK72" s="308" t="s">
        <v>221</v>
      </c>
      <c r="AL72" s="308" t="s">
        <v>221</v>
      </c>
      <c r="AM72" s="308" t="s">
        <v>221</v>
      </c>
      <c r="AN72" s="308" t="s">
        <v>221</v>
      </c>
      <c r="AO72" s="308" t="s">
        <v>221</v>
      </c>
      <c r="AP72" s="308" t="s">
        <v>221</v>
      </c>
      <c r="AQ72" s="308" t="s">
        <v>221</v>
      </c>
      <c r="AR72" s="308" t="s">
        <v>221</v>
      </c>
      <c r="AS72" s="308" t="s">
        <v>221</v>
      </c>
      <c r="AT72" s="308" t="s">
        <v>221</v>
      </c>
      <c r="AU72" s="308" t="s">
        <v>221</v>
      </c>
      <c r="AV72" s="308" t="s">
        <v>221</v>
      </c>
      <c r="AW72" s="308" t="s">
        <v>221</v>
      </c>
      <c r="AX72" s="308" t="s">
        <v>221</v>
      </c>
      <c r="AY72" s="308" t="s">
        <v>221</v>
      </c>
      <c r="AZ72" s="308" t="s">
        <v>221</v>
      </c>
      <c r="BA72" s="308" t="s">
        <v>221</v>
      </c>
      <c r="BB72" s="308" t="s">
        <v>221</v>
      </c>
      <c r="BC72" s="308" t="s">
        <v>221</v>
      </c>
      <c r="BD72" s="308" t="s">
        <v>221</v>
      </c>
      <c r="BE72" s="308" t="s">
        <v>221</v>
      </c>
      <c r="BF72" s="308" t="s">
        <v>221</v>
      </c>
      <c r="BG72" s="308" t="s">
        <v>221</v>
      </c>
      <c r="BH72" s="308" t="s">
        <v>221</v>
      </c>
      <c r="BI72" s="308" t="s">
        <v>221</v>
      </c>
      <c r="BJ72" s="308" t="s">
        <v>221</v>
      </c>
      <c r="BK72" s="308" t="s">
        <v>221</v>
      </c>
      <c r="BL72" s="308" t="s">
        <v>221</v>
      </c>
      <c r="BM72" s="308" t="s">
        <v>221</v>
      </c>
      <c r="BN72" s="308" t="s">
        <v>221</v>
      </c>
      <c r="BO72" s="308" t="s">
        <v>221</v>
      </c>
      <c r="BP72" s="308" t="s">
        <v>221</v>
      </c>
      <c r="BQ72" s="308" t="s">
        <v>221</v>
      </c>
      <c r="BR72" s="308" t="s">
        <v>221</v>
      </c>
      <c r="BS72" s="308" t="s">
        <v>221</v>
      </c>
      <c r="BT72" s="308" t="s">
        <v>221</v>
      </c>
      <c r="BU72" s="308" t="s">
        <v>221</v>
      </c>
      <c r="BV72" s="308" t="s">
        <v>221</v>
      </c>
      <c r="BW72" s="308" t="s">
        <v>221</v>
      </c>
      <c r="BX72" s="308" t="s">
        <v>221</v>
      </c>
      <c r="BY72" s="308" t="s">
        <v>221</v>
      </c>
      <c r="BZ72" s="308" t="s">
        <v>221</v>
      </c>
      <c r="CA72" s="308" t="s">
        <v>221</v>
      </c>
      <c r="CB72" s="308" t="s">
        <v>221</v>
      </c>
      <c r="CC72" s="308" t="s">
        <v>221</v>
      </c>
      <c r="CD72" s="308" t="s">
        <v>221</v>
      </c>
      <c r="CE72" s="311"/>
      <c r="CF72" s="2"/>
    </row>
    <row r="73" spans="1:84" ht="12.65" customHeight="1" x14ac:dyDescent="0.3">
      <c r="A73" s="304" t="s">
        <v>245</v>
      </c>
      <c r="B73" s="297"/>
      <c r="C73" s="302">
        <f>1399840.06</f>
        <v>1399840.06</v>
      </c>
      <c r="D73" s="302"/>
      <c r="E73" s="185">
        <f>8076724.96+1276-9002.7+72780.66</f>
        <v>8141778.9199999999</v>
      </c>
      <c r="F73" s="185"/>
      <c r="G73" s="302"/>
      <c r="H73" s="302">
        <f>3750280.9</f>
        <v>3750280.9</v>
      </c>
      <c r="I73" s="185"/>
      <c r="J73" s="185">
        <f>871628.21</f>
        <v>871628.21</v>
      </c>
      <c r="K73" s="185"/>
      <c r="L73" s="185"/>
      <c r="M73" s="302"/>
      <c r="N73" s="302"/>
      <c r="O73" s="302">
        <f>1052284.46+1955888.1</f>
        <v>3008172.56</v>
      </c>
      <c r="P73" s="185">
        <f>3166122.09+876619.51</f>
        <v>4042741.5999999996</v>
      </c>
      <c r="Q73" s="185">
        <f>59604.72</f>
        <v>59604.72</v>
      </c>
      <c r="R73" s="185">
        <f>236845.65</f>
        <v>236845.65</v>
      </c>
      <c r="S73" s="185">
        <f>107993.09</f>
        <v>107993.09</v>
      </c>
      <c r="T73" s="185"/>
      <c r="U73" s="185">
        <f>6362984.82+65409.91</f>
        <v>6428394.7300000004</v>
      </c>
      <c r="V73" s="185">
        <f>325992.96</f>
        <v>325992.96000000002</v>
      </c>
      <c r="W73" s="185">
        <f>46728.31</f>
        <v>46728.31</v>
      </c>
      <c r="X73" s="185">
        <f>2250119.94</f>
        <v>2250119.94</v>
      </c>
      <c r="Y73" s="185">
        <f>1033511.12+135282.05</f>
        <v>1168793.17</v>
      </c>
      <c r="Z73" s="185"/>
      <c r="AA73" s="185"/>
      <c r="AB73" s="185">
        <f>7245597.79+6536.11</f>
        <v>7252133.9000000004</v>
      </c>
      <c r="AC73" s="185">
        <f>2950349.93</f>
        <v>2950349.93</v>
      </c>
      <c r="AD73" s="185"/>
      <c r="AE73" s="185">
        <f>62516.86</f>
        <v>62516.86</v>
      </c>
      <c r="AF73" s="185"/>
      <c r="AG73" s="185">
        <f>2520949.36</f>
        <v>2520949.36</v>
      </c>
      <c r="AH73" s="185"/>
      <c r="AI73" s="185"/>
      <c r="AJ73" s="185">
        <f>-147</f>
        <v>-147</v>
      </c>
      <c r="AK73" s="185">
        <f>-11748.1</f>
        <v>-11748.1</v>
      </c>
      <c r="AL73" s="185">
        <f>30531.63</f>
        <v>30531.63</v>
      </c>
      <c r="AM73" s="185"/>
      <c r="AN73" s="185"/>
      <c r="AO73" s="185">
        <f>881819.74</f>
        <v>881819.74</v>
      </c>
      <c r="AP73" s="185"/>
      <c r="AQ73" s="185"/>
      <c r="AR73" s="185"/>
      <c r="AS73" s="185"/>
      <c r="AT73" s="185"/>
      <c r="AU73" s="185"/>
      <c r="AV73" s="185">
        <f>22535.29+7395.01</f>
        <v>29930.300000000003</v>
      </c>
      <c r="AW73" s="308" t="s">
        <v>221</v>
      </c>
      <c r="AX73" s="308" t="s">
        <v>221</v>
      </c>
      <c r="AY73" s="308" t="s">
        <v>221</v>
      </c>
      <c r="AZ73" s="308" t="s">
        <v>221</v>
      </c>
      <c r="BA73" s="308" t="s">
        <v>221</v>
      </c>
      <c r="BB73" s="308" t="s">
        <v>221</v>
      </c>
      <c r="BC73" s="308" t="s">
        <v>221</v>
      </c>
      <c r="BD73" s="308" t="s">
        <v>221</v>
      </c>
      <c r="BE73" s="308" t="s">
        <v>221</v>
      </c>
      <c r="BF73" s="308" t="s">
        <v>221</v>
      </c>
      <c r="BG73" s="308" t="s">
        <v>221</v>
      </c>
      <c r="BH73" s="308" t="s">
        <v>221</v>
      </c>
      <c r="BI73" s="308" t="s">
        <v>221</v>
      </c>
      <c r="BJ73" s="308" t="s">
        <v>221</v>
      </c>
      <c r="BK73" s="308" t="s">
        <v>221</v>
      </c>
      <c r="BL73" s="308" t="s">
        <v>221</v>
      </c>
      <c r="BM73" s="308" t="s">
        <v>221</v>
      </c>
      <c r="BN73" s="308" t="s">
        <v>221</v>
      </c>
      <c r="BO73" s="308" t="s">
        <v>221</v>
      </c>
      <c r="BP73" s="308" t="s">
        <v>221</v>
      </c>
      <c r="BQ73" s="308" t="s">
        <v>221</v>
      </c>
      <c r="BR73" s="308" t="s">
        <v>221</v>
      </c>
      <c r="BS73" s="308" t="s">
        <v>221</v>
      </c>
      <c r="BT73" s="308" t="s">
        <v>221</v>
      </c>
      <c r="BU73" s="308" t="s">
        <v>221</v>
      </c>
      <c r="BV73" s="308" t="s">
        <v>221</v>
      </c>
      <c r="BW73" s="308" t="s">
        <v>221</v>
      </c>
      <c r="BX73" s="308" t="s">
        <v>221</v>
      </c>
      <c r="BY73" s="308" t="s">
        <v>221</v>
      </c>
      <c r="BZ73" s="308" t="s">
        <v>221</v>
      </c>
      <c r="CA73" s="308" t="s">
        <v>221</v>
      </c>
      <c r="CB73" s="308" t="s">
        <v>221</v>
      </c>
      <c r="CC73" s="308" t="s">
        <v>221</v>
      </c>
      <c r="CD73" s="308" t="s">
        <v>221</v>
      </c>
      <c r="CE73" s="297">
        <f t="shared" ref="CE73:CE80" si="8">SUM(C73:CD73)</f>
        <v>45555251.439999998</v>
      </c>
      <c r="CF73" s="2"/>
    </row>
    <row r="74" spans="1:84" ht="12.65" customHeight="1" x14ac:dyDescent="0.3">
      <c r="A74" s="304" t="s">
        <v>246</v>
      </c>
      <c r="B74" s="297"/>
      <c r="C74" s="302">
        <f>57594.83</f>
        <v>57594.83</v>
      </c>
      <c r="D74" s="302"/>
      <c r="E74" s="185">
        <f>-7644+4786.95+748159.92</f>
        <v>745302.87</v>
      </c>
      <c r="F74" s="185"/>
      <c r="G74" s="302"/>
      <c r="H74" s="302"/>
      <c r="I74" s="302"/>
      <c r="J74" s="185"/>
      <c r="K74" s="185"/>
      <c r="L74" s="185"/>
      <c r="M74" s="302"/>
      <c r="N74" s="302"/>
      <c r="O74" s="302">
        <f>213318.86+28756.08</f>
        <v>242074.94</v>
      </c>
      <c r="P74" s="185">
        <f>8444098.84+1067667.86</f>
        <v>9511766.6999999993</v>
      </c>
      <c r="Q74" s="185">
        <f>729341.87</f>
        <v>729341.87</v>
      </c>
      <c r="R74" s="185">
        <f>575543.77</f>
        <v>575543.77</v>
      </c>
      <c r="S74" s="185">
        <f>485393.37</f>
        <v>485393.37</v>
      </c>
      <c r="T74" s="185"/>
      <c r="U74" s="185">
        <f>14220918.32+44638.04</f>
        <v>14265556.359999999</v>
      </c>
      <c r="V74" s="185">
        <f>1075589.65</f>
        <v>1075589.6499999999</v>
      </c>
      <c r="W74" s="185">
        <f>885242.2</f>
        <v>885242.2</v>
      </c>
      <c r="X74" s="185">
        <f>14511708.78</f>
        <v>14511708.779999999</v>
      </c>
      <c r="Y74" s="185">
        <f>6710863.7+2251442.12</f>
        <v>8962305.8200000003</v>
      </c>
      <c r="Z74" s="185"/>
      <c r="AA74" s="185"/>
      <c r="AB74" s="185">
        <f>2787748.76+209634.45</f>
        <v>2997383.21</v>
      </c>
      <c r="AC74" s="185">
        <f>450248.11</f>
        <v>450248.11</v>
      </c>
      <c r="AD74" s="185"/>
      <c r="AE74" s="185">
        <f>148271.18</f>
        <v>148271.18</v>
      </c>
      <c r="AF74" s="185"/>
      <c r="AG74" s="185">
        <f>20644166.62</f>
        <v>20644166.620000001</v>
      </c>
      <c r="AH74" s="185"/>
      <c r="AI74" s="185"/>
      <c r="AJ74" s="185">
        <f>2396695.54+8917751.46+1777736.07+6999612.27</f>
        <v>20091795.34</v>
      </c>
      <c r="AK74" s="185">
        <f>23793.28</f>
        <v>23793.279999999999</v>
      </c>
      <c r="AL74" s="185"/>
      <c r="AM74" s="185"/>
      <c r="AN74" s="185"/>
      <c r="AO74" s="185">
        <f>119011.41</f>
        <v>119011.41</v>
      </c>
      <c r="AP74" s="185"/>
      <c r="AQ74" s="185"/>
      <c r="AR74" s="185"/>
      <c r="AS74" s="185"/>
      <c r="AT74" s="185"/>
      <c r="AU74" s="185"/>
      <c r="AV74" s="185">
        <f>85693.19+260.36</f>
        <v>85953.55</v>
      </c>
      <c r="AW74" s="308" t="s">
        <v>221</v>
      </c>
      <c r="AX74" s="308" t="s">
        <v>221</v>
      </c>
      <c r="AY74" s="308" t="s">
        <v>221</v>
      </c>
      <c r="AZ74" s="308" t="s">
        <v>221</v>
      </c>
      <c r="BA74" s="308" t="s">
        <v>221</v>
      </c>
      <c r="BB74" s="308" t="s">
        <v>221</v>
      </c>
      <c r="BC74" s="308" t="s">
        <v>221</v>
      </c>
      <c r="BD74" s="308" t="s">
        <v>221</v>
      </c>
      <c r="BE74" s="308" t="s">
        <v>221</v>
      </c>
      <c r="BF74" s="308" t="s">
        <v>221</v>
      </c>
      <c r="BG74" s="308" t="s">
        <v>221</v>
      </c>
      <c r="BH74" s="308" t="s">
        <v>221</v>
      </c>
      <c r="BI74" s="308" t="s">
        <v>221</v>
      </c>
      <c r="BJ74" s="308" t="s">
        <v>221</v>
      </c>
      <c r="BK74" s="308" t="s">
        <v>221</v>
      </c>
      <c r="BL74" s="308" t="s">
        <v>221</v>
      </c>
      <c r="BM74" s="308" t="s">
        <v>221</v>
      </c>
      <c r="BN74" s="308" t="s">
        <v>221</v>
      </c>
      <c r="BO74" s="308" t="s">
        <v>221</v>
      </c>
      <c r="BP74" s="308" t="s">
        <v>221</v>
      </c>
      <c r="BQ74" s="308" t="s">
        <v>221</v>
      </c>
      <c r="BR74" s="308" t="s">
        <v>221</v>
      </c>
      <c r="BS74" s="308" t="s">
        <v>221</v>
      </c>
      <c r="BT74" s="308" t="s">
        <v>221</v>
      </c>
      <c r="BU74" s="308" t="s">
        <v>221</v>
      </c>
      <c r="BV74" s="308" t="s">
        <v>221</v>
      </c>
      <c r="BW74" s="308" t="s">
        <v>221</v>
      </c>
      <c r="BX74" s="308" t="s">
        <v>221</v>
      </c>
      <c r="BY74" s="308" t="s">
        <v>221</v>
      </c>
      <c r="BZ74" s="308" t="s">
        <v>221</v>
      </c>
      <c r="CA74" s="308" t="s">
        <v>221</v>
      </c>
      <c r="CB74" s="308" t="s">
        <v>221</v>
      </c>
      <c r="CC74" s="308" t="s">
        <v>221</v>
      </c>
      <c r="CD74" s="308" t="s">
        <v>221</v>
      </c>
      <c r="CE74" s="297">
        <f t="shared" si="8"/>
        <v>96608043.859999999</v>
      </c>
      <c r="CF74" s="2"/>
    </row>
    <row r="75" spans="1:84" ht="12.65" customHeight="1" x14ac:dyDescent="0.3">
      <c r="A75" s="304" t="s">
        <v>247</v>
      </c>
      <c r="B75" s="297"/>
      <c r="C75" s="297">
        <f t="shared" ref="C75:AV75" si="9">SUM(C73:C74)</f>
        <v>1457434.8900000001</v>
      </c>
      <c r="D75" s="297">
        <f t="shared" si="9"/>
        <v>0</v>
      </c>
      <c r="E75" s="297">
        <f t="shared" si="9"/>
        <v>8887081.7899999991</v>
      </c>
      <c r="F75" s="297">
        <f t="shared" si="9"/>
        <v>0</v>
      </c>
      <c r="G75" s="297">
        <f t="shared" si="9"/>
        <v>0</v>
      </c>
      <c r="H75" s="297">
        <f t="shared" si="9"/>
        <v>3750280.9</v>
      </c>
      <c r="I75" s="297">
        <f t="shared" si="9"/>
        <v>0</v>
      </c>
      <c r="J75" s="297">
        <f t="shared" si="9"/>
        <v>871628.21</v>
      </c>
      <c r="K75" s="297">
        <f t="shared" si="9"/>
        <v>0</v>
      </c>
      <c r="L75" s="297">
        <f t="shared" si="9"/>
        <v>0</v>
      </c>
      <c r="M75" s="297">
        <f t="shared" si="9"/>
        <v>0</v>
      </c>
      <c r="N75" s="297">
        <f t="shared" si="9"/>
        <v>0</v>
      </c>
      <c r="O75" s="297">
        <f t="shared" si="9"/>
        <v>3250247.5</v>
      </c>
      <c r="P75" s="297">
        <f t="shared" si="9"/>
        <v>13554508.299999999</v>
      </c>
      <c r="Q75" s="297">
        <f t="shared" si="9"/>
        <v>788946.59</v>
      </c>
      <c r="R75" s="297">
        <f t="shared" si="9"/>
        <v>812389.42</v>
      </c>
      <c r="S75" s="297">
        <f t="shared" si="9"/>
        <v>593386.46</v>
      </c>
      <c r="T75" s="297">
        <f t="shared" si="9"/>
        <v>0</v>
      </c>
      <c r="U75" s="297">
        <f t="shared" si="9"/>
        <v>20693951.09</v>
      </c>
      <c r="V75" s="297">
        <f t="shared" si="9"/>
        <v>1401582.6099999999</v>
      </c>
      <c r="W75" s="297">
        <f t="shared" si="9"/>
        <v>931970.51</v>
      </c>
      <c r="X75" s="297">
        <f t="shared" si="9"/>
        <v>16761828.719999999</v>
      </c>
      <c r="Y75" s="297">
        <f t="shared" si="9"/>
        <v>10131098.99</v>
      </c>
      <c r="Z75" s="297">
        <f t="shared" si="9"/>
        <v>0</v>
      </c>
      <c r="AA75" s="297">
        <f t="shared" si="9"/>
        <v>0</v>
      </c>
      <c r="AB75" s="297">
        <f t="shared" si="9"/>
        <v>10249517.109999999</v>
      </c>
      <c r="AC75" s="297">
        <f t="shared" si="9"/>
        <v>3400598.04</v>
      </c>
      <c r="AD75" s="297">
        <f t="shared" si="9"/>
        <v>0</v>
      </c>
      <c r="AE75" s="297">
        <f t="shared" si="9"/>
        <v>210788.03999999998</v>
      </c>
      <c r="AF75" s="297">
        <f t="shared" si="9"/>
        <v>0</v>
      </c>
      <c r="AG75" s="297">
        <f t="shared" si="9"/>
        <v>23165115.98</v>
      </c>
      <c r="AH75" s="297">
        <f t="shared" si="9"/>
        <v>0</v>
      </c>
      <c r="AI75" s="297">
        <f t="shared" si="9"/>
        <v>0</v>
      </c>
      <c r="AJ75" s="297">
        <f t="shared" si="9"/>
        <v>20091648.34</v>
      </c>
      <c r="AK75" s="297">
        <f t="shared" si="9"/>
        <v>12045.179999999998</v>
      </c>
      <c r="AL75" s="297">
        <f t="shared" si="9"/>
        <v>30531.63</v>
      </c>
      <c r="AM75" s="297">
        <f t="shared" si="9"/>
        <v>0</v>
      </c>
      <c r="AN75" s="297">
        <f t="shared" si="9"/>
        <v>0</v>
      </c>
      <c r="AO75" s="297">
        <f t="shared" si="9"/>
        <v>1000831.15</v>
      </c>
      <c r="AP75" s="297">
        <f t="shared" si="9"/>
        <v>0</v>
      </c>
      <c r="AQ75" s="297">
        <f t="shared" si="9"/>
        <v>0</v>
      </c>
      <c r="AR75" s="297">
        <f t="shared" si="9"/>
        <v>0</v>
      </c>
      <c r="AS75" s="297">
        <f t="shared" si="9"/>
        <v>0</v>
      </c>
      <c r="AT75" s="297">
        <f t="shared" si="9"/>
        <v>0</v>
      </c>
      <c r="AU75" s="297">
        <f t="shared" si="9"/>
        <v>0</v>
      </c>
      <c r="AV75" s="297">
        <f t="shared" si="9"/>
        <v>115883.85</v>
      </c>
      <c r="AW75" s="308" t="s">
        <v>221</v>
      </c>
      <c r="AX75" s="308" t="s">
        <v>221</v>
      </c>
      <c r="AY75" s="308" t="s">
        <v>221</v>
      </c>
      <c r="AZ75" s="308" t="s">
        <v>221</v>
      </c>
      <c r="BA75" s="308" t="s">
        <v>221</v>
      </c>
      <c r="BB75" s="308" t="s">
        <v>221</v>
      </c>
      <c r="BC75" s="308" t="s">
        <v>221</v>
      </c>
      <c r="BD75" s="308" t="s">
        <v>221</v>
      </c>
      <c r="BE75" s="308" t="s">
        <v>221</v>
      </c>
      <c r="BF75" s="308" t="s">
        <v>221</v>
      </c>
      <c r="BG75" s="308" t="s">
        <v>221</v>
      </c>
      <c r="BH75" s="308" t="s">
        <v>221</v>
      </c>
      <c r="BI75" s="308" t="s">
        <v>221</v>
      </c>
      <c r="BJ75" s="308" t="s">
        <v>221</v>
      </c>
      <c r="BK75" s="308" t="s">
        <v>221</v>
      </c>
      <c r="BL75" s="308" t="s">
        <v>221</v>
      </c>
      <c r="BM75" s="308" t="s">
        <v>221</v>
      </c>
      <c r="BN75" s="308" t="s">
        <v>221</v>
      </c>
      <c r="BO75" s="308" t="s">
        <v>221</v>
      </c>
      <c r="BP75" s="308" t="s">
        <v>221</v>
      </c>
      <c r="BQ75" s="308" t="s">
        <v>221</v>
      </c>
      <c r="BR75" s="308" t="s">
        <v>221</v>
      </c>
      <c r="BS75" s="308" t="s">
        <v>221</v>
      </c>
      <c r="BT75" s="308" t="s">
        <v>221</v>
      </c>
      <c r="BU75" s="308" t="s">
        <v>221</v>
      </c>
      <c r="BV75" s="308" t="s">
        <v>221</v>
      </c>
      <c r="BW75" s="308" t="s">
        <v>221</v>
      </c>
      <c r="BX75" s="308" t="s">
        <v>221</v>
      </c>
      <c r="BY75" s="308" t="s">
        <v>221</v>
      </c>
      <c r="BZ75" s="308" t="s">
        <v>221</v>
      </c>
      <c r="CA75" s="308" t="s">
        <v>221</v>
      </c>
      <c r="CB75" s="308" t="s">
        <v>221</v>
      </c>
      <c r="CC75" s="308" t="s">
        <v>221</v>
      </c>
      <c r="CD75" s="308" t="s">
        <v>221</v>
      </c>
      <c r="CE75" s="297">
        <f t="shared" si="8"/>
        <v>142163295.29999998</v>
      </c>
      <c r="CF75" s="2"/>
    </row>
    <row r="76" spans="1:84" ht="12.65" customHeight="1" x14ac:dyDescent="0.3">
      <c r="A76" s="304" t="s">
        <v>248</v>
      </c>
      <c r="B76" s="297"/>
      <c r="C76" s="302">
        <v>3000</v>
      </c>
      <c r="D76" s="302"/>
      <c r="E76" s="185">
        <v>9343</v>
      </c>
      <c r="F76" s="185"/>
      <c r="G76" s="302"/>
      <c r="H76" s="302">
        <v>3872</v>
      </c>
      <c r="I76" s="185"/>
      <c r="J76" s="185">
        <v>700</v>
      </c>
      <c r="K76" s="185"/>
      <c r="L76" s="185"/>
      <c r="M76" s="185"/>
      <c r="N76" s="185"/>
      <c r="O76" s="185">
        <v>8865</v>
      </c>
      <c r="P76" s="185">
        <v>2450</v>
      </c>
      <c r="Q76" s="185">
        <v>3905</v>
      </c>
      <c r="R76" s="185">
        <v>160</v>
      </c>
      <c r="S76" s="185"/>
      <c r="T76" s="185"/>
      <c r="U76" s="185">
        <v>2741</v>
      </c>
      <c r="V76" s="185"/>
      <c r="W76" s="185"/>
      <c r="X76" s="185"/>
      <c r="Y76" s="185">
        <v>4078</v>
      </c>
      <c r="Z76" s="185"/>
      <c r="AA76" s="185"/>
      <c r="AB76" s="185">
        <v>1062</v>
      </c>
      <c r="AC76" s="185">
        <v>842</v>
      </c>
      <c r="AD76" s="185"/>
      <c r="AE76" s="185">
        <v>550</v>
      </c>
      <c r="AF76" s="185"/>
      <c r="AG76" s="185">
        <v>4626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1663</v>
      </c>
      <c r="AZ76" s="185"/>
      <c r="BA76" s="185"/>
      <c r="BB76" s="185"/>
      <c r="BC76" s="185"/>
      <c r="BD76" s="185">
        <v>2128</v>
      </c>
      <c r="BE76" s="185">
        <v>3107</v>
      </c>
      <c r="BF76" s="185">
        <f>1348-550</f>
        <v>798</v>
      </c>
      <c r="BG76" s="185"/>
      <c r="BH76" s="185">
        <v>280</v>
      </c>
      <c r="BI76" s="185"/>
      <c r="BJ76" s="185"/>
      <c r="BK76" s="185">
        <v>2500</v>
      </c>
      <c r="BL76" s="185"/>
      <c r="BM76" s="185"/>
      <c r="BN76" s="185">
        <v>2193</v>
      </c>
      <c r="BO76" s="185"/>
      <c r="BP76" s="185"/>
      <c r="BQ76" s="185"/>
      <c r="BR76" s="185">
        <v>408</v>
      </c>
      <c r="BS76" s="185">
        <v>300</v>
      </c>
      <c r="BT76" s="185">
        <v>380</v>
      </c>
      <c r="BU76" s="185"/>
      <c r="BV76" s="185">
        <v>1360</v>
      </c>
      <c r="BW76" s="185"/>
      <c r="BX76" s="185">
        <v>324</v>
      </c>
      <c r="BY76" s="185"/>
      <c r="BZ76" s="185"/>
      <c r="CA76" s="185"/>
      <c r="CB76" s="185"/>
      <c r="CC76" s="185">
        <v>8658</v>
      </c>
      <c r="CD76" s="308" t="s">
        <v>221</v>
      </c>
      <c r="CE76" s="297">
        <f t="shared" si="8"/>
        <v>70293</v>
      </c>
      <c r="CF76" s="297">
        <f>BE59-CE76</f>
        <v>0</v>
      </c>
    </row>
    <row r="77" spans="1:84" ht="12.65" customHeight="1" x14ac:dyDescent="0.3">
      <c r="A77" s="304" t="s">
        <v>249</v>
      </c>
      <c r="B77" s="297"/>
      <c r="C77" s="302">
        <f>802</f>
        <v>802</v>
      </c>
      <c r="D77" s="302"/>
      <c r="E77" s="302">
        <f>12837</f>
        <v>12837</v>
      </c>
      <c r="F77" s="302"/>
      <c r="G77" s="302"/>
      <c r="H77" s="302">
        <f>13015</f>
        <v>13015</v>
      </c>
      <c r="I77" s="302"/>
      <c r="J77" s="302"/>
      <c r="K77" s="302"/>
      <c r="L77" s="302"/>
      <c r="M77" s="302"/>
      <c r="N77" s="302"/>
      <c r="O77" s="302">
        <f>2693</f>
        <v>2693</v>
      </c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8" t="s">
        <v>221</v>
      </c>
      <c r="AY77" s="308" t="s">
        <v>221</v>
      </c>
      <c r="AZ77" s="302"/>
      <c r="BA77" s="302"/>
      <c r="BB77" s="302"/>
      <c r="BC77" s="302"/>
      <c r="BD77" s="308" t="s">
        <v>221</v>
      </c>
      <c r="BE77" s="308" t="s">
        <v>221</v>
      </c>
      <c r="BF77" s="302"/>
      <c r="BG77" s="308" t="s">
        <v>221</v>
      </c>
      <c r="BH77" s="302"/>
      <c r="BI77" s="302"/>
      <c r="BJ77" s="308" t="s">
        <v>221</v>
      </c>
      <c r="BK77" s="302"/>
      <c r="BL77" s="302"/>
      <c r="BM77" s="302"/>
      <c r="BN77" s="308" t="s">
        <v>221</v>
      </c>
      <c r="BO77" s="308" t="s">
        <v>221</v>
      </c>
      <c r="BP77" s="308" t="s">
        <v>221</v>
      </c>
      <c r="BQ77" s="308" t="s">
        <v>221</v>
      </c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8" t="s">
        <v>221</v>
      </c>
      <c r="CD77" s="308" t="s">
        <v>221</v>
      </c>
      <c r="CE77" s="297">
        <f>SUM(C77:CD77)</f>
        <v>29347</v>
      </c>
      <c r="CF77" s="297">
        <f>AY59-CE77</f>
        <v>0</v>
      </c>
    </row>
    <row r="78" spans="1:84" ht="12.65" customHeight="1" x14ac:dyDescent="0.3">
      <c r="A78" s="304" t="s">
        <v>250</v>
      </c>
      <c r="B78" s="297"/>
      <c r="C78" s="302"/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8" t="s">
        <v>221</v>
      </c>
      <c r="AY78" s="308" t="s">
        <v>221</v>
      </c>
      <c r="AZ78" s="308" t="s">
        <v>221</v>
      </c>
      <c r="BA78" s="302"/>
      <c r="BB78" s="302"/>
      <c r="BC78" s="302"/>
      <c r="BD78" s="308" t="s">
        <v>221</v>
      </c>
      <c r="BE78" s="308" t="s">
        <v>221</v>
      </c>
      <c r="BF78" s="308" t="s">
        <v>221</v>
      </c>
      <c r="BG78" s="308" t="s">
        <v>221</v>
      </c>
      <c r="BH78" s="302"/>
      <c r="BI78" s="302"/>
      <c r="BJ78" s="308" t="s">
        <v>221</v>
      </c>
      <c r="BK78" s="302"/>
      <c r="BL78" s="302"/>
      <c r="BM78" s="302"/>
      <c r="BN78" s="308" t="s">
        <v>221</v>
      </c>
      <c r="BO78" s="308" t="s">
        <v>221</v>
      </c>
      <c r="BP78" s="308" t="s">
        <v>221</v>
      </c>
      <c r="BQ78" s="308" t="s">
        <v>221</v>
      </c>
      <c r="BR78" s="308" t="s">
        <v>221</v>
      </c>
      <c r="BS78" s="302"/>
      <c r="BT78" s="302"/>
      <c r="BU78" s="302"/>
      <c r="BV78" s="302"/>
      <c r="BW78" s="302"/>
      <c r="BX78" s="302"/>
      <c r="BY78" s="302"/>
      <c r="BZ78" s="302"/>
      <c r="CA78" s="302"/>
      <c r="CB78" s="302"/>
      <c r="CC78" s="308" t="s">
        <v>221</v>
      </c>
      <c r="CD78" s="308" t="s">
        <v>221</v>
      </c>
      <c r="CE78" s="297">
        <f t="shared" si="8"/>
        <v>0</v>
      </c>
      <c r="CF78" s="297"/>
    </row>
    <row r="79" spans="1:84" ht="12.65" customHeight="1" x14ac:dyDescent="0.3">
      <c r="A79" s="304" t="s">
        <v>251</v>
      </c>
      <c r="B79" s="297"/>
      <c r="C79" s="225">
        <f>36033</f>
        <v>36033</v>
      </c>
      <c r="D79" s="225"/>
      <c r="E79" s="302">
        <f>9627+39286</f>
        <v>48913</v>
      </c>
      <c r="F79" s="302"/>
      <c r="G79" s="302"/>
      <c r="H79" s="302">
        <f>11944</f>
        <v>11944</v>
      </c>
      <c r="I79" s="302"/>
      <c r="J79" s="302"/>
      <c r="K79" s="302"/>
      <c r="L79" s="302"/>
      <c r="M79" s="302"/>
      <c r="N79" s="302"/>
      <c r="O79" s="302"/>
      <c r="P79" s="302">
        <f>23069</f>
        <v>23069</v>
      </c>
      <c r="Q79" s="302"/>
      <c r="R79" s="302"/>
      <c r="S79" s="302"/>
      <c r="T79" s="302"/>
      <c r="U79" s="302"/>
      <c r="V79" s="302"/>
      <c r="W79" s="302"/>
      <c r="X79" s="302"/>
      <c r="Y79" s="302">
        <f>20762</f>
        <v>20762</v>
      </c>
      <c r="Z79" s="302"/>
      <c r="AA79" s="302"/>
      <c r="AB79" s="302"/>
      <c r="AC79" s="302"/>
      <c r="AD79" s="302"/>
      <c r="AE79" s="302"/>
      <c r="AF79" s="302"/>
      <c r="AG79" s="302">
        <f>89969</f>
        <v>89969</v>
      </c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8" t="s">
        <v>221</v>
      </c>
      <c r="AY79" s="308" t="s">
        <v>221</v>
      </c>
      <c r="AZ79" s="308" t="s">
        <v>221</v>
      </c>
      <c r="BA79" s="308" t="s">
        <v>221</v>
      </c>
      <c r="BB79" s="302"/>
      <c r="BC79" s="302"/>
      <c r="BD79" s="308" t="s">
        <v>221</v>
      </c>
      <c r="BE79" s="308" t="s">
        <v>221</v>
      </c>
      <c r="BF79" s="308" t="s">
        <v>221</v>
      </c>
      <c r="BG79" s="308" t="s">
        <v>221</v>
      </c>
      <c r="BH79" s="302"/>
      <c r="BI79" s="302"/>
      <c r="BJ79" s="308" t="s">
        <v>221</v>
      </c>
      <c r="BK79" s="302"/>
      <c r="BL79" s="302"/>
      <c r="BM79" s="302"/>
      <c r="BN79" s="308" t="s">
        <v>221</v>
      </c>
      <c r="BO79" s="308" t="s">
        <v>221</v>
      </c>
      <c r="BP79" s="308" t="s">
        <v>221</v>
      </c>
      <c r="BQ79" s="308" t="s">
        <v>221</v>
      </c>
      <c r="BR79" s="308" t="s">
        <v>221</v>
      </c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8" t="s">
        <v>221</v>
      </c>
      <c r="CD79" s="308" t="s">
        <v>221</v>
      </c>
      <c r="CE79" s="297">
        <f t="shared" si="8"/>
        <v>230690</v>
      </c>
      <c r="CF79" s="297">
        <f>BA59</f>
        <v>0</v>
      </c>
    </row>
    <row r="80" spans="1:84" ht="12.65" customHeight="1" x14ac:dyDescent="0.3">
      <c r="A80" s="304" t="s">
        <v>252</v>
      </c>
      <c r="B80" s="297"/>
      <c r="C80" s="187">
        <f>7.06</f>
        <v>7.06</v>
      </c>
      <c r="D80" s="187"/>
      <c r="E80" s="187">
        <f>1.13+3.11+3.14+5.38+0.46+0.51</f>
        <v>13.730000000000002</v>
      </c>
      <c r="F80" s="187"/>
      <c r="G80" s="187"/>
      <c r="H80" s="187">
        <f>13.17</f>
        <v>13.17</v>
      </c>
      <c r="I80" s="187"/>
      <c r="J80" s="187"/>
      <c r="K80" s="187"/>
      <c r="L80" s="187"/>
      <c r="M80" s="187"/>
      <c r="N80" s="187"/>
      <c r="O80" s="187">
        <f>11.47+0.89</f>
        <v>12.360000000000001</v>
      </c>
      <c r="P80" s="187">
        <f>4.19+0.75</f>
        <v>4.9400000000000004</v>
      </c>
      <c r="Q80" s="187">
        <f>2.01</f>
        <v>2.0099999999999998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15.42</f>
        <v>15.42</v>
      </c>
      <c r="AH80" s="187"/>
      <c r="AI80" s="187"/>
      <c r="AJ80" s="187">
        <f>1.05</f>
        <v>1.05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8" t="s">
        <v>221</v>
      </c>
      <c r="AX80" s="308" t="s">
        <v>221</v>
      </c>
      <c r="AY80" s="308" t="s">
        <v>221</v>
      </c>
      <c r="AZ80" s="308" t="s">
        <v>221</v>
      </c>
      <c r="BA80" s="308" t="s">
        <v>221</v>
      </c>
      <c r="BB80" s="308" t="s">
        <v>221</v>
      </c>
      <c r="BC80" s="308" t="s">
        <v>221</v>
      </c>
      <c r="BD80" s="308" t="s">
        <v>221</v>
      </c>
      <c r="BE80" s="308" t="s">
        <v>221</v>
      </c>
      <c r="BF80" s="308" t="s">
        <v>221</v>
      </c>
      <c r="BG80" s="308" t="s">
        <v>221</v>
      </c>
      <c r="BH80" s="308" t="s">
        <v>221</v>
      </c>
      <c r="BI80" s="308" t="s">
        <v>221</v>
      </c>
      <c r="BJ80" s="308" t="s">
        <v>221</v>
      </c>
      <c r="BK80" s="308" t="s">
        <v>221</v>
      </c>
      <c r="BL80" s="308" t="s">
        <v>221</v>
      </c>
      <c r="BM80" s="308" t="s">
        <v>221</v>
      </c>
      <c r="BN80" s="308" t="s">
        <v>221</v>
      </c>
      <c r="BO80" s="308" t="s">
        <v>221</v>
      </c>
      <c r="BP80" s="308" t="s">
        <v>221</v>
      </c>
      <c r="BQ80" s="308" t="s">
        <v>221</v>
      </c>
      <c r="BR80" s="308" t="s">
        <v>221</v>
      </c>
      <c r="BS80" s="308" t="s">
        <v>221</v>
      </c>
      <c r="BT80" s="308" t="s">
        <v>221</v>
      </c>
      <c r="BU80" s="312"/>
      <c r="BV80" s="312"/>
      <c r="BW80" s="312"/>
      <c r="BX80" s="312"/>
      <c r="BY80" s="312"/>
      <c r="BZ80" s="312"/>
      <c r="CA80" s="312"/>
      <c r="CB80" s="312"/>
      <c r="CC80" s="308" t="s">
        <v>221</v>
      </c>
      <c r="CD80" s="308" t="s">
        <v>221</v>
      </c>
      <c r="CE80" s="313">
        <f t="shared" si="8"/>
        <v>69.739999999999995</v>
      </c>
      <c r="CF80" s="313"/>
    </row>
    <row r="81" spans="1:84" ht="21" customHeight="1" x14ac:dyDescent="0.3">
      <c r="A81" s="314" t="s">
        <v>253</v>
      </c>
      <c r="B81" s="314"/>
      <c r="C81" s="314"/>
      <c r="D81" s="314"/>
      <c r="E81" s="3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4" t="s">
        <v>254</v>
      </c>
      <c r="B82" s="315"/>
      <c r="C82" s="316" t="s">
        <v>1267</v>
      </c>
      <c r="D82" s="317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7" t="s">
        <v>255</v>
      </c>
      <c r="B83" s="315" t="s">
        <v>256</v>
      </c>
      <c r="C83" s="318" t="s">
        <v>1270</v>
      </c>
      <c r="D83" s="317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7" t="s">
        <v>257</v>
      </c>
      <c r="B84" s="315" t="s">
        <v>256</v>
      </c>
      <c r="C84" s="318" t="s">
        <v>1271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7" t="s">
        <v>1250</v>
      </c>
      <c r="B85" s="315"/>
      <c r="C85" s="318" t="s">
        <v>1272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7" t="s">
        <v>1251</v>
      </c>
      <c r="B86" s="315" t="s">
        <v>256</v>
      </c>
      <c r="C86" s="318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7" t="s">
        <v>258</v>
      </c>
      <c r="B87" s="315" t="s">
        <v>256</v>
      </c>
      <c r="C87" s="318" t="s">
        <v>1273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7" t="s">
        <v>259</v>
      </c>
      <c r="B88" s="315" t="s">
        <v>256</v>
      </c>
      <c r="C88" s="318" t="s">
        <v>1274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7" t="s">
        <v>260</v>
      </c>
      <c r="B89" s="315" t="s">
        <v>256</v>
      </c>
      <c r="C89" s="318" t="s">
        <v>1275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7" t="s">
        <v>261</v>
      </c>
      <c r="B90" s="315" t="s">
        <v>256</v>
      </c>
      <c r="C90" s="318" t="s">
        <v>1276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7" t="s">
        <v>262</v>
      </c>
      <c r="B91" s="315" t="s">
        <v>256</v>
      </c>
      <c r="C91" s="318" t="s">
        <v>1277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7" t="s">
        <v>263</v>
      </c>
      <c r="B92" s="315" t="s">
        <v>256</v>
      </c>
      <c r="C92" s="318" t="s">
        <v>1278</v>
      </c>
      <c r="D92" s="317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7" t="s">
        <v>264</v>
      </c>
      <c r="B93" s="315" t="s">
        <v>256</v>
      </c>
      <c r="C93" s="318" t="s">
        <v>1279</v>
      </c>
      <c r="D93" s="317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4" t="s">
        <v>265</v>
      </c>
      <c r="B95" s="314"/>
      <c r="C95" s="314"/>
      <c r="D95" s="314"/>
      <c r="E95" s="3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9" t="s">
        <v>266</v>
      </c>
      <c r="B96" s="319"/>
      <c r="C96" s="319"/>
      <c r="D96" s="319"/>
      <c r="E96" s="3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7" t="s">
        <v>267</v>
      </c>
      <c r="B97" s="315" t="s">
        <v>256</v>
      </c>
      <c r="C97" s="189"/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7" t="s">
        <v>259</v>
      </c>
      <c r="B98" s="315" t="s">
        <v>256</v>
      </c>
      <c r="C98" s="189"/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7" t="s">
        <v>268</v>
      </c>
      <c r="B99" s="315" t="s">
        <v>256</v>
      </c>
      <c r="C99" s="189"/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9" t="s">
        <v>269</v>
      </c>
      <c r="B100" s="319"/>
      <c r="C100" s="319"/>
      <c r="D100" s="319"/>
      <c r="E100" s="3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7" t="s">
        <v>270</v>
      </c>
      <c r="B101" s="315" t="s">
        <v>256</v>
      </c>
      <c r="C101" s="189"/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7" t="s">
        <v>132</v>
      </c>
      <c r="B102" s="315" t="s">
        <v>256</v>
      </c>
      <c r="C102" s="222">
        <v>1</v>
      </c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9" t="s">
        <v>271</v>
      </c>
      <c r="B103" s="319"/>
      <c r="C103" s="319"/>
      <c r="D103" s="319"/>
      <c r="E103" s="3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7" t="s">
        <v>272</v>
      </c>
      <c r="B104" s="315" t="s">
        <v>256</v>
      </c>
      <c r="C104" s="189"/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7" t="s">
        <v>273</v>
      </c>
      <c r="B105" s="315" t="s">
        <v>256</v>
      </c>
      <c r="C105" s="189"/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7" t="s">
        <v>274</v>
      </c>
      <c r="B106" s="315" t="s">
        <v>256</v>
      </c>
      <c r="C106" s="189"/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7"/>
      <c r="B107" s="315"/>
      <c r="C107" s="320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1" t="s">
        <v>275</v>
      </c>
      <c r="B108" s="314"/>
      <c r="C108" s="314"/>
      <c r="D108" s="314"/>
      <c r="E108" s="3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7"/>
      <c r="B109" s="315"/>
      <c r="C109" s="320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7" t="s">
        <v>278</v>
      </c>
      <c r="B111" s="315" t="s">
        <v>256</v>
      </c>
      <c r="C111" s="189">
        <v>1280</v>
      </c>
      <c r="D111" s="174">
        <v>7484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7" t="s">
        <v>279</v>
      </c>
      <c r="B112" s="315" t="s">
        <v>256</v>
      </c>
      <c r="C112" s="189"/>
      <c r="D112" s="174"/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7" t="s">
        <v>280</v>
      </c>
      <c r="B113" s="315" t="s">
        <v>256</v>
      </c>
      <c r="C113" s="189"/>
      <c r="D113" s="174"/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7" t="s">
        <v>281</v>
      </c>
      <c r="B114" s="315" t="s">
        <v>256</v>
      </c>
      <c r="C114" s="189">
        <v>349</v>
      </c>
      <c r="D114" s="174">
        <v>980</v>
      </c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7" t="s">
        <v>283</v>
      </c>
      <c r="B116" s="315" t="s">
        <v>256</v>
      </c>
      <c r="C116" s="189">
        <v>7</v>
      </c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7" t="s">
        <v>284</v>
      </c>
      <c r="B117" s="315" t="s">
        <v>256</v>
      </c>
      <c r="C117" s="189">
        <v>0</v>
      </c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7" t="s">
        <v>1238</v>
      </c>
      <c r="B118" s="315" t="s">
        <v>256</v>
      </c>
      <c r="C118" s="189">
        <v>13</v>
      </c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7" t="s">
        <v>285</v>
      </c>
      <c r="B119" s="315" t="s">
        <v>256</v>
      </c>
      <c r="C119" s="189">
        <v>0</v>
      </c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7" t="s">
        <v>286</v>
      </c>
      <c r="B120" s="315" t="s">
        <v>256</v>
      </c>
      <c r="C120" s="189">
        <v>16</v>
      </c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7" t="s">
        <v>287</v>
      </c>
      <c r="B121" s="315" t="s">
        <v>256</v>
      </c>
      <c r="C121" s="189"/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7" t="s">
        <v>97</v>
      </c>
      <c r="B122" s="315" t="s">
        <v>256</v>
      </c>
      <c r="C122" s="189">
        <v>15</v>
      </c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7" t="s">
        <v>288</v>
      </c>
      <c r="B123" s="315" t="s">
        <v>256</v>
      </c>
      <c r="C123" s="189"/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7" t="s">
        <v>289</v>
      </c>
      <c r="B124" s="315"/>
      <c r="C124" s="189"/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7" t="s">
        <v>280</v>
      </c>
      <c r="B125" s="315" t="s">
        <v>256</v>
      </c>
      <c r="C125" s="189"/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7" t="s">
        <v>290</v>
      </c>
      <c r="B126" s="315" t="s">
        <v>256</v>
      </c>
      <c r="C126" s="189"/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7" t="s">
        <v>291</v>
      </c>
      <c r="B127" s="297"/>
      <c r="C127" s="305"/>
      <c r="D127" s="297"/>
      <c r="E127" s="297">
        <f>SUM(C116:C126)</f>
        <v>51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7" t="s">
        <v>292</v>
      </c>
      <c r="B128" s="315" t="s">
        <v>256</v>
      </c>
      <c r="C128" s="189">
        <v>78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7" t="s">
        <v>293</v>
      </c>
      <c r="B129" s="315" t="s">
        <v>256</v>
      </c>
      <c r="C129" s="189">
        <v>16</v>
      </c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7" t="s">
        <v>294</v>
      </c>
      <c r="B131" s="315" t="s">
        <v>256</v>
      </c>
      <c r="C131" s="189"/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4" t="s">
        <v>1239</v>
      </c>
      <c r="B136" s="321"/>
      <c r="C136" s="321"/>
      <c r="D136" s="321"/>
      <c r="E136" s="32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2" t="s">
        <v>295</v>
      </c>
      <c r="B137" s="323" t="s">
        <v>296</v>
      </c>
      <c r="C137" s="324" t="s">
        <v>297</v>
      </c>
      <c r="D137" s="323" t="s">
        <v>132</v>
      </c>
      <c r="E137" s="323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7" t="s">
        <v>277</v>
      </c>
      <c r="B138" s="174">
        <f>163</f>
        <v>163</v>
      </c>
      <c r="C138" s="189">
        <f>485+562</f>
        <v>1047</v>
      </c>
      <c r="D138" s="174">
        <f>107+186+102+24</f>
        <v>419</v>
      </c>
      <c r="E138" s="297">
        <f>SUM(B138:D138)</f>
        <v>1629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7" t="s">
        <v>215</v>
      </c>
      <c r="B139" s="174">
        <f>1097</f>
        <v>1097</v>
      </c>
      <c r="C139" s="189">
        <f>4959</f>
        <v>4959</v>
      </c>
      <c r="D139" s="174">
        <v>2408</v>
      </c>
      <c r="E139" s="297">
        <f>SUM(B139:D139)</f>
        <v>8464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7" t="s">
        <v>298</v>
      </c>
      <c r="B140" s="174">
        <v>8870</v>
      </c>
      <c r="C140" s="174">
        <v>3292</v>
      </c>
      <c r="D140" s="174">
        <v>32248</v>
      </c>
      <c r="E140" s="297">
        <f>SUM(B140:D140)</f>
        <v>44410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7" t="s">
        <v>245</v>
      </c>
      <c r="B141" s="174">
        <f>9809910</f>
        <v>9809910</v>
      </c>
      <c r="C141" s="189">
        <f>25606931</f>
        <v>25606931</v>
      </c>
      <c r="D141" s="174">
        <f>10138411</f>
        <v>10138411</v>
      </c>
      <c r="E141" s="297">
        <f>SUM(B141:D141)</f>
        <v>45555252</v>
      </c>
      <c r="F141" s="325"/>
      <c r="G141" s="326"/>
      <c r="H141" s="32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7" t="s">
        <v>246</v>
      </c>
      <c r="B142" s="174">
        <f>11157599</f>
        <v>11157599</v>
      </c>
      <c r="C142" s="189">
        <f>47244648</f>
        <v>47244648</v>
      </c>
      <c r="D142" s="174">
        <f>38205797</f>
        <v>38205797</v>
      </c>
      <c r="E142" s="297">
        <f>SUM(B142:D142)</f>
        <v>96608044</v>
      </c>
      <c r="F142" s="325"/>
      <c r="G142" s="326"/>
      <c r="H142" s="32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2" t="s">
        <v>299</v>
      </c>
      <c r="B143" s="323" t="s">
        <v>296</v>
      </c>
      <c r="C143" s="324" t="s">
        <v>297</v>
      </c>
      <c r="D143" s="323" t="s">
        <v>132</v>
      </c>
      <c r="E143" s="323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7" t="s">
        <v>277</v>
      </c>
      <c r="B144" s="174"/>
      <c r="C144" s="189"/>
      <c r="D144" s="174"/>
      <c r="E144" s="297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7" t="s">
        <v>215</v>
      </c>
      <c r="B145" s="174"/>
      <c r="C145" s="189"/>
      <c r="D145" s="174"/>
      <c r="E145" s="297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7" t="s">
        <v>298</v>
      </c>
      <c r="B146" s="174"/>
      <c r="C146" s="189"/>
      <c r="D146" s="174"/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7" t="s">
        <v>245</v>
      </c>
      <c r="B147" s="174"/>
      <c r="C147" s="189"/>
      <c r="D147" s="174"/>
      <c r="E147" s="297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7" t="s">
        <v>246</v>
      </c>
      <c r="B148" s="174"/>
      <c r="C148" s="189"/>
      <c r="D148" s="174"/>
      <c r="E148" s="297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2" t="s">
        <v>300</v>
      </c>
      <c r="B149" s="323" t="s">
        <v>296</v>
      </c>
      <c r="C149" s="324" t="s">
        <v>297</v>
      </c>
      <c r="D149" s="323" t="s">
        <v>132</v>
      </c>
      <c r="E149" s="323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7" t="s">
        <v>277</v>
      </c>
      <c r="B150" s="174"/>
      <c r="C150" s="189"/>
      <c r="D150" s="174"/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7" t="s">
        <v>215</v>
      </c>
      <c r="B151" s="174"/>
      <c r="C151" s="189"/>
      <c r="D151" s="174"/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7" t="s">
        <v>298</v>
      </c>
      <c r="B152" s="174"/>
      <c r="C152" s="189"/>
      <c r="D152" s="174"/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7" t="s">
        <v>245</v>
      </c>
      <c r="B153" s="174"/>
      <c r="C153" s="189"/>
      <c r="D153" s="174"/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7" t="s">
        <v>246</v>
      </c>
      <c r="B154" s="174"/>
      <c r="C154" s="189"/>
      <c r="D154" s="174"/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3"/>
      <c r="B155" s="303"/>
      <c r="C155" s="327"/>
      <c r="D155" s="328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2" t="s">
        <v>301</v>
      </c>
      <c r="B156" s="323" t="s">
        <v>302</v>
      </c>
      <c r="C156" s="324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3" t="s">
        <v>304</v>
      </c>
      <c r="B157" s="174"/>
      <c r="C157" s="174"/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3"/>
      <c r="B158" s="328"/>
      <c r="C158" s="327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3"/>
      <c r="B159" s="303"/>
      <c r="C159" s="327"/>
      <c r="D159" s="328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3"/>
      <c r="B160" s="303"/>
      <c r="C160" s="327"/>
      <c r="D160" s="328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3"/>
      <c r="B161" s="303"/>
      <c r="C161" s="327"/>
      <c r="D161" s="328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3"/>
      <c r="B162" s="303"/>
      <c r="C162" s="327"/>
      <c r="D162" s="328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1" t="s">
        <v>305</v>
      </c>
      <c r="B163" s="314"/>
      <c r="C163" s="314"/>
      <c r="D163" s="314"/>
      <c r="E163" s="3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9" t="s">
        <v>306</v>
      </c>
      <c r="B164" s="319"/>
      <c r="C164" s="319"/>
      <c r="D164" s="319"/>
      <c r="E164" s="3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7" t="s">
        <v>307</v>
      </c>
      <c r="B165" s="315" t="s">
        <v>256</v>
      </c>
      <c r="C165" s="189">
        <v>1120692.74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7" t="s">
        <v>308</v>
      </c>
      <c r="B166" s="315" t="s">
        <v>256</v>
      </c>
      <c r="C166" s="189">
        <f>85325.37</f>
        <v>85325.37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3" t="s">
        <v>309</v>
      </c>
      <c r="B167" s="315" t="s">
        <v>256</v>
      </c>
      <c r="C167" s="189">
        <f>3176559.38</f>
        <v>3176559.38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7" t="s">
        <v>310</v>
      </c>
      <c r="B168" s="315" t="s">
        <v>256</v>
      </c>
      <c r="C168" s="189">
        <f>-2345423.56</f>
        <v>-2345423.56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7" t="s">
        <v>311</v>
      </c>
      <c r="B169" s="315" t="s">
        <v>256</v>
      </c>
      <c r="C169" s="189"/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7" t="s">
        <v>312</v>
      </c>
      <c r="B170" s="315" t="s">
        <v>256</v>
      </c>
      <c r="C170" s="189">
        <v>454731.45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7" t="s">
        <v>313</v>
      </c>
      <c r="B171" s="315" t="s">
        <v>256</v>
      </c>
      <c r="C171" s="189"/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7" t="s">
        <v>313</v>
      </c>
      <c r="B172" s="315" t="s">
        <v>256</v>
      </c>
      <c r="C172" s="189"/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7" t="s">
        <v>203</v>
      </c>
      <c r="B173" s="297"/>
      <c r="C173" s="305"/>
      <c r="D173" s="297">
        <f>SUM(C165:C172)</f>
        <v>2491885.3800000004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9" t="s">
        <v>314</v>
      </c>
      <c r="B174" s="319"/>
      <c r="C174" s="319"/>
      <c r="D174" s="319"/>
      <c r="E174" s="3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7" t="s">
        <v>315</v>
      </c>
      <c r="B175" s="315" t="s">
        <v>256</v>
      </c>
      <c r="C175" s="189">
        <v>371023.7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7" t="s">
        <v>316</v>
      </c>
      <c r="B176" s="315" t="s">
        <v>256</v>
      </c>
      <c r="C176" s="189">
        <v>19630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7" t="s">
        <v>203</v>
      </c>
      <c r="B177" s="297"/>
      <c r="C177" s="305"/>
      <c r="D177" s="297">
        <f>SUM(C175:C176)</f>
        <v>390653.7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9" t="s">
        <v>317</v>
      </c>
      <c r="B178" s="319"/>
      <c r="C178" s="319"/>
      <c r="D178" s="319"/>
      <c r="E178" s="3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7" t="s">
        <v>318</v>
      </c>
      <c r="B179" s="315" t="s">
        <v>256</v>
      </c>
      <c r="C179" s="189">
        <f>70740.13</f>
        <v>70740.13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7" t="s">
        <v>319</v>
      </c>
      <c r="B180" s="315" t="s">
        <v>256</v>
      </c>
      <c r="C180" s="189">
        <f>106772.71</f>
        <v>106772.71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7" t="s">
        <v>203</v>
      </c>
      <c r="B181" s="297"/>
      <c r="C181" s="305"/>
      <c r="D181" s="297">
        <f>SUM(C179:C180)</f>
        <v>177512.84000000003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9" t="s">
        <v>320</v>
      </c>
      <c r="B182" s="319"/>
      <c r="C182" s="319"/>
      <c r="D182" s="319"/>
      <c r="E182" s="3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7" t="s">
        <v>321</v>
      </c>
      <c r="B183" s="315" t="s">
        <v>256</v>
      </c>
      <c r="C183" s="189"/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7" t="s">
        <v>322</v>
      </c>
      <c r="B184" s="315" t="s">
        <v>256</v>
      </c>
      <c r="C184" s="189">
        <v>42244.13</v>
      </c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7" t="s">
        <v>132</v>
      </c>
      <c r="B185" s="315" t="s">
        <v>256</v>
      </c>
      <c r="C185" s="189">
        <f>1028446.75</f>
        <v>1028446.75</v>
      </c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7" t="s">
        <v>203</v>
      </c>
      <c r="B186" s="297"/>
      <c r="C186" s="305"/>
      <c r="D186" s="297">
        <f>SUM(C183:C185)</f>
        <v>1070690.8799999999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9" t="s">
        <v>323</v>
      </c>
      <c r="B187" s="319"/>
      <c r="C187" s="319"/>
      <c r="D187" s="319"/>
      <c r="E187" s="31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7" t="s">
        <v>324</v>
      </c>
      <c r="B188" s="315" t="s">
        <v>256</v>
      </c>
      <c r="C188" s="189"/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7" t="s">
        <v>325</v>
      </c>
      <c r="B189" s="315" t="s">
        <v>256</v>
      </c>
      <c r="C189" s="189">
        <f>1328422.83</f>
        <v>1328422.83</v>
      </c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7" t="s">
        <v>203</v>
      </c>
      <c r="B190" s="297"/>
      <c r="C190" s="305"/>
      <c r="D190" s="297">
        <f>SUM(C188:C189)</f>
        <v>1328422.83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4" t="s">
        <v>326</v>
      </c>
      <c r="B192" s="314"/>
      <c r="C192" s="314"/>
      <c r="D192" s="314"/>
      <c r="E192" s="31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1" t="s">
        <v>327</v>
      </c>
      <c r="B193" s="314"/>
      <c r="C193" s="314"/>
      <c r="D193" s="314"/>
      <c r="E193" s="3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7" t="s">
        <v>332</v>
      </c>
      <c r="B195" s="174">
        <f>550000</f>
        <v>550000</v>
      </c>
      <c r="C195" s="189"/>
      <c r="D195" s="174"/>
      <c r="E195" s="297">
        <f t="shared" ref="E195:E203" si="10">SUM(B195:C195)-D195</f>
        <v>550000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7" t="s">
        <v>333</v>
      </c>
      <c r="B196" s="174">
        <f>26953</f>
        <v>26953</v>
      </c>
      <c r="C196" s="189"/>
      <c r="D196" s="174"/>
      <c r="E196" s="297">
        <f t="shared" si="10"/>
        <v>26953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7" t="s">
        <v>334</v>
      </c>
      <c r="B197" s="174">
        <f>6744017</f>
        <v>6744017</v>
      </c>
      <c r="C197" s="189">
        <f>1214241.7</f>
        <v>1214241.7</v>
      </c>
      <c r="D197" s="174"/>
      <c r="E197" s="297">
        <f t="shared" si="10"/>
        <v>7958258.7000000002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7" t="s">
        <v>335</v>
      </c>
      <c r="B198" s="174">
        <f>82397</f>
        <v>82397</v>
      </c>
      <c r="C198" s="189">
        <f>282774.96</f>
        <v>282774.96000000002</v>
      </c>
      <c r="D198" s="174"/>
      <c r="E198" s="297">
        <f t="shared" si="10"/>
        <v>365171.96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7" t="s">
        <v>336</v>
      </c>
      <c r="B199" s="174"/>
      <c r="C199" s="189"/>
      <c r="D199" s="174"/>
      <c r="E199" s="297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7" t="s">
        <v>337</v>
      </c>
      <c r="B200" s="174">
        <f>1595897</f>
        <v>1595897</v>
      </c>
      <c r="C200" s="189">
        <f>-280257.42</f>
        <v>-280257.42</v>
      </c>
      <c r="D200" s="174"/>
      <c r="E200" s="297">
        <f t="shared" si="10"/>
        <v>1315639.58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7" t="s">
        <v>338</v>
      </c>
      <c r="B201" s="174">
        <f>233940</f>
        <v>233940</v>
      </c>
      <c r="C201" s="189">
        <v>154136.13</v>
      </c>
      <c r="D201" s="174"/>
      <c r="E201" s="297">
        <f t="shared" si="10"/>
        <v>388076.13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7" t="s">
        <v>339</v>
      </c>
      <c r="B202" s="174"/>
      <c r="C202" s="189"/>
      <c r="D202" s="174"/>
      <c r="E202" s="297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7" t="s">
        <v>340</v>
      </c>
      <c r="B203" s="174">
        <f>1207200</f>
        <v>1207200</v>
      </c>
      <c r="C203" s="189">
        <f>-1152123.1</f>
        <v>-1152123.1000000001</v>
      </c>
      <c r="D203" s="174"/>
      <c r="E203" s="297">
        <f t="shared" si="10"/>
        <v>55076.899999999907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7" t="s">
        <v>203</v>
      </c>
      <c r="B204" s="297">
        <f>SUM(B195:B203)</f>
        <v>10440404</v>
      </c>
      <c r="C204" s="305">
        <f>SUM(C195:C203)</f>
        <v>218772.27000000002</v>
      </c>
      <c r="D204" s="297">
        <f>SUM(D195:D203)</f>
        <v>0</v>
      </c>
      <c r="E204" s="297">
        <f>SUM(E195:E203)</f>
        <v>10659176.270000001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1" t="s">
        <v>341</v>
      </c>
      <c r="B206" s="321"/>
      <c r="C206" s="321"/>
      <c r="D206" s="321"/>
      <c r="E206" s="32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7" t="s">
        <v>332</v>
      </c>
      <c r="B208" s="328"/>
      <c r="C208" s="327"/>
      <c r="D208" s="328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7" t="s">
        <v>333</v>
      </c>
      <c r="B209" s="174">
        <f>863</f>
        <v>863</v>
      </c>
      <c r="C209" s="189">
        <v>1221.1400000000001</v>
      </c>
      <c r="D209" s="174"/>
      <c r="E209" s="297">
        <f t="shared" ref="E209:E216" si="11">SUM(B209:C209)-D209</f>
        <v>2084.1400000000003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7" t="s">
        <v>334</v>
      </c>
      <c r="B210" s="174">
        <f>1043497</f>
        <v>1043497</v>
      </c>
      <c r="C210" s="189">
        <f>319714.58</f>
        <v>319714.58</v>
      </c>
      <c r="D210" s="174"/>
      <c r="E210" s="297">
        <f t="shared" si="11"/>
        <v>1363211.58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7" t="s">
        <v>335</v>
      </c>
      <c r="B211" s="174"/>
      <c r="C211" s="189">
        <v>284578.89</v>
      </c>
      <c r="D211" s="174"/>
      <c r="E211" s="297">
        <f t="shared" si="11"/>
        <v>284578.89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7" t="s">
        <v>336</v>
      </c>
      <c r="B212" s="174"/>
      <c r="C212" s="189"/>
      <c r="D212" s="174"/>
      <c r="E212" s="297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7" t="s">
        <v>337</v>
      </c>
      <c r="B213" s="174">
        <f>991448</f>
        <v>991448</v>
      </c>
      <c r="C213" s="189">
        <f>-250511.46</f>
        <v>-250511.46</v>
      </c>
      <c r="D213" s="174"/>
      <c r="E213" s="297">
        <f t="shared" si="11"/>
        <v>740936.54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7" t="s">
        <v>338</v>
      </c>
      <c r="B214" s="174">
        <f>-71606.3+43229.4</f>
        <v>-28376.9</v>
      </c>
      <c r="C214" s="189">
        <f>198477.02-10</f>
        <v>198467.02</v>
      </c>
      <c r="D214" s="174"/>
      <c r="E214" s="297">
        <f t="shared" si="11"/>
        <v>170090.12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7" t="s">
        <v>339</v>
      </c>
      <c r="B215" s="174"/>
      <c r="C215" s="189"/>
      <c r="D215" s="174"/>
      <c r="E215" s="297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7" t="s">
        <v>340</v>
      </c>
      <c r="B216" s="174"/>
      <c r="C216" s="189"/>
      <c r="D216" s="174"/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7" t="s">
        <v>203</v>
      </c>
      <c r="B217" s="297">
        <f>SUM(B208:B216)</f>
        <v>2007431.1</v>
      </c>
      <c r="C217" s="305">
        <f>SUM(C208:C216)</f>
        <v>553470.17000000016</v>
      </c>
      <c r="D217" s="297">
        <f>SUM(D208:D216)</f>
        <v>0</v>
      </c>
      <c r="E217" s="297">
        <f>SUM(E208:E216)</f>
        <v>2560901.27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4" t="s">
        <v>342</v>
      </c>
      <c r="B219" s="314"/>
      <c r="C219" s="314"/>
      <c r="D219" s="314"/>
      <c r="E219" s="3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4"/>
      <c r="B220" s="348" t="s">
        <v>1254</v>
      </c>
      <c r="C220" s="348"/>
      <c r="D220" s="314"/>
      <c r="E220" s="3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9" t="s">
        <v>1254</v>
      </c>
      <c r="B221" s="314"/>
      <c r="C221" s="189">
        <f>3852695</f>
        <v>3852695</v>
      </c>
      <c r="D221" s="315">
        <f>C221</f>
        <v>3852695</v>
      </c>
      <c r="E221" s="3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9" t="s">
        <v>343</v>
      </c>
      <c r="B222" s="319"/>
      <c r="C222" s="319"/>
      <c r="D222" s="319"/>
      <c r="E222" s="3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7" t="s">
        <v>344</v>
      </c>
      <c r="B223" s="315" t="s">
        <v>256</v>
      </c>
      <c r="C223" s="189">
        <f>14833948</f>
        <v>14833948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7" t="s">
        <v>345</v>
      </c>
      <c r="B224" s="315" t="s">
        <v>256</v>
      </c>
      <c r="C224" s="189">
        <f>51540531</f>
        <v>51540531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7" t="s">
        <v>346</v>
      </c>
      <c r="B225" s="315" t="s">
        <v>256</v>
      </c>
      <c r="C225" s="189"/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7" t="s">
        <v>347</v>
      </c>
      <c r="B226" s="315" t="s">
        <v>256</v>
      </c>
      <c r="C226" s="189"/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7" t="s">
        <v>348</v>
      </c>
      <c r="B227" s="315" t="s">
        <v>256</v>
      </c>
      <c r="C227" s="189"/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7" t="s">
        <v>349</v>
      </c>
      <c r="B228" s="315" t="s">
        <v>256</v>
      </c>
      <c r="C228" s="189">
        <f>34202226</f>
        <v>34202226</v>
      </c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7" t="s">
        <v>350</v>
      </c>
      <c r="B229" s="297"/>
      <c r="C229" s="305"/>
      <c r="D229" s="297">
        <f>SUM(C223:C228)</f>
        <v>100576705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9" t="s">
        <v>351</v>
      </c>
      <c r="B230" s="319"/>
      <c r="C230" s="319"/>
      <c r="D230" s="319"/>
      <c r="E230" s="3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4" t="s">
        <v>352</v>
      </c>
      <c r="B231" s="315" t="s">
        <v>256</v>
      </c>
      <c r="C231" s="189"/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4"/>
      <c r="B232" s="315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4" t="s">
        <v>353</v>
      </c>
      <c r="B233" s="315" t="s">
        <v>256</v>
      </c>
      <c r="C233" s="189">
        <f>614309</f>
        <v>614309</v>
      </c>
      <c r="D233" s="297"/>
      <c r="E233" s="297"/>
      <c r="F233" s="2"/>
      <c r="G233" s="330"/>
      <c r="H233" s="331"/>
      <c r="I233" s="33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4" t="s">
        <v>354</v>
      </c>
      <c r="B234" s="315" t="s">
        <v>256</v>
      </c>
      <c r="C234" s="189"/>
      <c r="D234" s="297"/>
      <c r="E234" s="297"/>
      <c r="F234" s="2"/>
      <c r="G234" s="330"/>
      <c r="H234" s="331"/>
      <c r="I234" s="33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4" t="s">
        <v>355</v>
      </c>
      <c r="B236" s="297"/>
      <c r="C236" s="305"/>
      <c r="D236" s="297">
        <f>SUM(C233:C235)</f>
        <v>614309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9" t="s">
        <v>356</v>
      </c>
      <c r="B237" s="319"/>
      <c r="C237" s="319"/>
      <c r="D237" s="319"/>
      <c r="E237" s="3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7" t="s">
        <v>357</v>
      </c>
      <c r="B238" s="315" t="s">
        <v>256</v>
      </c>
      <c r="C238" s="189"/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7" t="s">
        <v>356</v>
      </c>
      <c r="B239" s="315" t="s">
        <v>256</v>
      </c>
      <c r="C239" s="189"/>
      <c r="D239" s="297"/>
      <c r="E239" s="297"/>
      <c r="F239" s="2"/>
      <c r="G239" s="326"/>
      <c r="H239" s="326"/>
      <c r="I239" s="32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7" t="s">
        <v>358</v>
      </c>
      <c r="B240" s="297"/>
      <c r="C240" s="305"/>
      <c r="D240" s="297">
        <f>SUM(C238:C239)</f>
        <v>0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7" t="s">
        <v>359</v>
      </c>
      <c r="B242" s="297"/>
      <c r="C242" s="305"/>
      <c r="D242" s="297">
        <f>D221+D229+D236+D240</f>
        <v>105043709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4" t="s">
        <v>360</v>
      </c>
      <c r="B248" s="314"/>
      <c r="C248" s="314"/>
      <c r="D248" s="314"/>
      <c r="E248" s="31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9" t="s">
        <v>361</v>
      </c>
      <c r="B249" s="319"/>
      <c r="C249" s="319"/>
      <c r="D249" s="319"/>
      <c r="E249" s="3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7" t="s">
        <v>362</v>
      </c>
      <c r="B250" s="315" t="s">
        <v>256</v>
      </c>
      <c r="C250" s="189">
        <f>1635663.75</f>
        <v>1635663.75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7" t="s">
        <v>363</v>
      </c>
      <c r="B251" s="315" t="s">
        <v>256</v>
      </c>
      <c r="C251" s="189"/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7" t="s">
        <v>364</v>
      </c>
      <c r="B252" s="315" t="s">
        <v>256</v>
      </c>
      <c r="C252" s="189">
        <f>38323726.72</f>
        <v>38323726.719999999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7" t="s">
        <v>365</v>
      </c>
      <c r="B253" s="315" t="s">
        <v>256</v>
      </c>
      <c r="C253" s="189">
        <f>32594442.17</f>
        <v>32594442.170000002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7" t="s">
        <v>1240</v>
      </c>
      <c r="B254" s="315" t="s">
        <v>256</v>
      </c>
      <c r="C254" s="189">
        <v>368439</v>
      </c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7" t="s">
        <v>366</v>
      </c>
      <c r="B255" s="315" t="s">
        <v>256</v>
      </c>
      <c r="C255" s="189"/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7" t="s">
        <v>367</v>
      </c>
      <c r="B256" s="315" t="s">
        <v>256</v>
      </c>
      <c r="C256" s="189"/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7" t="s">
        <v>368</v>
      </c>
      <c r="B257" s="315" t="s">
        <v>256</v>
      </c>
      <c r="C257" s="189">
        <f>1111634.96</f>
        <v>1111634.96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7" t="s">
        <v>369</v>
      </c>
      <c r="B258" s="315" t="s">
        <v>256</v>
      </c>
      <c r="C258" s="189">
        <v>556610.94999999995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7" t="s">
        <v>370</v>
      </c>
      <c r="B259" s="315" t="s">
        <v>256</v>
      </c>
      <c r="C259" s="2"/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7" t="s">
        <v>371</v>
      </c>
      <c r="B260" s="297"/>
      <c r="C260" s="189">
        <v>107573.31</v>
      </c>
      <c r="D260" s="297">
        <f>SUM(C250:C252)-C253+SUM(C254:C260)</f>
        <v>9509206.5199999958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9" t="s">
        <v>372</v>
      </c>
      <c r="B261" s="319"/>
      <c r="C261" s="319"/>
      <c r="D261" s="319"/>
      <c r="E261" s="3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7" t="s">
        <v>362</v>
      </c>
      <c r="B262" s="315" t="s">
        <v>256</v>
      </c>
      <c r="C262" s="189"/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7" t="s">
        <v>363</v>
      </c>
      <c r="B263" s="315" t="s">
        <v>256</v>
      </c>
      <c r="C263" s="189"/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7" t="s">
        <v>373</v>
      </c>
      <c r="B264" s="315" t="s">
        <v>256</v>
      </c>
      <c r="C264" s="189"/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7" t="s">
        <v>374</v>
      </c>
      <c r="B265" s="297"/>
      <c r="C265" s="305"/>
      <c r="D265" s="297">
        <f>SUM(C262:C264)</f>
        <v>0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9" t="s">
        <v>375</v>
      </c>
      <c r="B266" s="319"/>
      <c r="C266" s="319"/>
      <c r="D266" s="319"/>
      <c r="E266" s="3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7" t="s">
        <v>332</v>
      </c>
      <c r="B267" s="315" t="s">
        <v>256</v>
      </c>
      <c r="C267" s="189">
        <v>550000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7" t="s">
        <v>333</v>
      </c>
      <c r="B268" s="315" t="s">
        <v>256</v>
      </c>
      <c r="C268" s="189">
        <v>26952.880000000001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7" t="s">
        <v>334</v>
      </c>
      <c r="B269" s="315" t="s">
        <v>256</v>
      </c>
      <c r="C269" s="189">
        <f>7958258.7</f>
        <v>7958258.7000000002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7" t="s">
        <v>376</v>
      </c>
      <c r="B270" s="315" t="s">
        <v>256</v>
      </c>
      <c r="C270" s="189">
        <f>365172</f>
        <v>365172</v>
      </c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7" t="s">
        <v>377</v>
      </c>
      <c r="B271" s="315" t="s">
        <v>256</v>
      </c>
      <c r="C271" s="189"/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7" t="s">
        <v>378</v>
      </c>
      <c r="B272" s="315" t="s">
        <v>256</v>
      </c>
      <c r="C272" s="189">
        <v>1703716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7" t="s">
        <v>339</v>
      </c>
      <c r="B273" s="315" t="s">
        <v>256</v>
      </c>
      <c r="C273" s="189"/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7" t="s">
        <v>340</v>
      </c>
      <c r="B274" s="315" t="s">
        <v>256</v>
      </c>
      <c r="C274" s="189">
        <f>55076.34</f>
        <v>55076.34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7" t="s">
        <v>379</v>
      </c>
      <c r="B275" s="297"/>
      <c r="C275" s="305"/>
      <c r="D275" s="297">
        <f>SUM(C267:C274)</f>
        <v>10659175.92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7" t="s">
        <v>380</v>
      </c>
      <c r="B276" s="315" t="s">
        <v>256</v>
      </c>
      <c r="C276" s="189">
        <v>2560901.27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7" t="s">
        <v>381</v>
      </c>
      <c r="B277" s="297"/>
      <c r="C277" s="305"/>
      <c r="D277" s="297">
        <f>D275-C276</f>
        <v>8098274.6500000004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9" t="s">
        <v>382</v>
      </c>
      <c r="B278" s="319"/>
      <c r="C278" s="319"/>
      <c r="D278" s="319"/>
      <c r="E278" s="31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7" t="s">
        <v>383</v>
      </c>
      <c r="B279" s="315" t="s">
        <v>256</v>
      </c>
      <c r="C279" s="189"/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7" t="s">
        <v>384</v>
      </c>
      <c r="B280" s="315" t="s">
        <v>256</v>
      </c>
      <c r="C280" s="189"/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7" t="s">
        <v>385</v>
      </c>
      <c r="B281" s="315" t="s">
        <v>256</v>
      </c>
      <c r="C281" s="189"/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7" t="s">
        <v>373</v>
      </c>
      <c r="B282" s="315" t="s">
        <v>256</v>
      </c>
      <c r="C282" s="189"/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7" t="s">
        <v>386</v>
      </c>
      <c r="B283" s="297"/>
      <c r="C283" s="305"/>
      <c r="D283" s="297">
        <f>C279-C280+C281+C282</f>
        <v>0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9" t="s">
        <v>387</v>
      </c>
      <c r="B285" s="319"/>
      <c r="C285" s="319"/>
      <c r="D285" s="319"/>
      <c r="E285" s="31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7" t="s">
        <v>388</v>
      </c>
      <c r="B286" s="315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7" t="s">
        <v>389</v>
      </c>
      <c r="B287" s="315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7" t="s">
        <v>390</v>
      </c>
      <c r="B288" s="315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7" t="s">
        <v>391</v>
      </c>
      <c r="B289" s="315" t="s">
        <v>256</v>
      </c>
      <c r="C289" s="189"/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7" t="s">
        <v>392</v>
      </c>
      <c r="B290" s="297"/>
      <c r="C290" s="305"/>
      <c r="D290" s="297">
        <f>SUM(C286:C289)</f>
        <v>0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7" t="s">
        <v>393</v>
      </c>
      <c r="B292" s="297"/>
      <c r="C292" s="305"/>
      <c r="D292" s="297">
        <f>D260+D265+D277+D283+D290</f>
        <v>17607481.169999994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4" t="s">
        <v>394</v>
      </c>
      <c r="B302" s="314"/>
      <c r="C302" s="314"/>
      <c r="D302" s="314"/>
      <c r="E302" s="3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9" t="s">
        <v>395</v>
      </c>
      <c r="B303" s="319"/>
      <c r="C303" s="319"/>
      <c r="D303" s="319"/>
      <c r="E303" s="31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7" t="s">
        <v>396</v>
      </c>
      <c r="B304" s="315" t="s">
        <v>256</v>
      </c>
      <c r="C304" s="189"/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7" t="s">
        <v>397</v>
      </c>
      <c r="B305" s="315" t="s">
        <v>256</v>
      </c>
      <c r="C305" s="189">
        <f>2437077</f>
        <v>2437077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7" t="s">
        <v>398</v>
      </c>
      <c r="B306" s="315" t="s">
        <v>256</v>
      </c>
      <c r="C306" s="189">
        <f>1029175</f>
        <v>1029175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7" t="s">
        <v>399</v>
      </c>
      <c r="B307" s="315" t="s">
        <v>256</v>
      </c>
      <c r="C307" s="189">
        <f>3478346</f>
        <v>3478346</v>
      </c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7" t="s">
        <v>400</v>
      </c>
      <c r="B308" s="315" t="s">
        <v>256</v>
      </c>
      <c r="C308" s="189"/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7" t="s">
        <v>1241</v>
      </c>
      <c r="B309" s="315" t="s">
        <v>256</v>
      </c>
      <c r="C309" s="189"/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7" t="s">
        <v>401</v>
      </c>
      <c r="B310" s="315" t="s">
        <v>256</v>
      </c>
      <c r="C310" s="189"/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7" t="s">
        <v>402</v>
      </c>
      <c r="B311" s="315" t="s">
        <v>256</v>
      </c>
      <c r="C311" s="189"/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7" t="s">
        <v>403</v>
      </c>
      <c r="B312" s="315" t="s">
        <v>256</v>
      </c>
      <c r="C312" s="189"/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7" t="s">
        <v>404</v>
      </c>
      <c r="B313" s="315" t="s">
        <v>256</v>
      </c>
      <c r="C313" s="189">
        <f>437300.19</f>
        <v>437300.19</v>
      </c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7" t="s">
        <v>405</v>
      </c>
      <c r="B314" s="297"/>
      <c r="C314" s="305"/>
      <c r="D314" s="297">
        <f>SUM(C304:C313)</f>
        <v>7381898.1900000004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9" t="s">
        <v>406</v>
      </c>
      <c r="B315" s="319"/>
      <c r="C315" s="319"/>
      <c r="D315" s="319"/>
      <c r="E315" s="31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7" t="s">
        <v>407</v>
      </c>
      <c r="B316" s="315" t="s">
        <v>256</v>
      </c>
      <c r="C316" s="189"/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7" t="s">
        <v>408</v>
      </c>
      <c r="B317" s="315" t="s">
        <v>256</v>
      </c>
      <c r="C317" s="189"/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7" t="s">
        <v>409</v>
      </c>
      <c r="B318" s="315" t="s">
        <v>256</v>
      </c>
      <c r="C318" s="189"/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7" t="s">
        <v>410</v>
      </c>
      <c r="B319" s="297"/>
      <c r="C319" s="305"/>
      <c r="D319" s="297">
        <f>SUM(C316:C318)</f>
        <v>0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9" t="s">
        <v>411</v>
      </c>
      <c r="B320" s="319"/>
      <c r="C320" s="319"/>
      <c r="D320" s="319"/>
      <c r="E320" s="31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7" t="s">
        <v>412</v>
      </c>
      <c r="B321" s="315" t="s">
        <v>256</v>
      </c>
      <c r="C321" s="189"/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7" t="s">
        <v>413</v>
      </c>
      <c r="B322" s="315" t="s">
        <v>256</v>
      </c>
      <c r="C322" s="189">
        <f>2068812+1576916</f>
        <v>3645728</v>
      </c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7" t="s">
        <v>414</v>
      </c>
      <c r="B323" s="315" t="s">
        <v>256</v>
      </c>
      <c r="C323" s="189">
        <v>10200282</v>
      </c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4" t="s">
        <v>415</v>
      </c>
      <c r="B324" s="315" t="s">
        <v>256</v>
      </c>
      <c r="C324" s="189"/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7" t="s">
        <v>416</v>
      </c>
      <c r="B325" s="315" t="s">
        <v>256</v>
      </c>
      <c r="C325" s="189"/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4" t="s">
        <v>417</v>
      </c>
      <c r="B326" s="315" t="s">
        <v>256</v>
      </c>
      <c r="C326" s="189">
        <f>-963431</f>
        <v>-963431</v>
      </c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7" t="s">
        <v>418</v>
      </c>
      <c r="B327" s="315" t="s">
        <v>256</v>
      </c>
      <c r="C327" s="189"/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7" t="s">
        <v>203</v>
      </c>
      <c r="B328" s="297"/>
      <c r="C328" s="305"/>
      <c r="D328" s="297">
        <f>SUM(C321:C327)</f>
        <v>12882579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7" t="s">
        <v>419</v>
      </c>
      <c r="B329" s="297"/>
      <c r="C329" s="305"/>
      <c r="D329" s="297">
        <v>0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7" t="s">
        <v>420</v>
      </c>
      <c r="B330" s="297"/>
      <c r="C330" s="305"/>
      <c r="D330" s="297">
        <f>D328-D329</f>
        <v>12882579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7" t="s">
        <v>421</v>
      </c>
      <c r="B332" s="315" t="s">
        <v>256</v>
      </c>
      <c r="C332" s="222"/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7"/>
      <c r="B333" s="315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7" t="s">
        <v>1142</v>
      </c>
      <c r="B334" s="315" t="s">
        <v>256</v>
      </c>
      <c r="C334" s="222"/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7" t="s">
        <v>1143</v>
      </c>
      <c r="B335" s="315" t="s">
        <v>256</v>
      </c>
      <c r="C335" s="222"/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7" t="s">
        <v>423</v>
      </c>
      <c r="B336" s="315" t="s">
        <v>256</v>
      </c>
      <c r="C336" s="222"/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7" t="s">
        <v>422</v>
      </c>
      <c r="B337" s="315" t="s">
        <v>256</v>
      </c>
      <c r="C337" s="189">
        <f>-2656996</f>
        <v>-2656996</v>
      </c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7" t="s">
        <v>1252</v>
      </c>
      <c r="B338" s="315" t="s">
        <v>256</v>
      </c>
      <c r="C338" s="189"/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7" t="s">
        <v>424</v>
      </c>
      <c r="B339" s="297"/>
      <c r="C339" s="305"/>
      <c r="D339" s="297">
        <f>D314+D319+D330+C332+C336+C337</f>
        <v>17607481.190000001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7" t="s">
        <v>425</v>
      </c>
      <c r="B341" s="297"/>
      <c r="C341" s="305"/>
      <c r="D341" s="297">
        <f>D292</f>
        <v>17607481.169999994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4" t="s">
        <v>426</v>
      </c>
      <c r="B357" s="314"/>
      <c r="C357" s="314"/>
      <c r="D357" s="314"/>
      <c r="E357" s="3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9" t="s">
        <v>427</v>
      </c>
      <c r="B358" s="319"/>
      <c r="C358" s="319"/>
      <c r="D358" s="319"/>
      <c r="E358" s="31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7" t="s">
        <v>428</v>
      </c>
      <c r="B359" s="315" t="s">
        <v>256</v>
      </c>
      <c r="C359" s="189">
        <f>45555251</f>
        <v>45555251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7" t="s">
        <v>429</v>
      </c>
      <c r="B360" s="315" t="s">
        <v>256</v>
      </c>
      <c r="C360" s="189">
        <f>96608044</f>
        <v>96608044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7" t="s">
        <v>430</v>
      </c>
      <c r="B361" s="297"/>
      <c r="C361" s="305"/>
      <c r="D361" s="297">
        <f>SUM(C359:C360)</f>
        <v>142163295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9" t="s">
        <v>431</v>
      </c>
      <c r="B362" s="319"/>
      <c r="C362" s="319"/>
      <c r="D362" s="319"/>
      <c r="E362" s="31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7" t="s">
        <v>1254</v>
      </c>
      <c r="B363" s="319"/>
      <c r="C363" s="189">
        <f>3158937.98+693757.1</f>
        <v>3852695.08</v>
      </c>
      <c r="D363" s="297"/>
      <c r="E363" s="31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7" t="s">
        <v>432</v>
      </c>
      <c r="B364" s="315" t="s">
        <v>256</v>
      </c>
      <c r="C364" s="189">
        <v>100605902.43000001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7" t="s">
        <v>433</v>
      </c>
      <c r="B365" s="315" t="s">
        <v>256</v>
      </c>
      <c r="C365" s="189">
        <f>614308.57</f>
        <v>614308.56999999995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7" t="s">
        <v>434</v>
      </c>
      <c r="B366" s="315" t="s">
        <v>256</v>
      </c>
      <c r="C366" s="189">
        <f>-29196.62</f>
        <v>-29196.62</v>
      </c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7" t="s">
        <v>359</v>
      </c>
      <c r="B367" s="297"/>
      <c r="C367" s="305"/>
      <c r="D367" s="297">
        <f>SUM(C363:C366)</f>
        <v>105043709.45999999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7" t="s">
        <v>435</v>
      </c>
      <c r="B368" s="297"/>
      <c r="C368" s="305"/>
      <c r="D368" s="297">
        <f>D361-D367</f>
        <v>37119585.540000007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9" t="s">
        <v>436</v>
      </c>
      <c r="B369" s="319"/>
      <c r="C369" s="319"/>
      <c r="D369" s="319"/>
      <c r="E369" s="31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7" t="s">
        <v>437</v>
      </c>
      <c r="B370" s="315" t="s">
        <v>256</v>
      </c>
      <c r="C370" s="189">
        <f>196649.98</f>
        <v>196649.98</v>
      </c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7" t="s">
        <v>438</v>
      </c>
      <c r="B371" s="315" t="s">
        <v>256</v>
      </c>
      <c r="C371" s="189"/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7" t="s">
        <v>439</v>
      </c>
      <c r="B372" s="297"/>
      <c r="C372" s="305"/>
      <c r="D372" s="297">
        <f>SUM(C370:C371)</f>
        <v>196649.98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7" t="s">
        <v>440</v>
      </c>
      <c r="B373" s="297"/>
      <c r="C373" s="305"/>
      <c r="D373" s="297">
        <f>D368+D372</f>
        <v>37316235.520000003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9" t="s">
        <v>441</v>
      </c>
      <c r="B377" s="319"/>
      <c r="C377" s="319"/>
      <c r="D377" s="319"/>
      <c r="E377" s="31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7" t="s">
        <v>442</v>
      </c>
      <c r="B378" s="315" t="s">
        <v>256</v>
      </c>
      <c r="C378" s="189">
        <f>15560911</f>
        <v>15560911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7" t="s">
        <v>3</v>
      </c>
      <c r="B379" s="315" t="s">
        <v>256</v>
      </c>
      <c r="C379" s="189">
        <f>2491885</f>
        <v>2491885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7" t="s">
        <v>236</v>
      </c>
      <c r="B380" s="315" t="s">
        <v>256</v>
      </c>
      <c r="C380" s="189">
        <f>2945720</f>
        <v>2945720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7" t="s">
        <v>443</v>
      </c>
      <c r="B381" s="315" t="s">
        <v>256</v>
      </c>
      <c r="C381" s="189">
        <f>2782613</f>
        <v>2782613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7" t="s">
        <v>444</v>
      </c>
      <c r="B382" s="315" t="s">
        <v>256</v>
      </c>
      <c r="C382" s="189">
        <f>440092</f>
        <v>440092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7" t="s">
        <v>445</v>
      </c>
      <c r="B383" s="315" t="s">
        <v>256</v>
      </c>
      <c r="C383" s="189">
        <f>8223836</f>
        <v>8223836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7" t="s">
        <v>6</v>
      </c>
      <c r="B384" s="315" t="s">
        <v>256</v>
      </c>
      <c r="C384" s="189">
        <f>714847</f>
        <v>714847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7" t="s">
        <v>446</v>
      </c>
      <c r="B385" s="315" t="s">
        <v>256</v>
      </c>
      <c r="C385" s="189">
        <f>390654</f>
        <v>390654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7" t="s">
        <v>447</v>
      </c>
      <c r="B386" s="315" t="s">
        <v>256</v>
      </c>
      <c r="C386" s="189">
        <f>177512.84</f>
        <v>177512.84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7" t="s">
        <v>448</v>
      </c>
      <c r="B387" s="315" t="s">
        <v>256</v>
      </c>
      <c r="C387" s="189">
        <f>1070690.88</f>
        <v>1070690.8799999999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7" t="s">
        <v>449</v>
      </c>
      <c r="B388" s="315" t="s">
        <v>256</v>
      </c>
      <c r="C388" s="189">
        <f>1328422.83</f>
        <v>1328422.83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7" t="s">
        <v>451</v>
      </c>
      <c r="B389" s="315" t="s">
        <v>256</v>
      </c>
      <c r="C389" s="189">
        <v>655548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7" t="s">
        <v>452</v>
      </c>
      <c r="B390" s="297"/>
      <c r="C390" s="305"/>
      <c r="D390" s="297">
        <f>SUM(C378:C389)</f>
        <v>36782732.550000004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7" t="s">
        <v>453</v>
      </c>
      <c r="B391" s="297"/>
      <c r="C391" s="305"/>
      <c r="D391" s="297">
        <f>D373-D390</f>
        <v>533502.96999999881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7" t="s">
        <v>454</v>
      </c>
      <c r="B392" s="315" t="s">
        <v>256</v>
      </c>
      <c r="C392" s="189">
        <f>2.23+9630214.49+127299.2</f>
        <v>9757515.9199999999</v>
      </c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7" t="s">
        <v>455</v>
      </c>
      <c r="B393" s="297"/>
      <c r="C393" s="305"/>
      <c r="D393" s="297">
        <f>D391+C392</f>
        <v>10291018.889999999</v>
      </c>
      <c r="E393" s="297"/>
      <c r="F393" s="3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7" t="s">
        <v>456</v>
      </c>
      <c r="B394" s="315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7" t="s">
        <v>457</v>
      </c>
      <c r="B395" s="315" t="s">
        <v>256</v>
      </c>
      <c r="C395" s="189"/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7" t="s">
        <v>458</v>
      </c>
      <c r="B396" s="297"/>
      <c r="C396" s="305"/>
      <c r="D396" s="297">
        <f>D393+C394-C395</f>
        <v>10291018.889999999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3" t="s">
        <v>459</v>
      </c>
      <c r="D411" s="2"/>
      <c r="E411" s="3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ASTRIA TOPPENISH HOSPITAL   H-0     FYE 12/31/2020</v>
      </c>
      <c r="B412" s="2"/>
      <c r="C412" s="2"/>
      <c r="D412" s="2"/>
      <c r="E412" s="3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3" t="s">
        <v>461</v>
      </c>
      <c r="C413" s="333" t="s">
        <v>1242</v>
      </c>
      <c r="D413" s="33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1280</v>
      </c>
      <c r="C414" s="2">
        <f>E138</f>
        <v>1629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7484</v>
      </c>
      <c r="C415" s="2">
        <f>E139</f>
        <v>8464</v>
      </c>
      <c r="D415" s="2">
        <f>SUM(C59:H59)+N59</f>
        <v>6745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5"/>
      <c r="B422" s="335"/>
      <c r="C422" s="3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349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980</v>
      </c>
      <c r="C424" s="2"/>
      <c r="D424" s="2">
        <f>J59</f>
        <v>980</v>
      </c>
      <c r="E424" s="2"/>
      <c r="F424" s="2"/>
      <c r="G424" s="335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5"/>
      <c r="B425" s="335"/>
      <c r="C425" s="335"/>
      <c r="D425" s="335"/>
      <c r="E425" s="2"/>
      <c r="F425" s="33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3" t="s">
        <v>471</v>
      </c>
      <c r="C426" s="333" t="s">
        <v>462</v>
      </c>
      <c r="D426" s="33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15560911</v>
      </c>
      <c r="C427" s="2">
        <f t="shared" ref="C427:C434" si="13">CE61</f>
        <v>15560911.349999998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2491885</v>
      </c>
      <c r="C428" s="2">
        <f t="shared" si="13"/>
        <v>2491885</v>
      </c>
      <c r="D428" s="2">
        <f>D173</f>
        <v>2491885.3800000004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2945720</v>
      </c>
      <c r="C429" s="2">
        <f t="shared" si="13"/>
        <v>2945719.9699999997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2782613</v>
      </c>
      <c r="C430" s="2">
        <f t="shared" si="13"/>
        <v>2782612.4999999995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440092</v>
      </c>
      <c r="C431" s="2">
        <f t="shared" si="13"/>
        <v>440091.76999999996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8223836</v>
      </c>
      <c r="C432" s="2">
        <f t="shared" si="13"/>
        <v>8223836.4000000004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714847</v>
      </c>
      <c r="C433" s="2">
        <f t="shared" si="13"/>
        <v>714847</v>
      </c>
      <c r="D433" s="2">
        <f>C217</f>
        <v>553470.17000000016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390654</v>
      </c>
      <c r="C434" s="2">
        <f t="shared" si="13"/>
        <v>390653.52000000008</v>
      </c>
      <c r="D434" s="2">
        <f>D177</f>
        <v>390653.7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177512.84</v>
      </c>
      <c r="C435" s="2"/>
      <c r="D435" s="2">
        <f>D181</f>
        <v>177512.84000000003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1070690.8799999999</v>
      </c>
      <c r="C436" s="2"/>
      <c r="D436" s="2">
        <f>D186</f>
        <v>1070690.8799999999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1328422.83</v>
      </c>
      <c r="C437" s="2"/>
      <c r="D437" s="2">
        <f>D190</f>
        <v>1328422.83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2576626.5499999998</v>
      </c>
      <c r="C438" s="2">
        <f>CD69</f>
        <v>0</v>
      </c>
      <c r="D438" s="2">
        <f>D181+D186+D190</f>
        <v>2576626.5499999998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655548</v>
      </c>
      <c r="C439" s="2">
        <f>SUM(C69:CC69)</f>
        <v>1620385.6400000001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3232174.55</v>
      </c>
      <c r="C440" s="2">
        <f>CE69</f>
        <v>1620385.6400000001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36782732.550000004</v>
      </c>
      <c r="C441" s="2">
        <f>SUM(C427:C437)+C440</f>
        <v>35170943.149999991</v>
      </c>
      <c r="D441" s="2"/>
      <c r="E441" s="2"/>
      <c r="F441" s="2"/>
      <c r="G441" s="335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5"/>
      <c r="B442" s="335"/>
      <c r="C442" s="335"/>
      <c r="D442" s="335"/>
      <c r="E442" s="2"/>
      <c r="F442" s="33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3" t="s">
        <v>480</v>
      </c>
      <c r="C443" s="33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3852695</v>
      </c>
      <c r="C444" s="2">
        <f>C363</f>
        <v>3852695.08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100576705</v>
      </c>
      <c r="C445" s="2">
        <f>C364</f>
        <v>100605902.43000001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614309</v>
      </c>
      <c r="C446" s="2">
        <f>C365</f>
        <v>614308.56999999995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0</v>
      </c>
      <c r="C447" s="2">
        <f>C366</f>
        <v>-29196.62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105043709</v>
      </c>
      <c r="C448" s="2">
        <f>D367</f>
        <v>105043709.45999999</v>
      </c>
      <c r="D448" s="2"/>
      <c r="E448" s="2"/>
      <c r="F448" s="2"/>
      <c r="G448" s="335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5"/>
      <c r="B449" s="335"/>
      <c r="C449" s="335"/>
      <c r="D449" s="335"/>
      <c r="E449" s="2"/>
      <c r="F449" s="335"/>
      <c r="G449" s="3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3" t="s">
        <v>482</v>
      </c>
      <c r="C450" s="335"/>
      <c r="D450" s="335"/>
      <c r="E450" s="2"/>
      <c r="F450" s="33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36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614309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0</v>
      </c>
      <c r="C455" s="2"/>
      <c r="D455" s="2"/>
      <c r="E455" s="2"/>
      <c r="F455" s="2"/>
      <c r="G455" s="335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5"/>
      <c r="B456" s="335"/>
      <c r="C456" s="335"/>
      <c r="D456" s="335"/>
      <c r="E456" s="2"/>
      <c r="F456" s="33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3" t="s">
        <v>471</v>
      </c>
      <c r="C457" s="33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196649.98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335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5"/>
      <c r="B460" s="335"/>
      <c r="C460" s="335"/>
      <c r="D460" s="335"/>
      <c r="E460" s="2"/>
      <c r="F460" s="33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3"/>
      <c r="C461" s="333"/>
      <c r="D461" s="33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3" t="s">
        <v>471</v>
      </c>
      <c r="C462" s="333" t="s">
        <v>486</v>
      </c>
      <c r="D462" s="33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45555251</v>
      </c>
      <c r="C463" s="2">
        <f>CE73</f>
        <v>45555251.439999998</v>
      </c>
      <c r="D463" s="2">
        <f>E141+E147+E153</f>
        <v>45555252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96608044</v>
      </c>
      <c r="C464" s="2">
        <f>CE74</f>
        <v>96608043.859999999</v>
      </c>
      <c r="D464" s="2">
        <f>E142+E148+E154</f>
        <v>96608044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142163295</v>
      </c>
      <c r="C465" s="2">
        <f>CE75</f>
        <v>142163295.29999998</v>
      </c>
      <c r="D465" s="2">
        <f>D463+D464</f>
        <v>142163296</v>
      </c>
      <c r="E465" s="2"/>
      <c r="F465" s="2"/>
      <c r="G465" s="335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5"/>
      <c r="B466" s="335"/>
      <c r="C466" s="335"/>
      <c r="D466" s="335"/>
      <c r="E466" s="2"/>
      <c r="F466" s="33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3" t="s">
        <v>492</v>
      </c>
      <c r="C467" s="33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550000</v>
      </c>
      <c r="C468" s="2">
        <f>E195</f>
        <v>550000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26952.880000000001</v>
      </c>
      <c r="C469" s="2">
        <f>E196</f>
        <v>26953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7958258.7000000002</v>
      </c>
      <c r="C470" s="2">
        <f>E197</f>
        <v>7958258.7000000002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365172</v>
      </c>
      <c r="C471" s="2">
        <f>E198</f>
        <v>365171.96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1703716</v>
      </c>
      <c r="C473" s="2">
        <f>SUM(E200:E201)</f>
        <v>1703715.71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55076.34</v>
      </c>
      <c r="C475" s="2">
        <f>E203</f>
        <v>55076.899999999907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10659175.92</v>
      </c>
      <c r="C476" s="2">
        <f>E204</f>
        <v>10659176.270000001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2560901.27</v>
      </c>
      <c r="C478" s="2">
        <f>E217</f>
        <v>2560901.27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17607481.169999994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17607481.190000001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36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36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36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3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7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36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3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199</v>
      </c>
      <c r="B493" s="338" t="str">
        <f>RIGHT('[1]Prior Year'!C82,4)</f>
        <v>2019</v>
      </c>
      <c r="C493" s="338" t="str">
        <f>RIGHT(C82,4)</f>
        <v>2020</v>
      </c>
      <c r="D493" s="338" t="str">
        <f>RIGHT('[1]Prior Year'!C82,4)</f>
        <v>2019</v>
      </c>
      <c r="E493" s="338" t="str">
        <f>RIGHT(C82,4)</f>
        <v>2020</v>
      </c>
      <c r="F493" s="338" t="str">
        <f>RIGHT('[1]Prior Year'!C82,4)</f>
        <v>2019</v>
      </c>
      <c r="G493" s="338" t="str">
        <f>RIGHT(C82,4)</f>
        <v>2020</v>
      </c>
      <c r="H493" s="338"/>
      <c r="I493" s="2"/>
      <c r="J493" s="2"/>
      <c r="K493" s="338"/>
      <c r="L493" s="33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7"/>
      <c r="B494" s="333" t="s">
        <v>505</v>
      </c>
      <c r="C494" s="333" t="s">
        <v>505</v>
      </c>
      <c r="D494" s="339" t="s">
        <v>506</v>
      </c>
      <c r="E494" s="339" t="s">
        <v>506</v>
      </c>
      <c r="F494" s="338" t="s">
        <v>507</v>
      </c>
      <c r="G494" s="338" t="s">
        <v>507</v>
      </c>
      <c r="H494" s="338" t="s">
        <v>508</v>
      </c>
      <c r="I494" s="2"/>
      <c r="J494" s="2"/>
      <c r="K494" s="338"/>
      <c r="L494" s="33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3" t="s">
        <v>303</v>
      </c>
      <c r="C495" s="333" t="s">
        <v>303</v>
      </c>
      <c r="D495" s="333" t="s">
        <v>509</v>
      </c>
      <c r="E495" s="333" t="s">
        <v>509</v>
      </c>
      <c r="F495" s="338" t="s">
        <v>510</v>
      </c>
      <c r="G495" s="338" t="s">
        <v>510</v>
      </c>
      <c r="H495" s="338" t="s">
        <v>511</v>
      </c>
      <c r="I495" s="2"/>
      <c r="J495" s="2"/>
      <c r="K495" s="338"/>
      <c r="L495" s="33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40">
        <f>'[1]Prior Year'!C71</f>
        <v>831362.23999999987</v>
      </c>
      <c r="C496" s="340">
        <f>C71</f>
        <v>1722650.4899999998</v>
      </c>
      <c r="D496" s="340">
        <f>'[1]Prior Year'!C59</f>
        <v>187</v>
      </c>
      <c r="E496" s="2">
        <f>C59</f>
        <v>220</v>
      </c>
      <c r="F496" s="341">
        <f t="shared" ref="F496:F540" si="15">IF(B496=0,"",IF(D496=0,"",B496/D496))</f>
        <v>4445.7873796791437</v>
      </c>
      <c r="G496" s="341">
        <f t="shared" ref="G496:G508" si="16">IF(C496=0,"",IF(E496=0,"",C496/E496))</f>
        <v>7830.2294999999986</v>
      </c>
      <c r="H496" s="342">
        <f t="shared" ref="H496:H508" si="17">IF(B496=0,"",IF(C496=0,"",IF(D496=0,"",IF(E496=0,"",IF(G496/F496-1&lt;-0.25,G496/F496-1,IF(G496/F496-1&gt;0.25,G496/F496-1,""))))))</f>
        <v>0.7612694515690297</v>
      </c>
      <c r="I496" s="268"/>
      <c r="J496" s="2"/>
      <c r="K496" s="338"/>
      <c r="L496" s="33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40">
        <f>'[1]Prior Year'!D71</f>
        <v>0</v>
      </c>
      <c r="C497" s="340">
        <f>D71</f>
        <v>0</v>
      </c>
      <c r="D497" s="340">
        <f>'[1]Prior Year'!D59</f>
        <v>0</v>
      </c>
      <c r="E497" s="2">
        <f>D59</f>
        <v>0</v>
      </c>
      <c r="F497" s="341" t="str">
        <f t="shared" si="15"/>
        <v/>
      </c>
      <c r="G497" s="341" t="str">
        <f t="shared" si="16"/>
        <v/>
      </c>
      <c r="H497" s="342" t="str">
        <f t="shared" si="17"/>
        <v/>
      </c>
      <c r="I497" s="268"/>
      <c r="J497" s="2"/>
      <c r="K497" s="338"/>
      <c r="L497" s="33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40">
        <f>'[1]Prior Year'!E71</f>
        <v>2317658.0599999996</v>
      </c>
      <c r="C498" s="340">
        <f>E71</f>
        <v>2102340.34</v>
      </c>
      <c r="D498" s="340">
        <f>'[1]Prior Year'!E59</f>
        <v>2938</v>
      </c>
      <c r="E498" s="2">
        <f>E59</f>
        <v>2954</v>
      </c>
      <c r="F498" s="341">
        <f t="shared" si="15"/>
        <v>788.85570456092569</v>
      </c>
      <c r="G498" s="341">
        <f t="shared" si="16"/>
        <v>711.69273527420444</v>
      </c>
      <c r="H498" s="342" t="str">
        <f t="shared" si="17"/>
        <v/>
      </c>
      <c r="I498" s="268"/>
      <c r="J498" s="2"/>
      <c r="K498" s="338"/>
      <c r="L498" s="33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40">
        <f>'[1]Prior Year'!F71</f>
        <v>0</v>
      </c>
      <c r="C499" s="340">
        <f>F71</f>
        <v>0</v>
      </c>
      <c r="D499" s="340">
        <f>'[1]Prior Year'!F59</f>
        <v>0</v>
      </c>
      <c r="E499" s="2">
        <f>F59</f>
        <v>0</v>
      </c>
      <c r="F499" s="341" t="str">
        <f t="shared" si="15"/>
        <v/>
      </c>
      <c r="G499" s="341" t="str">
        <f t="shared" si="16"/>
        <v/>
      </c>
      <c r="H499" s="342" t="str">
        <f t="shared" si="17"/>
        <v/>
      </c>
      <c r="I499" s="268"/>
      <c r="J499" s="2"/>
      <c r="K499" s="338"/>
      <c r="L499" s="33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40">
        <f>'[1]Prior Year'!G71</f>
        <v>0</v>
      </c>
      <c r="C500" s="340">
        <f>G71</f>
        <v>0</v>
      </c>
      <c r="D500" s="340">
        <f>'[1]Prior Year'!G59</f>
        <v>0</v>
      </c>
      <c r="E500" s="2">
        <f>G59</f>
        <v>0</v>
      </c>
      <c r="F500" s="341" t="str">
        <f t="shared" si="15"/>
        <v/>
      </c>
      <c r="G500" s="341" t="str">
        <f t="shared" si="16"/>
        <v/>
      </c>
      <c r="H500" s="342" t="str">
        <f t="shared" si="17"/>
        <v/>
      </c>
      <c r="I500" s="268"/>
      <c r="J500" s="2"/>
      <c r="K500" s="338"/>
      <c r="L500" s="33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40">
        <f>'[1]Prior Year'!H71</f>
        <v>1542941.85</v>
      </c>
      <c r="C501" s="340">
        <f>H71</f>
        <v>4320567.7300000004</v>
      </c>
      <c r="D501" s="340">
        <f>'[1]Prior Year'!H59</f>
        <v>3571</v>
      </c>
      <c r="E501" s="2">
        <f>H59</f>
        <v>3571</v>
      </c>
      <c r="F501" s="341">
        <f t="shared" si="15"/>
        <v>432.0755670680482</v>
      </c>
      <c r="G501" s="341">
        <f t="shared" si="16"/>
        <v>1209.904152898348</v>
      </c>
      <c r="H501" s="342">
        <f t="shared" si="17"/>
        <v>1.8002142336083504</v>
      </c>
      <c r="I501" s="268"/>
      <c r="J501" s="2"/>
      <c r="K501" s="338"/>
      <c r="L501" s="33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40">
        <f>'[1]Prior Year'!I71</f>
        <v>0</v>
      </c>
      <c r="C502" s="340">
        <f>I71</f>
        <v>0</v>
      </c>
      <c r="D502" s="340">
        <f>'[1]Prior Year'!I59</f>
        <v>0</v>
      </c>
      <c r="E502" s="2">
        <f>I59</f>
        <v>0</v>
      </c>
      <c r="F502" s="341" t="str">
        <f t="shared" si="15"/>
        <v/>
      </c>
      <c r="G502" s="341" t="str">
        <f t="shared" si="16"/>
        <v/>
      </c>
      <c r="H502" s="342" t="str">
        <f t="shared" si="17"/>
        <v/>
      </c>
      <c r="I502" s="268"/>
      <c r="J502" s="2"/>
      <c r="K502" s="338"/>
      <c r="L502" s="33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40">
        <f>'[1]Prior Year'!J71</f>
        <v>14766.369999999999</v>
      </c>
      <c r="C503" s="340">
        <f>J71</f>
        <v>7098.47</v>
      </c>
      <c r="D503" s="340">
        <f>'[1]Prior Year'!J59</f>
        <v>429</v>
      </c>
      <c r="E503" s="2">
        <f>J59</f>
        <v>980</v>
      </c>
      <c r="F503" s="341">
        <f t="shared" si="15"/>
        <v>34.420442890442885</v>
      </c>
      <c r="G503" s="341">
        <f t="shared" si="16"/>
        <v>7.2433367346938775</v>
      </c>
      <c r="H503" s="342">
        <f t="shared" si="17"/>
        <v>-0.78956294206472721</v>
      </c>
      <c r="I503" s="268"/>
      <c r="J503" s="2"/>
      <c r="K503" s="338"/>
      <c r="L503" s="33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40">
        <f>'[1]Prior Year'!K71</f>
        <v>0</v>
      </c>
      <c r="C504" s="340">
        <f>K71</f>
        <v>0</v>
      </c>
      <c r="D504" s="340">
        <f>'[1]Prior Year'!K59</f>
        <v>0</v>
      </c>
      <c r="E504" s="2">
        <f>K59</f>
        <v>0</v>
      </c>
      <c r="F504" s="341" t="str">
        <f t="shared" si="15"/>
        <v/>
      </c>
      <c r="G504" s="341" t="str">
        <f t="shared" si="16"/>
        <v/>
      </c>
      <c r="H504" s="342" t="str">
        <f t="shared" si="17"/>
        <v/>
      </c>
      <c r="I504" s="268"/>
      <c r="J504" s="2"/>
      <c r="K504" s="338"/>
      <c r="L504" s="33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40">
        <f>'[1]Prior Year'!L71</f>
        <v>0</v>
      </c>
      <c r="C505" s="340">
        <f>L71</f>
        <v>0</v>
      </c>
      <c r="D505" s="340">
        <f>'[1]Prior Year'!L59</f>
        <v>0</v>
      </c>
      <c r="E505" s="2">
        <f>L59</f>
        <v>0</v>
      </c>
      <c r="F505" s="341" t="str">
        <f t="shared" si="15"/>
        <v/>
      </c>
      <c r="G505" s="341" t="str">
        <f t="shared" si="16"/>
        <v/>
      </c>
      <c r="H505" s="342" t="str">
        <f t="shared" si="17"/>
        <v/>
      </c>
      <c r="I505" s="268"/>
      <c r="J505" s="2"/>
      <c r="K505" s="338"/>
      <c r="L505" s="33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40">
        <f>'[1]Prior Year'!M71</f>
        <v>0</v>
      </c>
      <c r="C506" s="340">
        <f>M71</f>
        <v>0</v>
      </c>
      <c r="D506" s="340">
        <f>'[1]Prior Year'!M59</f>
        <v>0</v>
      </c>
      <c r="E506" s="2">
        <f>M59</f>
        <v>0</v>
      </c>
      <c r="F506" s="341" t="str">
        <f t="shared" si="15"/>
        <v/>
      </c>
      <c r="G506" s="341" t="str">
        <f t="shared" si="16"/>
        <v/>
      </c>
      <c r="H506" s="342" t="str">
        <f t="shared" si="17"/>
        <v/>
      </c>
      <c r="I506" s="268"/>
      <c r="J506" s="2"/>
      <c r="K506" s="338"/>
      <c r="L506" s="33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40">
        <f>'[1]Prior Year'!N71</f>
        <v>0</v>
      </c>
      <c r="C507" s="340">
        <f>N71</f>
        <v>0</v>
      </c>
      <c r="D507" s="340">
        <f>'[1]Prior Year'!N59</f>
        <v>0</v>
      </c>
      <c r="E507" s="2">
        <f>N59</f>
        <v>0</v>
      </c>
      <c r="F507" s="341" t="str">
        <f t="shared" si="15"/>
        <v/>
      </c>
      <c r="G507" s="341" t="str">
        <f t="shared" si="16"/>
        <v/>
      </c>
      <c r="H507" s="342" t="str">
        <f t="shared" si="17"/>
        <v/>
      </c>
      <c r="I507" s="268"/>
      <c r="J507" s="2"/>
      <c r="K507" s="338"/>
      <c r="L507" s="33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40">
        <f>'[1]Prior Year'!O71</f>
        <v>1848969.32</v>
      </c>
      <c r="C508" s="340">
        <f>O71</f>
        <v>2441715.94</v>
      </c>
      <c r="D508" s="340">
        <f>'[1]Prior Year'!O59</f>
        <v>671</v>
      </c>
      <c r="E508" s="2">
        <f>O59</f>
        <v>739</v>
      </c>
      <c r="F508" s="341">
        <f t="shared" si="15"/>
        <v>2755.5429508196721</v>
      </c>
      <c r="G508" s="341">
        <f t="shared" si="16"/>
        <v>3304.0811096075777</v>
      </c>
      <c r="H508" s="342" t="str">
        <f t="shared" si="17"/>
        <v/>
      </c>
      <c r="I508" s="268"/>
      <c r="J508" s="2"/>
      <c r="K508" s="338"/>
      <c r="L508" s="33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40">
        <f>'[1]Prior Year'!P71</f>
        <v>1219741.5900000001</v>
      </c>
      <c r="C509" s="340">
        <f>P71</f>
        <v>1386538.47</v>
      </c>
      <c r="D509" s="340">
        <f>'[1]Prior Year'!P59</f>
        <v>0</v>
      </c>
      <c r="E509" s="2">
        <f>P59</f>
        <v>0</v>
      </c>
      <c r="F509" s="341" t="str">
        <f t="shared" si="15"/>
        <v/>
      </c>
      <c r="G509" s="341" t="str">
        <f t="shared" ref="G509:G539" si="18">IF(C510=0,"",IF(E510=0,"",C510/E510))</f>
        <v/>
      </c>
      <c r="H509" s="342" t="str">
        <f>IF(B509=0,"",IF(C509=0,"",IF(D509=0,"",IF(E509=0,"",IF(#REF!/F509-1&lt;-0.25,#REF!/F509-1,IF(#REF!/F509-1&gt;0.25,#REF!/F509-1,""))))))</f>
        <v/>
      </c>
      <c r="I509" s="268"/>
      <c r="J509" s="2"/>
      <c r="K509" s="338"/>
      <c r="L509" s="33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40">
        <f>'[1]Prior Year'!Q71</f>
        <v>243402.16</v>
      </c>
      <c r="C510" s="340">
        <f>Q71</f>
        <v>314594.07999999996</v>
      </c>
      <c r="D510" s="340">
        <f>'[1]Prior Year'!Q59</f>
        <v>0</v>
      </c>
      <c r="E510" s="2">
        <f>Q59</f>
        <v>0</v>
      </c>
      <c r="F510" s="341" t="str">
        <f t="shared" si="15"/>
        <v/>
      </c>
      <c r="G510" s="341" t="str">
        <f t="shared" si="18"/>
        <v/>
      </c>
      <c r="H510" s="342" t="str">
        <f t="shared" ref="H510:H540" si="19">IF(B510=0,"",IF(C510=0,"",IF(D510=0,"",IF(E510=0,"",IF(G509/F510-1&lt;-0.25,G509/F510-1,IF(G509/F510-1&gt;0.25,G509/F510-1,""))))))</f>
        <v/>
      </c>
      <c r="I510" s="268"/>
      <c r="J510" s="2"/>
      <c r="K510" s="338"/>
      <c r="L510" s="33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40">
        <f>'[1]Prior Year'!R71</f>
        <v>278957.00000000006</v>
      </c>
      <c r="C511" s="340">
        <f>R71</f>
        <v>270742.83</v>
      </c>
      <c r="D511" s="340">
        <f>'[1]Prior Year'!R59</f>
        <v>0</v>
      </c>
      <c r="E511" s="2">
        <f>R59</f>
        <v>0</v>
      </c>
      <c r="F511" s="341" t="str">
        <f t="shared" si="15"/>
        <v/>
      </c>
      <c r="G511" s="341" t="str">
        <f t="shared" si="18"/>
        <v/>
      </c>
      <c r="H511" s="342" t="str">
        <f t="shared" si="19"/>
        <v/>
      </c>
      <c r="I511" s="268"/>
      <c r="J511" s="2"/>
      <c r="K511" s="338"/>
      <c r="L511" s="33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40">
        <f>'[1]Prior Year'!S71</f>
        <v>76436.86</v>
      </c>
      <c r="C512" s="340">
        <f>S71</f>
        <v>187337.74000000002</v>
      </c>
      <c r="D512" s="333" t="s">
        <v>529</v>
      </c>
      <c r="E512" s="333" t="s">
        <v>529</v>
      </c>
      <c r="F512" s="341" t="str">
        <f t="shared" si="15"/>
        <v/>
      </c>
      <c r="G512" s="341" t="str">
        <f t="shared" si="18"/>
        <v/>
      </c>
      <c r="H512" s="342" t="str">
        <f t="shared" si="19"/>
        <v/>
      </c>
      <c r="I512" s="268"/>
      <c r="J512" s="2"/>
      <c r="K512" s="338"/>
      <c r="L512" s="33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40">
        <f>'[1]Prior Year'!T71</f>
        <v>-1334.92</v>
      </c>
      <c r="C513" s="340">
        <f>T71</f>
        <v>0</v>
      </c>
      <c r="D513" s="333" t="s">
        <v>529</v>
      </c>
      <c r="E513" s="333" t="s">
        <v>529</v>
      </c>
      <c r="F513" s="341" t="str">
        <f t="shared" si="15"/>
        <v/>
      </c>
      <c r="G513" s="341" t="str">
        <f t="shared" si="18"/>
        <v/>
      </c>
      <c r="H513" s="342" t="str">
        <f t="shared" si="19"/>
        <v/>
      </c>
      <c r="I513" s="268"/>
      <c r="J513" s="2"/>
      <c r="K513" s="338"/>
      <c r="L513" s="33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40">
        <f>'[1]Prior Year'!U71</f>
        <v>1411487.89</v>
      </c>
      <c r="C514" s="340">
        <f>U71</f>
        <v>1744002.51</v>
      </c>
      <c r="D514" s="340">
        <f>'[1]Prior Year'!U59</f>
        <v>0</v>
      </c>
      <c r="E514" s="2">
        <f>U59</f>
        <v>0</v>
      </c>
      <c r="F514" s="341" t="str">
        <f t="shared" si="15"/>
        <v/>
      </c>
      <c r="G514" s="341" t="str">
        <f t="shared" si="18"/>
        <v/>
      </c>
      <c r="H514" s="342" t="str">
        <f t="shared" si="19"/>
        <v/>
      </c>
      <c r="I514" s="268"/>
      <c r="J514" s="2"/>
      <c r="K514" s="338"/>
      <c r="L514" s="33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40">
        <f>'[1]Prior Year'!V71</f>
        <v>511.01</v>
      </c>
      <c r="C515" s="340">
        <f>V71</f>
        <v>0</v>
      </c>
      <c r="D515" s="340">
        <f>'[1]Prior Year'!V59</f>
        <v>0</v>
      </c>
      <c r="E515" s="2">
        <f>V59</f>
        <v>0</v>
      </c>
      <c r="F515" s="341" t="str">
        <f t="shared" si="15"/>
        <v/>
      </c>
      <c r="G515" s="341" t="str">
        <f t="shared" si="18"/>
        <v/>
      </c>
      <c r="H515" s="342" t="str">
        <f t="shared" si="19"/>
        <v/>
      </c>
      <c r="I515" s="268"/>
      <c r="J515" s="2"/>
      <c r="K515" s="338"/>
      <c r="L515" s="33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40">
        <f>'[1]Prior Year'!W71</f>
        <v>135249.54</v>
      </c>
      <c r="C516" s="340">
        <f>W71</f>
        <v>123523.58</v>
      </c>
      <c r="D516" s="340">
        <f>'[1]Prior Year'!W59</f>
        <v>0</v>
      </c>
      <c r="E516" s="2">
        <f>W59</f>
        <v>0</v>
      </c>
      <c r="F516" s="341" t="str">
        <f t="shared" si="15"/>
        <v/>
      </c>
      <c r="G516" s="341" t="str">
        <f t="shared" si="18"/>
        <v/>
      </c>
      <c r="H516" s="342" t="str">
        <f t="shared" si="19"/>
        <v/>
      </c>
      <c r="I516" s="268"/>
      <c r="J516" s="2"/>
      <c r="K516" s="338"/>
      <c r="L516" s="33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40">
        <f>'[1]Prior Year'!X71</f>
        <v>101591.90999999999</v>
      </c>
      <c r="C517" s="340">
        <f>X71</f>
        <v>129862.04</v>
      </c>
      <c r="D517" s="340">
        <f>'[1]Prior Year'!X59</f>
        <v>3597</v>
      </c>
      <c r="E517" s="2">
        <f>X59</f>
        <v>0</v>
      </c>
      <c r="F517" s="341">
        <f t="shared" si="15"/>
        <v>28.243511259382817</v>
      </c>
      <c r="G517" s="341" t="str">
        <f t="shared" si="18"/>
        <v/>
      </c>
      <c r="H517" s="342" t="str">
        <f t="shared" si="19"/>
        <v/>
      </c>
      <c r="I517" s="268"/>
      <c r="J517" s="2"/>
      <c r="K517" s="338"/>
      <c r="L517" s="33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40">
        <f>'[1]Prior Year'!Y71</f>
        <v>1099733.74</v>
      </c>
      <c r="C518" s="340">
        <f>Y71</f>
        <v>1224869.46</v>
      </c>
      <c r="D518" s="340">
        <f>'[1]Prior Year'!Y59</f>
        <v>0</v>
      </c>
      <c r="E518" s="2">
        <f>Y59</f>
        <v>0</v>
      </c>
      <c r="F518" s="341" t="str">
        <f t="shared" si="15"/>
        <v/>
      </c>
      <c r="G518" s="341" t="str">
        <f t="shared" si="18"/>
        <v/>
      </c>
      <c r="H518" s="342" t="str">
        <f t="shared" si="19"/>
        <v/>
      </c>
      <c r="I518" s="268"/>
      <c r="J518" s="2"/>
      <c r="K518" s="338"/>
      <c r="L518" s="33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40">
        <f>'[1]Prior Year'!Z71</f>
        <v>0</v>
      </c>
      <c r="C519" s="340">
        <f>Z71</f>
        <v>0</v>
      </c>
      <c r="D519" s="340">
        <f>'[1]Prior Year'!Z59</f>
        <v>0</v>
      </c>
      <c r="E519" s="2">
        <f>Z59</f>
        <v>0</v>
      </c>
      <c r="F519" s="341" t="str">
        <f t="shared" si="15"/>
        <v/>
      </c>
      <c r="G519" s="341" t="str">
        <f t="shared" si="18"/>
        <v/>
      </c>
      <c r="H519" s="342" t="str">
        <f t="shared" si="19"/>
        <v/>
      </c>
      <c r="I519" s="268"/>
      <c r="J519" s="2"/>
      <c r="K519" s="338"/>
      <c r="L519" s="33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40">
        <f>'[1]Prior Year'!AA71</f>
        <v>0</v>
      </c>
      <c r="C520" s="340">
        <f>AA71</f>
        <v>20633.84</v>
      </c>
      <c r="D520" s="340">
        <f>'[1]Prior Year'!AA59</f>
        <v>0</v>
      </c>
      <c r="E520" s="2">
        <f>AA59</f>
        <v>0</v>
      </c>
      <c r="F520" s="341" t="str">
        <f t="shared" si="15"/>
        <v/>
      </c>
      <c r="G520" s="341" t="str">
        <f t="shared" si="18"/>
        <v/>
      </c>
      <c r="H520" s="342" t="str">
        <f t="shared" si="19"/>
        <v/>
      </c>
      <c r="I520" s="268"/>
      <c r="J520" s="2"/>
      <c r="K520" s="338"/>
      <c r="L520" s="33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40">
        <f>'[1]Prior Year'!AB71</f>
        <v>479710.34999999992</v>
      </c>
      <c r="C521" s="340">
        <f>AB71</f>
        <v>821475.08</v>
      </c>
      <c r="D521" s="333" t="s">
        <v>529</v>
      </c>
      <c r="E521" s="333" t="s">
        <v>529</v>
      </c>
      <c r="F521" s="341" t="str">
        <f t="shared" si="15"/>
        <v/>
      </c>
      <c r="G521" s="341" t="str">
        <f t="shared" si="18"/>
        <v/>
      </c>
      <c r="H521" s="342" t="str">
        <f t="shared" si="19"/>
        <v/>
      </c>
      <c r="I521" s="268"/>
      <c r="J521" s="2"/>
      <c r="K521" s="338"/>
      <c r="L521" s="33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40">
        <f>'[1]Prior Year'!AC71</f>
        <v>530040.02</v>
      </c>
      <c r="C522" s="340">
        <f>AC71</f>
        <v>555323.15</v>
      </c>
      <c r="D522" s="340">
        <f>'[1]Prior Year'!AC59</f>
        <v>0</v>
      </c>
      <c r="E522" s="2">
        <f>AC59</f>
        <v>0</v>
      </c>
      <c r="F522" s="341" t="str">
        <f t="shared" si="15"/>
        <v/>
      </c>
      <c r="G522" s="341" t="str">
        <f t="shared" si="18"/>
        <v/>
      </c>
      <c r="H522" s="342" t="str">
        <f t="shared" si="19"/>
        <v/>
      </c>
      <c r="I522" s="268"/>
      <c r="J522" s="2"/>
      <c r="K522" s="338"/>
      <c r="L522" s="33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40">
        <f>'[1]Prior Year'!AD71</f>
        <v>0</v>
      </c>
      <c r="C523" s="340">
        <f>AD71</f>
        <v>0</v>
      </c>
      <c r="D523" s="340">
        <f>'[1]Prior Year'!AD59</f>
        <v>0</v>
      </c>
      <c r="E523" s="2">
        <f>AD59</f>
        <v>0</v>
      </c>
      <c r="F523" s="341" t="str">
        <f t="shared" si="15"/>
        <v/>
      </c>
      <c r="G523" s="341" t="str">
        <f t="shared" si="18"/>
        <v/>
      </c>
      <c r="H523" s="342" t="str">
        <f t="shared" si="19"/>
        <v/>
      </c>
      <c r="I523" s="268"/>
      <c r="J523" s="2"/>
      <c r="K523" s="338"/>
      <c r="L523" s="33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40">
        <f>'[1]Prior Year'!AE71</f>
        <v>-2565.62</v>
      </c>
      <c r="C524" s="340">
        <f>AE71</f>
        <v>12377.45</v>
      </c>
      <c r="D524" s="340">
        <f>'[1]Prior Year'!AE59</f>
        <v>0</v>
      </c>
      <c r="E524" s="2">
        <f>AE59</f>
        <v>0</v>
      </c>
      <c r="F524" s="341" t="str">
        <f t="shared" si="15"/>
        <v/>
      </c>
      <c r="G524" s="341" t="str">
        <f t="shared" si="18"/>
        <v/>
      </c>
      <c r="H524" s="342" t="str">
        <f t="shared" si="19"/>
        <v/>
      </c>
      <c r="I524" s="268"/>
      <c r="J524" s="2"/>
      <c r="K524" s="338"/>
      <c r="L524" s="33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40">
        <f>'[1]Prior Year'!AF71</f>
        <v>0</v>
      </c>
      <c r="C525" s="340">
        <f>AF71</f>
        <v>0</v>
      </c>
      <c r="D525" s="340">
        <f>'[1]Prior Year'!AF59</f>
        <v>0</v>
      </c>
      <c r="E525" s="2">
        <f>AF59</f>
        <v>0</v>
      </c>
      <c r="F525" s="341" t="str">
        <f t="shared" si="15"/>
        <v/>
      </c>
      <c r="G525" s="341" t="str">
        <f t="shared" si="18"/>
        <v/>
      </c>
      <c r="H525" s="342" t="str">
        <f t="shared" si="19"/>
        <v/>
      </c>
      <c r="I525" s="268"/>
      <c r="J525" s="2"/>
      <c r="K525" s="338"/>
      <c r="L525" s="33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40">
        <f>'[1]Prior Year'!AG71</f>
        <v>3356774.33</v>
      </c>
      <c r="C526" s="340">
        <f>AG71</f>
        <v>3907695.08</v>
      </c>
      <c r="D526" s="340">
        <f>'[1]Prior Year'!AG59</f>
        <v>18929</v>
      </c>
      <c r="E526" s="2">
        <f>AG59</f>
        <v>0</v>
      </c>
      <c r="F526" s="341">
        <f t="shared" si="15"/>
        <v>177.33500607533415</v>
      </c>
      <c r="G526" s="341" t="str">
        <f t="shared" si="18"/>
        <v/>
      </c>
      <c r="H526" s="342" t="str">
        <f t="shared" si="19"/>
        <v/>
      </c>
      <c r="I526" s="268"/>
      <c r="J526" s="2"/>
      <c r="K526" s="338"/>
      <c r="L526" s="33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40">
        <f>'[1]Prior Year'!AH71</f>
        <v>0</v>
      </c>
      <c r="C527" s="340">
        <f>AH71</f>
        <v>0</v>
      </c>
      <c r="D527" s="340">
        <f>'[1]Prior Year'!AH59</f>
        <v>0</v>
      </c>
      <c r="E527" s="2">
        <f>AH59</f>
        <v>0</v>
      </c>
      <c r="F527" s="341" t="str">
        <f t="shared" si="15"/>
        <v/>
      </c>
      <c r="G527" s="341" t="str">
        <f t="shared" si="18"/>
        <v/>
      </c>
      <c r="H527" s="342" t="str">
        <f t="shared" si="19"/>
        <v/>
      </c>
      <c r="I527" s="268"/>
      <c r="J527" s="2"/>
      <c r="K527" s="338"/>
      <c r="L527" s="33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40">
        <f>'[1]Prior Year'!AI71</f>
        <v>0</v>
      </c>
      <c r="C528" s="340">
        <f>AI71</f>
        <v>0</v>
      </c>
      <c r="D528" s="340">
        <f>'[1]Prior Year'!AI59</f>
        <v>0</v>
      </c>
      <c r="E528" s="2">
        <f>AI59</f>
        <v>0</v>
      </c>
      <c r="F528" s="341" t="str">
        <f t="shared" si="15"/>
        <v/>
      </c>
      <c r="G528" s="341" t="str">
        <f t="shared" si="18"/>
        <v/>
      </c>
      <c r="H528" s="342" t="str">
        <f t="shared" si="19"/>
        <v/>
      </c>
      <c r="I528" s="268"/>
      <c r="J528" s="2"/>
      <c r="K528" s="338"/>
      <c r="L528" s="33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40">
        <f>'[1]Prior Year'!AJ71</f>
        <v>2377059.7299999995</v>
      </c>
      <c r="C529" s="340">
        <f>AJ71</f>
        <v>6266757</v>
      </c>
      <c r="D529" s="340">
        <f>'[1]Prior Year'!AJ59</f>
        <v>12378</v>
      </c>
      <c r="E529" s="2">
        <f>AJ59</f>
        <v>0</v>
      </c>
      <c r="F529" s="341">
        <f t="shared" si="15"/>
        <v>192.03907981903373</v>
      </c>
      <c r="G529" s="341" t="str">
        <f t="shared" si="18"/>
        <v/>
      </c>
      <c r="H529" s="342" t="str">
        <f t="shared" si="19"/>
        <v/>
      </c>
      <c r="I529" s="268"/>
      <c r="J529" s="2"/>
      <c r="K529" s="338"/>
      <c r="L529" s="33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40">
        <f>'[1]Prior Year'!AK71</f>
        <v>0</v>
      </c>
      <c r="C530" s="340">
        <f>AK71</f>
        <v>0</v>
      </c>
      <c r="D530" s="340">
        <f>'[1]Prior Year'!AK59</f>
        <v>0</v>
      </c>
      <c r="E530" s="2">
        <f>AK59</f>
        <v>0</v>
      </c>
      <c r="F530" s="341" t="str">
        <f t="shared" si="15"/>
        <v/>
      </c>
      <c r="G530" s="341" t="str">
        <f t="shared" si="18"/>
        <v/>
      </c>
      <c r="H530" s="342" t="str">
        <f t="shared" si="19"/>
        <v/>
      </c>
      <c r="I530" s="268"/>
      <c r="J530" s="2"/>
      <c r="K530" s="338"/>
      <c r="L530" s="33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40">
        <f>'[1]Prior Year'!AL71</f>
        <v>13279.699999999999</v>
      </c>
      <c r="C531" s="340">
        <f>AL71</f>
        <v>10624.04</v>
      </c>
      <c r="D531" s="340">
        <f>'[1]Prior Year'!AL59</f>
        <v>0</v>
      </c>
      <c r="E531" s="2">
        <f>AL59</f>
        <v>0</v>
      </c>
      <c r="F531" s="341" t="str">
        <f t="shared" si="15"/>
        <v/>
      </c>
      <c r="G531" s="341" t="str">
        <f t="shared" si="18"/>
        <v/>
      </c>
      <c r="H531" s="342" t="str">
        <f t="shared" si="19"/>
        <v/>
      </c>
      <c r="I531" s="268"/>
      <c r="J531" s="2"/>
      <c r="K531" s="338"/>
      <c r="L531" s="33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40">
        <f>'[1]Prior Year'!AM71</f>
        <v>0</v>
      </c>
      <c r="C532" s="340">
        <f>AM71</f>
        <v>0</v>
      </c>
      <c r="D532" s="340">
        <f>'[1]Prior Year'!AM59</f>
        <v>0</v>
      </c>
      <c r="E532" s="2">
        <f>AM59</f>
        <v>0</v>
      </c>
      <c r="F532" s="341" t="str">
        <f t="shared" si="15"/>
        <v/>
      </c>
      <c r="G532" s="341" t="str">
        <f t="shared" si="18"/>
        <v/>
      </c>
      <c r="H532" s="342" t="str">
        <f t="shared" si="19"/>
        <v/>
      </c>
      <c r="I532" s="268"/>
      <c r="J532" s="2"/>
      <c r="K532" s="338"/>
      <c r="L532" s="33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40">
        <f>'[1]Prior Year'!AN71</f>
        <v>0</v>
      </c>
      <c r="C533" s="340">
        <f>AN71</f>
        <v>0</v>
      </c>
      <c r="D533" s="340">
        <f>'[1]Prior Year'!AN59</f>
        <v>0</v>
      </c>
      <c r="E533" s="2">
        <f>AN59</f>
        <v>0</v>
      </c>
      <c r="F533" s="341" t="str">
        <f t="shared" si="15"/>
        <v/>
      </c>
      <c r="G533" s="341" t="str">
        <f t="shared" si="18"/>
        <v/>
      </c>
      <c r="H533" s="342" t="str">
        <f t="shared" si="19"/>
        <v/>
      </c>
      <c r="I533" s="268"/>
      <c r="J533" s="2"/>
      <c r="K533" s="338"/>
      <c r="L533" s="33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40">
        <f>'[1]Prior Year'!AO71</f>
        <v>0</v>
      </c>
      <c r="C534" s="340">
        <f>AO71</f>
        <v>0</v>
      </c>
      <c r="D534" s="340">
        <f>'[1]Prior Year'!AO59</f>
        <v>0</v>
      </c>
      <c r="E534" s="2">
        <f>AO59</f>
        <v>0</v>
      </c>
      <c r="F534" s="341" t="str">
        <f t="shared" si="15"/>
        <v/>
      </c>
      <c r="G534" s="341" t="str">
        <f t="shared" si="18"/>
        <v/>
      </c>
      <c r="H534" s="342" t="str">
        <f t="shared" si="19"/>
        <v/>
      </c>
      <c r="I534" s="268"/>
      <c r="J534" s="2"/>
      <c r="K534" s="338"/>
      <c r="L534" s="33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40">
        <f>'[1]Prior Year'!AP71</f>
        <v>0</v>
      </c>
      <c r="C535" s="340">
        <f>AP71</f>
        <v>0</v>
      </c>
      <c r="D535" s="340">
        <f>'[1]Prior Year'!AP59</f>
        <v>0</v>
      </c>
      <c r="E535" s="2">
        <f>AP59</f>
        <v>0</v>
      </c>
      <c r="F535" s="341" t="str">
        <f t="shared" si="15"/>
        <v/>
      </c>
      <c r="G535" s="341" t="str">
        <f t="shared" si="18"/>
        <v/>
      </c>
      <c r="H535" s="342" t="str">
        <f t="shared" si="19"/>
        <v/>
      </c>
      <c r="I535" s="268"/>
      <c r="J535" s="2"/>
      <c r="K535" s="338"/>
      <c r="L535" s="33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40">
        <f>'[1]Prior Year'!AQ71</f>
        <v>0</v>
      </c>
      <c r="C536" s="340">
        <f>AQ71</f>
        <v>0</v>
      </c>
      <c r="D536" s="340">
        <f>'[1]Prior Year'!AQ59</f>
        <v>0</v>
      </c>
      <c r="E536" s="2">
        <f>AQ59</f>
        <v>0</v>
      </c>
      <c r="F536" s="341" t="str">
        <f t="shared" si="15"/>
        <v/>
      </c>
      <c r="G536" s="341" t="str">
        <f t="shared" si="18"/>
        <v/>
      </c>
      <c r="H536" s="342" t="str">
        <f t="shared" si="19"/>
        <v/>
      </c>
      <c r="I536" s="268"/>
      <c r="J536" s="2"/>
      <c r="K536" s="338"/>
      <c r="L536" s="33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40">
        <f>'[1]Prior Year'!AR71</f>
        <v>0</v>
      </c>
      <c r="C537" s="340">
        <f>AR71</f>
        <v>0</v>
      </c>
      <c r="D537" s="340">
        <f>'[1]Prior Year'!AR59</f>
        <v>0</v>
      </c>
      <c r="E537" s="2">
        <f>AR59</f>
        <v>0</v>
      </c>
      <c r="F537" s="341" t="str">
        <f t="shared" si="15"/>
        <v/>
      </c>
      <c r="G537" s="341" t="str">
        <f t="shared" si="18"/>
        <v/>
      </c>
      <c r="H537" s="342" t="str">
        <f t="shared" si="19"/>
        <v/>
      </c>
      <c r="I537" s="268"/>
      <c r="J537" s="2"/>
      <c r="K537" s="338"/>
      <c r="L537" s="33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40">
        <f>'[1]Prior Year'!AS71</f>
        <v>0</v>
      </c>
      <c r="C538" s="340">
        <f>AS71</f>
        <v>0</v>
      </c>
      <c r="D538" s="340">
        <f>'[1]Prior Year'!AS59</f>
        <v>0</v>
      </c>
      <c r="E538" s="2">
        <f>AS59</f>
        <v>0</v>
      </c>
      <c r="F538" s="341" t="str">
        <f t="shared" si="15"/>
        <v/>
      </c>
      <c r="G538" s="341" t="str">
        <f t="shared" si="18"/>
        <v/>
      </c>
      <c r="H538" s="342" t="str">
        <f t="shared" si="19"/>
        <v/>
      </c>
      <c r="I538" s="268"/>
      <c r="J538" s="2"/>
      <c r="K538" s="338"/>
      <c r="L538" s="33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40">
        <f>'[1]Prior Year'!AT71</f>
        <v>0</v>
      </c>
      <c r="C539" s="340">
        <f>AT71</f>
        <v>0</v>
      </c>
      <c r="D539" s="340">
        <f>'[1]Prior Year'!AT59</f>
        <v>0</v>
      </c>
      <c r="E539" s="2">
        <f>AT59</f>
        <v>0</v>
      </c>
      <c r="F539" s="341" t="str">
        <f t="shared" si="15"/>
        <v/>
      </c>
      <c r="G539" s="341" t="str">
        <f t="shared" si="18"/>
        <v/>
      </c>
      <c r="H539" s="342" t="str">
        <f t="shared" si="19"/>
        <v/>
      </c>
      <c r="I539" s="268"/>
      <c r="J539" s="2"/>
      <c r="K539" s="338"/>
      <c r="L539" s="33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40">
        <f>'[1]Prior Year'!AU71</f>
        <v>0</v>
      </c>
      <c r="C540" s="340">
        <f>AU71</f>
        <v>0</v>
      </c>
      <c r="D540" s="340">
        <f>'[1]Prior Year'!AU59</f>
        <v>0</v>
      </c>
      <c r="E540" s="2">
        <f>AU59</f>
        <v>0</v>
      </c>
      <c r="F540" s="341" t="str">
        <f t="shared" si="15"/>
        <v/>
      </c>
      <c r="G540" s="341"/>
      <c r="H540" s="342" t="str">
        <f t="shared" si="19"/>
        <v/>
      </c>
      <c r="I540" s="268"/>
      <c r="J540" s="2"/>
      <c r="K540" s="338"/>
      <c r="L540" s="33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40">
        <f>'[1]Prior Year'!AV71</f>
        <v>4764.26</v>
      </c>
      <c r="C541" s="340">
        <f>AV71</f>
        <v>0</v>
      </c>
      <c r="D541" s="333" t="s">
        <v>529</v>
      </c>
      <c r="E541" s="333" t="s">
        <v>529</v>
      </c>
      <c r="F541" s="341"/>
      <c r="G541" s="341"/>
      <c r="H541" s="342"/>
      <c r="I541" s="268"/>
      <c r="J541" s="2"/>
      <c r="K541" s="338"/>
      <c r="L541" s="33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40">
        <f>'[1]Prior Year'!AW71</f>
        <v>0</v>
      </c>
      <c r="C542" s="340">
        <f>AW71</f>
        <v>0</v>
      </c>
      <c r="D542" s="333" t="s">
        <v>529</v>
      </c>
      <c r="E542" s="333" t="s">
        <v>529</v>
      </c>
      <c r="F542" s="341"/>
      <c r="G542" s="341"/>
      <c r="H542" s="342"/>
      <c r="I542" s="268"/>
      <c r="J542" s="2"/>
      <c r="K542" s="338"/>
      <c r="L542" s="33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40">
        <f>'[1]Prior Year'!AX71</f>
        <v>-3658.48</v>
      </c>
      <c r="C543" s="340">
        <f>AX71</f>
        <v>0</v>
      </c>
      <c r="D543" s="333" t="s">
        <v>529</v>
      </c>
      <c r="E543" s="333" t="s">
        <v>529</v>
      </c>
      <c r="F543" s="341"/>
      <c r="G543" s="2"/>
      <c r="H543" s="342"/>
      <c r="I543" s="268"/>
      <c r="J543" s="2"/>
      <c r="K543" s="338"/>
      <c r="L543" s="33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40">
        <f>'[1]Prior Year'!AY71</f>
        <v>77021.62</v>
      </c>
      <c r="C544" s="340">
        <f>AY71</f>
        <v>235664.37</v>
      </c>
      <c r="D544" s="340">
        <f>'[1]Prior Year'!AY59</f>
        <v>24026</v>
      </c>
      <c r="E544" s="2">
        <f>AY59</f>
        <v>29347</v>
      </c>
      <c r="F544" s="341">
        <f t="shared" ref="F544:F550" si="20">IF(B544=0,"",IF(D544=0,"",B544/D544))</f>
        <v>3.205761258636477</v>
      </c>
      <c r="G544" s="341">
        <f>IF(C544=0,"",IF(E544=0,"",C544/E544))</f>
        <v>8.030271237264456</v>
      </c>
      <c r="H544" s="342">
        <f>IF(B544=0,"",IF(C544=0,"",IF(D544=0,"",IF(E544=0,"",IF(G544/F544-1&lt;-0.25,G544/F544-1,IF(G544/F544-1&gt;0.25,G544/F544-1,""))))))</f>
        <v>1.5049498666285626</v>
      </c>
      <c r="I544" s="268"/>
      <c r="J544" s="2"/>
      <c r="K544" s="338"/>
      <c r="L544" s="33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40">
        <f>'[1]Prior Year'!AZ71</f>
        <v>357617.17</v>
      </c>
      <c r="C545" s="340">
        <f>AZ71</f>
        <v>532826.69000000006</v>
      </c>
      <c r="D545" s="340">
        <f>'[1]Prior Year'!AZ59</f>
        <v>24026</v>
      </c>
      <c r="E545" s="2">
        <f>AZ59</f>
        <v>0</v>
      </c>
      <c r="F545" s="341">
        <f t="shared" si="20"/>
        <v>14.884590443686006</v>
      </c>
      <c r="G545" s="341" t="str">
        <f>IF(C545=0,"",IF(E545=0,"",C545/E545))</f>
        <v/>
      </c>
      <c r="H545" s="342" t="str">
        <f>IF(B545=0,"",IF(C545=0,"",IF(D545=0,"",IF(E545=0,"",IF(G545/F545-1&lt;-0.25,G545/F545-1,IF(G545/F545-1&gt;0.25,G545/F545-1,""))))))</f>
        <v/>
      </c>
      <c r="I545" s="268"/>
      <c r="J545" s="2"/>
      <c r="K545" s="338"/>
      <c r="L545" s="33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40">
        <f>'[1]Prior Year'!BA71</f>
        <v>56216.67</v>
      </c>
      <c r="C546" s="340">
        <f>BA71</f>
        <v>46.34</v>
      </c>
      <c r="D546" s="340">
        <f>'[1]Prior Year'!BA59</f>
        <v>0</v>
      </c>
      <c r="E546" s="2">
        <f>BA59</f>
        <v>0</v>
      </c>
      <c r="F546" s="341" t="str">
        <f t="shared" si="20"/>
        <v/>
      </c>
      <c r="G546" s="341" t="str">
        <f>IF(C546=0,"",IF(E546=0,"",C546/E546))</f>
        <v/>
      </c>
      <c r="H546" s="342" t="str">
        <f>IF(B546=0,"",IF(C546=0,"",IF(D546=0,"",IF(E546=0,"",IF(G546/F546-1&lt;-0.25,G546/F546-1,IF(G546/F546-1&gt;0.25,G546/F546-1,""))))))</f>
        <v/>
      </c>
      <c r="I546" s="268"/>
      <c r="J546" s="2"/>
      <c r="K546" s="338"/>
      <c r="L546" s="33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40">
        <f>'[1]Prior Year'!BB71</f>
        <v>0</v>
      </c>
      <c r="C547" s="340">
        <f>BB71</f>
        <v>0</v>
      </c>
      <c r="D547" s="333" t="s">
        <v>529</v>
      </c>
      <c r="E547" s="333" t="s">
        <v>529</v>
      </c>
      <c r="F547" s="341"/>
      <c r="G547" s="341"/>
      <c r="H547" s="342"/>
      <c r="I547" s="268"/>
      <c r="J547" s="2"/>
      <c r="K547" s="338"/>
      <c r="L547" s="33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40">
        <f>'[1]Prior Year'!BC71</f>
        <v>0</v>
      </c>
      <c r="C548" s="340">
        <f>BC71</f>
        <v>0</v>
      </c>
      <c r="D548" s="333" t="s">
        <v>529</v>
      </c>
      <c r="E548" s="333" t="s">
        <v>529</v>
      </c>
      <c r="F548" s="341"/>
      <c r="G548" s="341"/>
      <c r="H548" s="342"/>
      <c r="I548" s="268"/>
      <c r="J548" s="2"/>
      <c r="K548" s="338"/>
      <c r="L548" s="33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40">
        <f>'[1]Prior Year'!BD71</f>
        <v>435159.81000000006</v>
      </c>
      <c r="C549" s="340">
        <f>BD71</f>
        <v>200925.59</v>
      </c>
      <c r="D549" s="333" t="s">
        <v>529</v>
      </c>
      <c r="E549" s="333" t="s">
        <v>529</v>
      </c>
      <c r="F549" s="341"/>
      <c r="G549" s="341"/>
      <c r="H549" s="342"/>
      <c r="I549" s="268"/>
      <c r="J549" s="2"/>
      <c r="K549" s="338"/>
      <c r="L549" s="33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40">
        <f>'[1]Prior Year'!BE71</f>
        <v>855822.32</v>
      </c>
      <c r="C550" s="340">
        <f>BE71</f>
        <v>867626.87</v>
      </c>
      <c r="D550" s="340">
        <f>'[1]Prior Year'!BE59</f>
        <v>70293</v>
      </c>
      <c r="E550" s="2">
        <f>BE59</f>
        <v>70293</v>
      </c>
      <c r="F550" s="341">
        <f t="shared" si="20"/>
        <v>12.175071771015606</v>
      </c>
      <c r="G550" s="341">
        <f>IF(C550=0,"",IF(E550=0,"",C550/E550))</f>
        <v>12.343005277908185</v>
      </c>
      <c r="H550" s="342" t="str">
        <f>IF(B550=0,"",IF(C550=0,"",IF(D550=0,"",IF(E550=0,"",IF(G550/F550-1&lt;-0.25,G550/F550-1,IF(G550/F550-1&gt;0.25,G550/F550-1,""))))))</f>
        <v/>
      </c>
      <c r="I550" s="268"/>
      <c r="J550" s="2"/>
      <c r="K550" s="338"/>
      <c r="L550" s="33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40">
        <f>'[1]Prior Year'!BF71</f>
        <v>423457.04</v>
      </c>
      <c r="C551" s="340">
        <f>BF71</f>
        <v>455153.54</v>
      </c>
      <c r="D551" s="333" t="s">
        <v>529</v>
      </c>
      <c r="E551" s="333" t="s">
        <v>529</v>
      </c>
      <c r="F551" s="341"/>
      <c r="G551" s="341"/>
      <c r="H551" s="342"/>
      <c r="I551" s="268"/>
      <c r="J551" s="336"/>
      <c r="K551" s="2"/>
      <c r="L551" s="2"/>
      <c r="M551" s="34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40">
        <f>'[1]Prior Year'!BG71</f>
        <v>-13126.16</v>
      </c>
      <c r="C552" s="340">
        <f>BG71</f>
        <v>8928.93</v>
      </c>
      <c r="D552" s="333" t="s">
        <v>529</v>
      </c>
      <c r="E552" s="333" t="s">
        <v>529</v>
      </c>
      <c r="F552" s="341"/>
      <c r="G552" s="341"/>
      <c r="H552" s="342"/>
      <c r="I552" s="2"/>
      <c r="J552" s="336"/>
      <c r="K552" s="2"/>
      <c r="L552" s="2"/>
      <c r="M552" s="34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40">
        <f>'[1]Prior Year'!BH71</f>
        <v>7699.67</v>
      </c>
      <c r="C553" s="340">
        <f>BH71</f>
        <v>37264.949999999997</v>
      </c>
      <c r="D553" s="333" t="s">
        <v>529</v>
      </c>
      <c r="E553" s="333" t="s">
        <v>529</v>
      </c>
      <c r="F553" s="341"/>
      <c r="G553" s="341"/>
      <c r="H553" s="342"/>
      <c r="I553" s="2"/>
      <c r="J553" s="336"/>
      <c r="K553" s="2"/>
      <c r="L553" s="2"/>
      <c r="M553" s="34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40">
        <f>'[1]Prior Year'!BI71</f>
        <v>0</v>
      </c>
      <c r="C554" s="340">
        <f>BI71</f>
        <v>0</v>
      </c>
      <c r="D554" s="333" t="s">
        <v>529</v>
      </c>
      <c r="E554" s="333" t="s">
        <v>529</v>
      </c>
      <c r="F554" s="341"/>
      <c r="G554" s="341"/>
      <c r="H554" s="342"/>
      <c r="I554" s="2"/>
      <c r="J554" s="336"/>
      <c r="K554" s="2"/>
      <c r="L554" s="2"/>
      <c r="M554" s="34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40">
        <f>'[1]Prior Year'!BJ71</f>
        <v>0</v>
      </c>
      <c r="C555" s="340">
        <f>BJ71</f>
        <v>0</v>
      </c>
      <c r="D555" s="333" t="s">
        <v>529</v>
      </c>
      <c r="E555" s="333" t="s">
        <v>529</v>
      </c>
      <c r="F555" s="341"/>
      <c r="G555" s="341"/>
      <c r="H555" s="342"/>
      <c r="I555" s="2"/>
      <c r="J555" s="336"/>
      <c r="K555" s="2"/>
      <c r="L555" s="2"/>
      <c r="M555" s="34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40">
        <f>'[1]Prior Year'!BK71</f>
        <v>-43246.84</v>
      </c>
      <c r="C556" s="340">
        <f>BK71</f>
        <v>40732.07</v>
      </c>
      <c r="D556" s="333" t="s">
        <v>529</v>
      </c>
      <c r="E556" s="333" t="s">
        <v>529</v>
      </c>
      <c r="F556" s="341"/>
      <c r="G556" s="341"/>
      <c r="H556" s="342"/>
      <c r="I556" s="2"/>
      <c r="J556" s="336"/>
      <c r="K556" s="2"/>
      <c r="L556" s="2"/>
      <c r="M556" s="34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40">
        <f>'[1]Prior Year'!BL71</f>
        <v>585821.24000000011</v>
      </c>
      <c r="C557" s="340">
        <f>BL71</f>
        <v>555500.36</v>
      </c>
      <c r="D557" s="333" t="s">
        <v>529</v>
      </c>
      <c r="E557" s="333" t="s">
        <v>529</v>
      </c>
      <c r="F557" s="341"/>
      <c r="G557" s="341"/>
      <c r="H557" s="342"/>
      <c r="I557" s="2"/>
      <c r="J557" s="336"/>
      <c r="K557" s="2"/>
      <c r="L557" s="2"/>
      <c r="M557" s="34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40">
        <f>'[1]Prior Year'!BM71</f>
        <v>4199.67</v>
      </c>
      <c r="C558" s="340">
        <f>BM71</f>
        <v>110449.16</v>
      </c>
      <c r="D558" s="333" t="s">
        <v>529</v>
      </c>
      <c r="E558" s="333" t="s">
        <v>529</v>
      </c>
      <c r="F558" s="341"/>
      <c r="G558" s="341"/>
      <c r="H558" s="342"/>
      <c r="I558" s="2"/>
      <c r="J558" s="336"/>
      <c r="K558" s="2"/>
      <c r="L558" s="2"/>
      <c r="M558" s="34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40">
        <f>'[1]Prior Year'!BN71</f>
        <v>2294038.67</v>
      </c>
      <c r="C559" s="340">
        <f>BN71</f>
        <v>2831696.12</v>
      </c>
      <c r="D559" s="333" t="s">
        <v>529</v>
      </c>
      <c r="E559" s="333" t="s">
        <v>529</v>
      </c>
      <c r="F559" s="341"/>
      <c r="G559" s="341"/>
      <c r="H559" s="342"/>
      <c r="I559" s="2"/>
      <c r="J559" s="336"/>
      <c r="K559" s="2"/>
      <c r="L559" s="2"/>
      <c r="M559" s="34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40">
        <f>'[1]Prior Year'!BO71</f>
        <v>2916.71</v>
      </c>
      <c r="C560" s="340">
        <f>BO71</f>
        <v>0</v>
      </c>
      <c r="D560" s="333" t="s">
        <v>529</v>
      </c>
      <c r="E560" s="333" t="s">
        <v>529</v>
      </c>
      <c r="F560" s="341"/>
      <c r="G560" s="341"/>
      <c r="H560" s="342"/>
      <c r="I560" s="2"/>
      <c r="J560" s="336"/>
      <c r="K560" s="2"/>
      <c r="L560" s="2"/>
      <c r="M560" s="34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40">
        <f>'[1]Prior Year'!BP71</f>
        <v>2969.2000000000003</v>
      </c>
      <c r="C561" s="340">
        <f>BP71</f>
        <v>0</v>
      </c>
      <c r="D561" s="333" t="s">
        <v>529</v>
      </c>
      <c r="E561" s="333" t="s">
        <v>529</v>
      </c>
      <c r="F561" s="341"/>
      <c r="G561" s="341"/>
      <c r="H561" s="342"/>
      <c r="I561" s="2"/>
      <c r="J561" s="336"/>
      <c r="K561" s="2"/>
      <c r="L561" s="2"/>
      <c r="M561" s="34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40">
        <f>'[1]Prior Year'!BQ71</f>
        <v>0</v>
      </c>
      <c r="C562" s="340">
        <f>BQ71</f>
        <v>0</v>
      </c>
      <c r="D562" s="333" t="s">
        <v>529</v>
      </c>
      <c r="E562" s="333" t="s">
        <v>529</v>
      </c>
      <c r="F562" s="341"/>
      <c r="G562" s="341"/>
      <c r="H562" s="342"/>
      <c r="I562" s="2"/>
      <c r="J562" s="336"/>
      <c r="K562" s="2"/>
      <c r="L562" s="2"/>
      <c r="M562" s="34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40">
        <f>'[1]Prior Year'!BR71</f>
        <v>22396.44</v>
      </c>
      <c r="C563" s="340">
        <f>BR71</f>
        <v>35444.979999999996</v>
      </c>
      <c r="D563" s="333" t="s">
        <v>529</v>
      </c>
      <c r="E563" s="333" t="s">
        <v>529</v>
      </c>
      <c r="F563" s="341"/>
      <c r="G563" s="341"/>
      <c r="H563" s="342"/>
      <c r="I563" s="2"/>
      <c r="J563" s="336"/>
      <c r="K563" s="2"/>
      <c r="L563" s="2"/>
      <c r="M563" s="34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40">
        <f>'[1]Prior Year'!BS71</f>
        <v>6483.4</v>
      </c>
      <c r="C564" s="340">
        <f>BS71</f>
        <v>3051</v>
      </c>
      <c r="D564" s="333" t="s">
        <v>529</v>
      </c>
      <c r="E564" s="333" t="s">
        <v>529</v>
      </c>
      <c r="F564" s="341"/>
      <c r="G564" s="341"/>
      <c r="H564" s="342"/>
      <c r="I564" s="2"/>
      <c r="J564" s="336"/>
      <c r="K564" s="2"/>
      <c r="L564" s="2"/>
      <c r="M564" s="34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40">
        <f>'[1]Prior Year'!BT71</f>
        <v>7987</v>
      </c>
      <c r="C565" s="340">
        <f>BT71</f>
        <v>3864</v>
      </c>
      <c r="D565" s="333" t="s">
        <v>529</v>
      </c>
      <c r="E565" s="333" t="s">
        <v>529</v>
      </c>
      <c r="F565" s="341"/>
      <c r="G565" s="341"/>
      <c r="H565" s="342"/>
      <c r="I565" s="2"/>
      <c r="J565" s="336"/>
      <c r="K565" s="2"/>
      <c r="L565" s="2"/>
      <c r="M565" s="34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40">
        <f>'[1]Prior Year'!BU71</f>
        <v>0</v>
      </c>
      <c r="C566" s="340">
        <f>BU71</f>
        <v>0</v>
      </c>
      <c r="D566" s="333" t="s">
        <v>529</v>
      </c>
      <c r="E566" s="333" t="s">
        <v>529</v>
      </c>
      <c r="F566" s="341"/>
      <c r="G566" s="341"/>
      <c r="H566" s="342"/>
      <c r="I566" s="2"/>
      <c r="J566" s="336"/>
      <c r="K566" s="2"/>
      <c r="L566" s="2"/>
      <c r="M566" s="34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40">
        <f>'[1]Prior Year'!BV71</f>
        <v>297190.99</v>
      </c>
      <c r="C567" s="340">
        <f>BV71</f>
        <v>444748.05</v>
      </c>
      <c r="D567" s="333" t="s">
        <v>529</v>
      </c>
      <c r="E567" s="333" t="s">
        <v>529</v>
      </c>
      <c r="F567" s="341"/>
      <c r="G567" s="341"/>
      <c r="H567" s="342"/>
      <c r="I567" s="2"/>
      <c r="J567" s="336"/>
      <c r="K567" s="2"/>
      <c r="L567" s="2"/>
      <c r="M567" s="34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40">
        <f>'[1]Prior Year'!BW71</f>
        <v>0</v>
      </c>
      <c r="C568" s="340">
        <f>BW71</f>
        <v>0</v>
      </c>
      <c r="D568" s="333" t="s">
        <v>529</v>
      </c>
      <c r="E568" s="333" t="s">
        <v>529</v>
      </c>
      <c r="F568" s="341"/>
      <c r="G568" s="341"/>
      <c r="H568" s="342"/>
      <c r="I568" s="2"/>
      <c r="J568" s="336"/>
      <c r="K568" s="2"/>
      <c r="L568" s="2"/>
      <c r="M568" s="34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40">
        <f>'[1]Prior Year'!BX71</f>
        <v>232739.58</v>
      </c>
      <c r="C569" s="340">
        <f>BX71</f>
        <v>321476.34000000003</v>
      </c>
      <c r="D569" s="333" t="s">
        <v>529</v>
      </c>
      <c r="E569" s="333" t="s">
        <v>529</v>
      </c>
      <c r="F569" s="341"/>
      <c r="G569" s="341"/>
      <c r="H569" s="342"/>
      <c r="I569" s="2"/>
      <c r="J569" s="336"/>
      <c r="K569" s="2"/>
      <c r="L569" s="2"/>
      <c r="M569" s="34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40">
        <f>'[1]Prior Year'!BY71</f>
        <v>455819.91</v>
      </c>
      <c r="C570" s="340">
        <f>BY71</f>
        <v>403716.87</v>
      </c>
      <c r="D570" s="333" t="s">
        <v>529</v>
      </c>
      <c r="E570" s="333" t="s">
        <v>529</v>
      </c>
      <c r="F570" s="341"/>
      <c r="G570" s="341"/>
      <c r="H570" s="342"/>
      <c r="I570" s="2"/>
      <c r="J570" s="336"/>
      <c r="K570" s="2"/>
      <c r="L570" s="2"/>
      <c r="M570" s="34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40">
        <f>'[1]Prior Year'!BZ71</f>
        <v>0</v>
      </c>
      <c r="C571" s="340">
        <f>BZ71</f>
        <v>0</v>
      </c>
      <c r="D571" s="333" t="s">
        <v>529</v>
      </c>
      <c r="E571" s="333" t="s">
        <v>529</v>
      </c>
      <c r="F571" s="341"/>
      <c r="G571" s="341"/>
      <c r="H571" s="342"/>
      <c r="I571" s="2"/>
      <c r="J571" s="336"/>
      <c r="K571" s="2"/>
      <c r="L571" s="2"/>
      <c r="M571" s="34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40">
        <f>'[1]Prior Year'!CA71</f>
        <v>39915.619999999995</v>
      </c>
      <c r="C572" s="340">
        <f>CA71</f>
        <v>54358.559999999998</v>
      </c>
      <c r="D572" s="333" t="s">
        <v>529</v>
      </c>
      <c r="E572" s="333" t="s">
        <v>529</v>
      </c>
      <c r="F572" s="341"/>
      <c r="G572" s="341"/>
      <c r="H572" s="342"/>
      <c r="I572" s="2"/>
      <c r="J572" s="336"/>
      <c r="K572" s="2"/>
      <c r="L572" s="2"/>
      <c r="M572" s="34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40">
        <f>'[1]Prior Year'!CB71</f>
        <v>0</v>
      </c>
      <c r="C573" s="340">
        <f>CB71</f>
        <v>0</v>
      </c>
      <c r="D573" s="333" t="s">
        <v>529</v>
      </c>
      <c r="E573" s="333" t="s">
        <v>529</v>
      </c>
      <c r="F573" s="341"/>
      <c r="G573" s="341"/>
      <c r="H573" s="342"/>
      <c r="I573" s="2"/>
      <c r="J573" s="336"/>
      <c r="K573" s="2"/>
      <c r="L573" s="2"/>
      <c r="M573" s="34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40">
        <f>'[1]Prior Year'!CC71</f>
        <v>1606253.9000000001</v>
      </c>
      <c r="C574" s="340">
        <f>CC71</f>
        <v>456739.04000000004</v>
      </c>
      <c r="D574" s="333" t="s">
        <v>529</v>
      </c>
      <c r="E574" s="333" t="s">
        <v>529</v>
      </c>
      <c r="F574" s="341"/>
      <c r="G574" s="341"/>
      <c r="H574" s="342"/>
      <c r="I574" s="2"/>
      <c r="J574" s="336"/>
      <c r="K574" s="2"/>
      <c r="L574" s="2"/>
      <c r="M574" s="34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40">
        <f>'[1]Prior Year'!CD71</f>
        <v>0</v>
      </c>
      <c r="C575" s="340">
        <f>CD71</f>
        <v>0</v>
      </c>
      <c r="D575" s="333" t="s">
        <v>529</v>
      </c>
      <c r="E575" s="333" t="s">
        <v>529</v>
      </c>
      <c r="F575" s="341"/>
      <c r="G575" s="2"/>
      <c r="H575" s="34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3"/>
      <c r="B612" s="2"/>
      <c r="C612" s="333" t="s">
        <v>589</v>
      </c>
      <c r="D612" s="2">
        <f>CE76-(BE76+CD76)</f>
        <v>67186</v>
      </c>
      <c r="E612" s="2">
        <f>SUM(C624:D647)+SUM(C668:D713)</f>
        <v>31733451.367231116</v>
      </c>
      <c r="F612" s="2">
        <f>CE64-(AX64+BD64+BE64+BG64+BJ64+BN64+BP64+BQ64+CB64+CC64+CD64)</f>
        <v>2708594.8199999994</v>
      </c>
      <c r="G612" s="2">
        <f>CE77-(AX77+AY77+BD77+BE77+BG77+BJ77+BN77+BP77+BQ77+CB77+CC77+CD77)</f>
        <v>29347</v>
      </c>
      <c r="H612" s="332">
        <f>CE60-(AX60+AY60+AZ60+BD60+BE60+BG60+BJ60+BN60+BO60+BP60+BQ60+BR60+CB60+CC60+CD60)</f>
        <v>219.5199999999999</v>
      </c>
      <c r="I612" s="2">
        <f>CE78-(AX78+AY78+AZ78+BD78+BE78+BF78+BG78+BJ78+BN78+BO78+BP78+BQ78+BR78+CB78+CC78+CD78)</f>
        <v>0</v>
      </c>
      <c r="J612" s="2">
        <f>CE79-(AX79+AY79+AZ79+BA79+BD79+BE79+BF79+BG79+BJ79+BN79+BO79+BP79+BQ79+BR79+CB79+CC79+CD79)</f>
        <v>230690</v>
      </c>
      <c r="K612" s="2">
        <f>CE75-(AW75+AX75+AY75+AZ75+BA75+BB75+BC75+BD75+BE75+BF75+BG75+BH75+BI75+BJ75+BK75+BL75+BM75+BN75+BO75+BP75+BQ75+BR75+BS75+BT75+BU75+BV75+BW75+BX75+CB75+CC75+CD75)</f>
        <v>142163295.29999998</v>
      </c>
      <c r="L612" s="332">
        <f>CE80-(AW80+AX80+AY80+AZ80+BA80+BB80+BC80+BD80+BE80+BF80+BG80+BH80+BI80+BJ80+BK80+BL80+BM80+BN80+BO80+BP80+BQ80+BR80+BS80+BT80+BU80+BV80+BW80+BX80+BY80+BZ80+CA80+CB80+CC80+CD80)</f>
        <v>69.739999999999995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3"/>
      <c r="B613" s="2"/>
      <c r="C613" s="333" t="s">
        <v>590</v>
      </c>
      <c r="D613" s="333" t="s">
        <v>591</v>
      </c>
      <c r="E613" s="337" t="s">
        <v>592</v>
      </c>
      <c r="F613" s="333" t="s">
        <v>593</v>
      </c>
      <c r="G613" s="333" t="s">
        <v>594</v>
      </c>
      <c r="H613" s="333" t="s">
        <v>595</v>
      </c>
      <c r="I613" s="333" t="s">
        <v>596</v>
      </c>
      <c r="J613" s="333" t="s">
        <v>597</v>
      </c>
      <c r="K613" s="333" t="s">
        <v>598</v>
      </c>
      <c r="L613" s="337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3">
        <v>8430</v>
      </c>
      <c r="B614" s="337" t="s">
        <v>140</v>
      </c>
      <c r="C614" s="2">
        <f>BE71</f>
        <v>867626.87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36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3"/>
      <c r="B615" s="337" t="s">
        <v>601</v>
      </c>
      <c r="C615" s="344">
        <f>CD69-CD70</f>
        <v>0</v>
      </c>
      <c r="D615" s="345">
        <f>SUM(C614:C615)</f>
        <v>867626.87</v>
      </c>
      <c r="E615" s="2"/>
      <c r="F615" s="2"/>
      <c r="G615" s="2"/>
      <c r="H615" s="2"/>
      <c r="I615" s="2"/>
      <c r="J615" s="2"/>
      <c r="K615" s="2"/>
      <c r="L615" s="2"/>
      <c r="M615" s="2"/>
      <c r="N615" s="336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3">
        <v>8310</v>
      </c>
      <c r="B616" s="346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36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3">
        <v>8510</v>
      </c>
      <c r="B617" s="346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36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3">
        <v>8470</v>
      </c>
      <c r="B618" s="346" t="s">
        <v>606</v>
      </c>
      <c r="C618" s="2">
        <f>BG71</f>
        <v>8928.93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36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3">
        <v>8610</v>
      </c>
      <c r="B619" s="346" t="s">
        <v>608</v>
      </c>
      <c r="C619" s="2">
        <f>BN71</f>
        <v>2831696.12</v>
      </c>
      <c r="D619" s="2">
        <f>(D615/D612)*BN76</f>
        <v>28319.973296668948</v>
      </c>
      <c r="E619" s="2"/>
      <c r="F619" s="2"/>
      <c r="G619" s="2"/>
      <c r="H619" s="2"/>
      <c r="I619" s="2"/>
      <c r="J619" s="2"/>
      <c r="K619" s="2"/>
      <c r="L619" s="2"/>
      <c r="M619" s="2"/>
      <c r="N619" s="336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3">
        <v>8790</v>
      </c>
      <c r="B620" s="346" t="s">
        <v>610</v>
      </c>
      <c r="C620" s="2">
        <f>CC71</f>
        <v>456739.04000000004</v>
      </c>
      <c r="D620" s="2">
        <f>(D615/D612)*CC76</f>
        <v>111807.71947221147</v>
      </c>
      <c r="E620" s="2"/>
      <c r="F620" s="2"/>
      <c r="G620" s="2"/>
      <c r="H620" s="2"/>
      <c r="I620" s="2"/>
      <c r="J620" s="2"/>
      <c r="K620" s="2"/>
      <c r="L620" s="2"/>
      <c r="M620" s="2"/>
      <c r="N620" s="336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3">
        <v>8630</v>
      </c>
      <c r="B621" s="346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36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3">
        <v>8770</v>
      </c>
      <c r="B622" s="337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36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3">
        <v>8640</v>
      </c>
      <c r="B623" s="346" t="s">
        <v>616</v>
      </c>
      <c r="C623" s="2">
        <f>BQ71</f>
        <v>0</v>
      </c>
      <c r="D623" s="2">
        <f>(D615/D612)*BQ76</f>
        <v>0</v>
      </c>
      <c r="E623" s="2">
        <f>SUM(C616:D623)</f>
        <v>3437491.7827688805</v>
      </c>
      <c r="F623" s="2"/>
      <c r="G623" s="2"/>
      <c r="H623" s="2"/>
      <c r="I623" s="2"/>
      <c r="J623" s="2"/>
      <c r="K623" s="2"/>
      <c r="L623" s="2"/>
      <c r="M623" s="2"/>
      <c r="N623" s="336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3">
        <v>8420</v>
      </c>
      <c r="B624" s="346" t="s">
        <v>139</v>
      </c>
      <c r="C624" s="2">
        <f>BD71</f>
        <v>200925.59</v>
      </c>
      <c r="D624" s="2">
        <f>(D615/D612)*BD76</f>
        <v>27480.576003334027</v>
      </c>
      <c r="E624" s="2">
        <f>(E623/E612)*SUM(C624:D624)</f>
        <v>24741.85078969911</v>
      </c>
      <c r="F624" s="2">
        <f>SUM(C624:E624)</f>
        <v>253148.01679303314</v>
      </c>
      <c r="G624" s="2">
        <f>SUM(C625:F625)</f>
        <v>304040.95453491597</v>
      </c>
      <c r="H624" s="2"/>
      <c r="I624" s="2"/>
      <c r="J624" s="2"/>
      <c r="K624" s="2"/>
      <c r="L624" s="2"/>
      <c r="M624" s="2"/>
      <c r="N624" s="336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3">
        <v>8320</v>
      </c>
      <c r="B625" s="346" t="s">
        <v>135</v>
      </c>
      <c r="C625" s="2">
        <f>AY71</f>
        <v>235664.37</v>
      </c>
      <c r="D625" s="2">
        <f>(D615/D612)*AY76</f>
        <v>21475.656904861131</v>
      </c>
      <c r="E625" s="2">
        <f>(E623/E612)*SUM(C625:D625)</f>
        <v>27854.41518092126</v>
      </c>
      <c r="F625" s="2">
        <f>(F624/F612)*AY64</f>
        <v>19046.512449133628</v>
      </c>
      <c r="G625" s="2">
        <f>(G624/G612)*BR77</f>
        <v>0</v>
      </c>
      <c r="H625" s="2"/>
      <c r="I625" s="2"/>
      <c r="J625" s="2"/>
      <c r="K625" s="2"/>
      <c r="L625" s="2"/>
      <c r="M625" s="2"/>
      <c r="N625" s="336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3">
        <v>8650</v>
      </c>
      <c r="B626" s="346" t="s">
        <v>152</v>
      </c>
      <c r="C626" s="2">
        <f>BR71</f>
        <v>35444.979999999996</v>
      </c>
      <c r="D626" s="2">
        <f>(D615/D612)*BR76</f>
        <v>5268.8322412407342</v>
      </c>
      <c r="E626" s="2">
        <f>(E623/E612)*SUM(C626:D626)</f>
        <v>4410.2796574147624</v>
      </c>
      <c r="F626" s="2">
        <f>(F624/F612)*BR64</f>
        <v>313.27010162717221</v>
      </c>
      <c r="G626" s="2">
        <f>(G624/G612)*BO77</f>
        <v>0</v>
      </c>
      <c r="H626" s="2"/>
      <c r="I626" s="2"/>
      <c r="J626" s="2"/>
      <c r="K626" s="2"/>
      <c r="L626" s="2"/>
      <c r="M626" s="2"/>
      <c r="N626" s="336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3">
        <v>8620</v>
      </c>
      <c r="B627" s="337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(G624/G612)*AZ77</f>
        <v>0</v>
      </c>
      <c r="H627" s="2"/>
      <c r="I627" s="2"/>
      <c r="J627" s="2"/>
      <c r="K627" s="2"/>
      <c r="L627" s="2"/>
      <c r="M627" s="2"/>
      <c r="N627" s="336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3">
        <v>8330</v>
      </c>
      <c r="B628" s="346" t="s">
        <v>136</v>
      </c>
      <c r="C628" s="2">
        <f>AZ71</f>
        <v>532826.69000000006</v>
      </c>
      <c r="D628" s="2">
        <f>(D615/D612)*AZ76</f>
        <v>0</v>
      </c>
      <c r="E628" s="2">
        <f>(E623/E612)*SUM(C628:D628)</f>
        <v>57717.874659114204</v>
      </c>
      <c r="F628" s="2">
        <f>(F624/F612)*AZ64</f>
        <v>2839.7427966888449</v>
      </c>
      <c r="G628" s="2">
        <f>(G624/G612)*BF77</f>
        <v>0</v>
      </c>
      <c r="H628" s="2">
        <f>SUM(C626:G628)</f>
        <v>638821.66945608566</v>
      </c>
      <c r="I628" s="2"/>
      <c r="J628" s="2"/>
      <c r="K628" s="2"/>
      <c r="L628" s="2"/>
      <c r="M628" s="2"/>
      <c r="N628" s="336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3">
        <v>8460</v>
      </c>
      <c r="B629" s="346" t="s">
        <v>141</v>
      </c>
      <c r="C629" s="2">
        <f>BF71</f>
        <v>455153.54</v>
      </c>
      <c r="D629" s="2">
        <f>(D615/D612)*BF76</f>
        <v>10305.216001250259</v>
      </c>
      <c r="E629" s="2">
        <f>(E623/E612)*SUM(C629:D629)</f>
        <v>50420.31610291027</v>
      </c>
      <c r="F629" s="2">
        <f>(F624/F612)*BF64</f>
        <v>8193.2382445143248</v>
      </c>
      <c r="G629" s="2">
        <f>(G624/G612)*BA77</f>
        <v>0</v>
      </c>
      <c r="H629" s="2">
        <f>(H628/H612)*BF60</f>
        <v>21214.513348828656</v>
      </c>
      <c r="I629" s="2">
        <f>SUM(C629:H629)</f>
        <v>545286.82369750354</v>
      </c>
      <c r="J629" s="2"/>
      <c r="K629" s="2"/>
      <c r="L629" s="2"/>
      <c r="M629" s="2"/>
      <c r="N629" s="336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3">
        <v>8350</v>
      </c>
      <c r="B630" s="346" t="s">
        <v>625</v>
      </c>
      <c r="C630" s="2">
        <f>BA71</f>
        <v>46.34</v>
      </c>
      <c r="D630" s="2">
        <f>(D615/D612)*BA76</f>
        <v>0</v>
      </c>
      <c r="E630" s="2">
        <f>(E623/E612)*SUM(C630:D630)</f>
        <v>5.0197303586713202</v>
      </c>
      <c r="F630" s="2">
        <f>(F624/F612)*BA64</f>
        <v>0</v>
      </c>
      <c r="G630" s="2">
        <f>(G624/G612)*AW77</f>
        <v>0</v>
      </c>
      <c r="H630" s="2">
        <f>(H628/H612)*BA60</f>
        <v>0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36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3">
        <v>8200</v>
      </c>
      <c r="B631" s="346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(G624/G612)*BB77</f>
        <v>0</v>
      </c>
      <c r="H631" s="2">
        <f>(H628/H612)*AW60</f>
        <v>0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36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3">
        <v>8360</v>
      </c>
      <c r="B632" s="346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(G624/G612)*BC77</f>
        <v>0</v>
      </c>
      <c r="H632" s="2">
        <f>(H628/H612)*BB60</f>
        <v>0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36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3">
        <v>8370</v>
      </c>
      <c r="B633" s="346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(G624/G612)*BI77</f>
        <v>0</v>
      </c>
      <c r="H633" s="2">
        <f>(H628/H612)*BC60</f>
        <v>0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36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3">
        <v>8490</v>
      </c>
      <c r="B634" s="346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(G624/G612)*BK77</f>
        <v>0</v>
      </c>
      <c r="H634" s="2">
        <f>(H628/H612)*BI60</f>
        <v>0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36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3">
        <v>8530</v>
      </c>
      <c r="B635" s="346" t="s">
        <v>635</v>
      </c>
      <c r="C635" s="2">
        <f>BK71</f>
        <v>40732.07</v>
      </c>
      <c r="D635" s="2">
        <f>(D615/D612)*BK76</f>
        <v>32284.511282112344</v>
      </c>
      <c r="E635" s="2">
        <f>(E623/E612)*SUM(C635:D635)</f>
        <v>7909.4421611612288</v>
      </c>
      <c r="F635" s="2">
        <f>(F624/F612)*BK64</f>
        <v>7.6834299123983625</v>
      </c>
      <c r="G635" s="2">
        <f>(G624/G612)*BH77</f>
        <v>0</v>
      </c>
      <c r="H635" s="2">
        <f>(H628/H612)*BK60</f>
        <v>0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36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3">
        <v>8480</v>
      </c>
      <c r="B636" s="346" t="s">
        <v>637</v>
      </c>
      <c r="C636" s="2">
        <f>BH71</f>
        <v>37264.949999999997</v>
      </c>
      <c r="D636" s="2">
        <f>(D615/D612)*BH76</f>
        <v>3615.8652635965823</v>
      </c>
      <c r="E636" s="2">
        <f>(E623/E612)*SUM(C636:D636)</f>
        <v>4428.3700791089686</v>
      </c>
      <c r="F636" s="2">
        <f>(F624/F612)*BH64</f>
        <v>497.64251200044185</v>
      </c>
      <c r="G636" s="2">
        <f>(G624/G612)*BL77</f>
        <v>0</v>
      </c>
      <c r="H636" s="2">
        <f>(H628/H612)*BH60</f>
        <v>669.31935119761192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36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3">
        <v>8560</v>
      </c>
      <c r="B637" s="346" t="s">
        <v>147</v>
      </c>
      <c r="C637" s="2">
        <f>BL71</f>
        <v>555500.36</v>
      </c>
      <c r="D637" s="2">
        <f>(D615/D612)*BL76</f>
        <v>0</v>
      </c>
      <c r="E637" s="2">
        <f>(E623/E612)*SUM(C637:D637)</f>
        <v>60173.975428244434</v>
      </c>
      <c r="F637" s="2">
        <f>(F624/F612)*BL64</f>
        <v>867.8228939129516</v>
      </c>
      <c r="G637" s="2">
        <f>(G624/G612)*BM77</f>
        <v>0</v>
      </c>
      <c r="H637" s="2">
        <f>(H628/H612)*BL60</f>
        <v>32447.438112405969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36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3">
        <v>8590</v>
      </c>
      <c r="B638" s="346" t="s">
        <v>640</v>
      </c>
      <c r="C638" s="2">
        <f>BM71</f>
        <v>110449.16</v>
      </c>
      <c r="D638" s="2">
        <f>(D615/D612)*BM76</f>
        <v>0</v>
      </c>
      <c r="E638" s="2">
        <f>(E623/E612)*SUM(C638:D638)</f>
        <v>11964.285747556019</v>
      </c>
      <c r="F638" s="2">
        <f>(F624/F612)*BM64</f>
        <v>0</v>
      </c>
      <c r="G638" s="2">
        <f>(G624/G612)*BS77</f>
        <v>0</v>
      </c>
      <c r="H638" s="2">
        <f>(H628/H612)*BM60</f>
        <v>3055.5883424238805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36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3">
        <v>8660</v>
      </c>
      <c r="B639" s="346" t="s">
        <v>642</v>
      </c>
      <c r="C639" s="2">
        <f>BS71</f>
        <v>3051</v>
      </c>
      <c r="D639" s="2">
        <f>(D615/D612)*BS76</f>
        <v>3874.1413538534812</v>
      </c>
      <c r="E639" s="2">
        <f>(E623/E612)*SUM(C639:D639)</f>
        <v>750.1584439367399</v>
      </c>
      <c r="F639" s="2">
        <f>(F624/F612)*BS64</f>
        <v>0</v>
      </c>
      <c r="G639" s="2">
        <f>(G624/G612)*BT77</f>
        <v>0</v>
      </c>
      <c r="H639" s="2">
        <f>(H628/H612)*BS60</f>
        <v>0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36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3">
        <v>8670</v>
      </c>
      <c r="B640" s="346" t="s">
        <v>644</v>
      </c>
      <c r="C640" s="2">
        <f>BT71</f>
        <v>3864</v>
      </c>
      <c r="D640" s="2">
        <f>(D615/D612)*BT76</f>
        <v>4907.2457148810763</v>
      </c>
      <c r="E640" s="2">
        <f>(E623/E612)*SUM(C640:D640)</f>
        <v>950.13570130242238</v>
      </c>
      <c r="F640" s="2">
        <f>(F624/F612)*BT64</f>
        <v>0</v>
      </c>
      <c r="G640" s="2">
        <f>(G624/G612)*BU77</f>
        <v>0</v>
      </c>
      <c r="H640" s="2">
        <f>(H628/H612)*BT60</f>
        <v>0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36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3">
        <v>8680</v>
      </c>
      <c r="B641" s="346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(G624/G612)*BV77</f>
        <v>0</v>
      </c>
      <c r="H641" s="2">
        <f>(H628/H612)*BU60</f>
        <v>0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36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3">
        <v>8690</v>
      </c>
      <c r="B642" s="346" t="s">
        <v>648</v>
      </c>
      <c r="C642" s="2">
        <f>BV71</f>
        <v>444748.05</v>
      </c>
      <c r="D642" s="2">
        <f>(D615/D612)*BV76</f>
        <v>17562.774137469114</v>
      </c>
      <c r="E642" s="2">
        <f>(E623/E612)*SUM(C642:D642)</f>
        <v>50079.319789926871</v>
      </c>
      <c r="F642" s="2">
        <f>(F624/F612)*BV64</f>
        <v>193.58953551571861</v>
      </c>
      <c r="G642" s="2">
        <f>(G624/G612)*BW77</f>
        <v>0</v>
      </c>
      <c r="H642" s="2">
        <f>(H628/H612)*BV60</f>
        <v>14492.21899549612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36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3">
        <v>8700</v>
      </c>
      <c r="B643" s="346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(G624/G612)*BX77</f>
        <v>0</v>
      </c>
      <c r="H643" s="2">
        <f>(H628/H612)*BW60</f>
        <v>0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36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3">
        <v>8710</v>
      </c>
      <c r="B644" s="346" t="s">
        <v>652</v>
      </c>
      <c r="C644" s="2">
        <f>BX71</f>
        <v>321476.34000000003</v>
      </c>
      <c r="D644" s="2">
        <f>(D615/D612)*BX76</f>
        <v>4184.0726621617596</v>
      </c>
      <c r="E644" s="2">
        <f>(E623/E612)*SUM(C644:D644)</f>
        <v>35276.811826881385</v>
      </c>
      <c r="F644" s="2">
        <f>(F624/F612)*BX64</f>
        <v>6342.2643699714499</v>
      </c>
      <c r="G644" s="2">
        <f>(G624/G612)*BY77</f>
        <v>0</v>
      </c>
      <c r="H644" s="2">
        <f>(H628/H612)*BX60</f>
        <v>6576.7901465504465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36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3">
        <v>8720</v>
      </c>
      <c r="B645" s="346" t="s">
        <v>654</v>
      </c>
      <c r="C645" s="2">
        <f>BY71</f>
        <v>403716.87</v>
      </c>
      <c r="D645" s="2">
        <f>(D615/D612)*BY76</f>
        <v>0</v>
      </c>
      <c r="E645" s="2">
        <f>(E623/E612)*SUM(C645:D645)</f>
        <v>43732.193108475665</v>
      </c>
      <c r="F645" s="2">
        <f>(F624/F612)*BY64</f>
        <v>45.19400764431763</v>
      </c>
      <c r="G645" s="2">
        <f>(G624/G612)*BZ77</f>
        <v>0</v>
      </c>
      <c r="H645" s="2">
        <f>(H628/H612)*BY60</f>
        <v>9428.6725994794033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36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3">
        <v>8730</v>
      </c>
      <c r="B646" s="346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(G624/G612)*CA77</f>
        <v>0</v>
      </c>
      <c r="H646" s="2">
        <f>(H628/H612)*BZ60</f>
        <v>0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36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3">
        <v>8740</v>
      </c>
      <c r="B647" s="346" t="s">
        <v>658</v>
      </c>
      <c r="C647" s="2">
        <f>CA71</f>
        <v>54358.559999999998</v>
      </c>
      <c r="D647" s="2">
        <f>(D615/D612)*CA76</f>
        <v>0</v>
      </c>
      <c r="E647" s="2">
        <f>(E623/E612)*SUM(C647:D647)</f>
        <v>5888.3321943387227</v>
      </c>
      <c r="F647" s="2">
        <f>(F624/F612)*CA64</f>
        <v>43.142538399978207</v>
      </c>
      <c r="G647" s="2"/>
      <c r="H647" s="2">
        <f>(H628/H612)*CA60</f>
        <v>0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36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3"/>
      <c r="B648" s="343"/>
      <c r="C648" s="2">
        <f>SUM(C614:C647)</f>
        <v>7600213.830000001</v>
      </c>
      <c r="D648" s="2"/>
      <c r="E648" s="2"/>
      <c r="F648" s="2"/>
      <c r="G648" s="2"/>
      <c r="H648" s="2"/>
      <c r="I648" s="2"/>
      <c r="J648" s="2"/>
      <c r="K648" s="2"/>
      <c r="L648" s="34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3" t="s">
        <v>590</v>
      </c>
      <c r="D667" s="333" t="s">
        <v>591</v>
      </c>
      <c r="E667" s="337" t="s">
        <v>592</v>
      </c>
      <c r="F667" s="333" t="s">
        <v>593</v>
      </c>
      <c r="G667" s="333" t="s">
        <v>594</v>
      </c>
      <c r="H667" s="333" t="s">
        <v>595</v>
      </c>
      <c r="I667" s="333" t="s">
        <v>596</v>
      </c>
      <c r="J667" s="333" t="s">
        <v>597</v>
      </c>
      <c r="K667" s="333" t="s">
        <v>598</v>
      </c>
      <c r="L667" s="337" t="s">
        <v>599</v>
      </c>
      <c r="M667" s="33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3">
        <v>6010</v>
      </c>
      <c r="B668" s="337" t="s">
        <v>283</v>
      </c>
      <c r="C668" s="2">
        <f>C71</f>
        <v>1722650.4899999998</v>
      </c>
      <c r="D668" s="2">
        <f>(D615/D612)*C76</f>
        <v>38741.413538534813</v>
      </c>
      <c r="E668" s="2">
        <f>(E623/E612)*SUM(C668:D668)</f>
        <v>190800.87206970752</v>
      </c>
      <c r="F668" s="2">
        <f>(F624/F612)*C64</f>
        <v>12578.37011325154</v>
      </c>
      <c r="G668" s="2">
        <f>(G624/G612)*C77</f>
        <v>8308.8849128361544</v>
      </c>
      <c r="H668" s="2">
        <f>(H628/H612)*C60</f>
        <v>32971.253256821488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1">ROUND(SUM(D668:L668),0)</f>
        <v>#DIV/0!</v>
      </c>
      <c r="N668" s="337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3">
        <v>6030</v>
      </c>
      <c r="B669" s="337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(G624/G612)*D77</f>
        <v>0</v>
      </c>
      <c r="H669" s="2">
        <f>(H628/H612)*D60</f>
        <v>0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1"/>
        <v>#DIV/0!</v>
      </c>
      <c r="N669" s="337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3">
        <v>6070</v>
      </c>
      <c r="B670" s="337" t="s">
        <v>665</v>
      </c>
      <c r="C670" s="2">
        <f>E71</f>
        <v>2102340.34</v>
      </c>
      <c r="D670" s="2">
        <f>(D615/D612)*E76</f>
        <v>120653.67556351025</v>
      </c>
      <c r="E670" s="2">
        <f>(E623/E612)*SUM(C670:D670)</f>
        <v>240803.42138689716</v>
      </c>
      <c r="F670" s="2">
        <f>(F624/F612)*E64</f>
        <v>4315.0015281050964</v>
      </c>
      <c r="G670" s="2">
        <f>(G624/G612)*E77</f>
        <v>132993.95963351335</v>
      </c>
      <c r="H670" s="2">
        <f>(H628/H612)*E60</f>
        <v>48045.489079445972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1"/>
        <v>#DIV/0!</v>
      </c>
      <c r="N670" s="337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3">
        <v>6100</v>
      </c>
      <c r="B671" s="337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(G624/G612)*F77</f>
        <v>0</v>
      </c>
      <c r="H671" s="2">
        <f>(H628/H612)*F60</f>
        <v>0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1"/>
        <v>#DIV/0!</v>
      </c>
      <c r="N671" s="337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3">
        <v>6120</v>
      </c>
      <c r="B672" s="337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(G624/G612)*G77</f>
        <v>0</v>
      </c>
      <c r="H672" s="2">
        <f>(H628/H612)*G60</f>
        <v>0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1"/>
        <v>#DIV/0!</v>
      </c>
      <c r="N672" s="337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3">
        <v>6140</v>
      </c>
      <c r="B673" s="337" t="s">
        <v>671</v>
      </c>
      <c r="C673" s="2">
        <f>H71</f>
        <v>4320567.7300000004</v>
      </c>
      <c r="D673" s="2">
        <f>(D615/D612)*H76</f>
        <v>50002.251073735599</v>
      </c>
      <c r="E673" s="2">
        <f>(E623/E612)*SUM(C673:D673)</f>
        <v>473437.26410646026</v>
      </c>
      <c r="F673" s="2">
        <f>(F624/F612)*H64</f>
        <v>1256.5412678352438</v>
      </c>
      <c r="G673" s="2">
        <f>(G624/G612)*H77</f>
        <v>134838.07623511538</v>
      </c>
      <c r="H673" s="2">
        <f>(H628/H612)*H60</f>
        <v>95945.473952109838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1"/>
        <v>#DIV/0!</v>
      </c>
      <c r="N673" s="337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3">
        <v>6150</v>
      </c>
      <c r="B674" s="337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(G624/G612)*I77</f>
        <v>0</v>
      </c>
      <c r="H674" s="2">
        <f>(H628/H612)*I60</f>
        <v>0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1"/>
        <v>#DIV/0!</v>
      </c>
      <c r="N674" s="337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3">
        <v>6170</v>
      </c>
      <c r="B675" s="337" t="s">
        <v>99</v>
      </c>
      <c r="C675" s="2">
        <f>J71</f>
        <v>7098.47</v>
      </c>
      <c r="D675" s="2">
        <f>(D615/D612)*J76</f>
        <v>9039.6631589914559</v>
      </c>
      <c r="E675" s="2">
        <f>(E623/E612)*SUM(C675:D675)</f>
        <v>1748.1458124831613</v>
      </c>
      <c r="F675" s="2">
        <f>(F624/F612)*J64</f>
        <v>-1.9187546052978761</v>
      </c>
      <c r="G675" s="2">
        <f>(G624/G612)*J77</f>
        <v>0</v>
      </c>
      <c r="H675" s="2">
        <f>(H628/H612)*J60</f>
        <v>0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1"/>
        <v>#DIV/0!</v>
      </c>
      <c r="N675" s="337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3">
        <v>6200</v>
      </c>
      <c r="B676" s="337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(G624/G612)*K77</f>
        <v>0</v>
      </c>
      <c r="H676" s="2">
        <f>(H628/H612)*K60</f>
        <v>0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1"/>
        <v>#DIV/0!</v>
      </c>
      <c r="N676" s="337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3">
        <v>6210</v>
      </c>
      <c r="B677" s="337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(G624/G612)*L77</f>
        <v>0</v>
      </c>
      <c r="H677" s="2">
        <f>(H628/H612)*L60</f>
        <v>0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1"/>
        <v>#DIV/0!</v>
      </c>
      <c r="N677" s="337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3">
        <v>6330</v>
      </c>
      <c r="B678" s="337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(G624/G612)*M77</f>
        <v>0</v>
      </c>
      <c r="H678" s="2">
        <f>(H628/H612)*M60</f>
        <v>0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1"/>
        <v>#DIV/0!</v>
      </c>
      <c r="N678" s="337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3">
        <v>6400</v>
      </c>
      <c r="B679" s="337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(G624/G612)*N77</f>
        <v>0</v>
      </c>
      <c r="H679" s="2">
        <f>(H628/H612)*N60</f>
        <v>0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1"/>
        <v>#DIV/0!</v>
      </c>
      <c r="N679" s="337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3">
        <v>7010</v>
      </c>
      <c r="B680" s="337" t="s">
        <v>682</v>
      </c>
      <c r="C680" s="2">
        <f>O71</f>
        <v>2441715.94</v>
      </c>
      <c r="D680" s="2">
        <f>(D615/D612)*O76</f>
        <v>114480.87700637037</v>
      </c>
      <c r="E680" s="2">
        <f>(E623/E612)*SUM(C680:D680)</f>
        <v>276897.25431734731</v>
      </c>
      <c r="F680" s="2">
        <f>(F624/F612)*O64</f>
        <v>9669.7409420190579</v>
      </c>
      <c r="G680" s="2">
        <f>(G624/G612)*O77</f>
        <v>27900.033753451076</v>
      </c>
      <c r="H680" s="2">
        <f>(H628/H612)*O60</f>
        <v>43011.043524785673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1"/>
        <v>#DIV/0!</v>
      </c>
      <c r="N680" s="337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3">
        <v>7020</v>
      </c>
      <c r="B681" s="337" t="s">
        <v>684</v>
      </c>
      <c r="C681" s="2">
        <f>P71</f>
        <v>1386538.47</v>
      </c>
      <c r="D681" s="2">
        <f>(D615/D612)*P76</f>
        <v>31638.821056470097</v>
      </c>
      <c r="E681" s="2">
        <f>(E623/E612)*SUM(C681:D681)</f>
        <v>153622.52054152815</v>
      </c>
      <c r="F681" s="2">
        <f>(F624/F612)*P64</f>
        <v>37907.734700742309</v>
      </c>
      <c r="G681" s="2">
        <f>(G624/G612)*P77</f>
        <v>0</v>
      </c>
      <c r="H681" s="2">
        <f>(H628/H612)*P60</f>
        <v>45950.228501783873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1"/>
        <v>#DIV/0!</v>
      </c>
      <c r="N681" s="337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3">
        <v>7030</v>
      </c>
      <c r="B682" s="337" t="s">
        <v>686</v>
      </c>
      <c r="C682" s="2">
        <f>Q71</f>
        <v>314594.07999999996</v>
      </c>
      <c r="D682" s="2">
        <f>(D615/D612)*Q76</f>
        <v>50428.40662265948</v>
      </c>
      <c r="E682" s="2">
        <f>(E623/E612)*SUM(C682:D682)</f>
        <v>39540.665897657731</v>
      </c>
      <c r="F682" s="2">
        <f>(F624/F612)*Q64</f>
        <v>2334.6355535473831</v>
      </c>
      <c r="G682" s="2">
        <f>(G624/G612)*Q77</f>
        <v>0</v>
      </c>
      <c r="H682" s="2">
        <f>(H628/H612)*Q60</f>
        <v>5878.3699539964173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1"/>
        <v>#DIV/0!</v>
      </c>
      <c r="N682" s="337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3">
        <v>7040</v>
      </c>
      <c r="B683" s="337" t="s">
        <v>107</v>
      </c>
      <c r="C683" s="2">
        <f>R71</f>
        <v>270742.83</v>
      </c>
      <c r="D683" s="2">
        <f>(D615/D612)*R76</f>
        <v>2066.2087220551898</v>
      </c>
      <c r="E683" s="2">
        <f>(E623/E612)*SUM(C683:D683)</f>
        <v>29551.74393165818</v>
      </c>
      <c r="F683" s="2">
        <f>(F624/F612)*R64</f>
        <v>1548.0788800142957</v>
      </c>
      <c r="G683" s="2">
        <f>(G624/G612)*R77</f>
        <v>0</v>
      </c>
      <c r="H683" s="2">
        <f>(H628/H612)*R60</f>
        <v>0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1"/>
        <v>#DIV/0!</v>
      </c>
      <c r="N683" s="337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3">
        <v>7050</v>
      </c>
      <c r="B684" s="337" t="s">
        <v>689</v>
      </c>
      <c r="C684" s="2">
        <f>S71</f>
        <v>187337.74000000002</v>
      </c>
      <c r="D684" s="2">
        <f>(D615/D612)*S76</f>
        <v>0</v>
      </c>
      <c r="E684" s="2">
        <f>(E623/E612)*SUM(C684:D684)</f>
        <v>20293.157980208773</v>
      </c>
      <c r="F684" s="2">
        <f>(F624/F612)*S64</f>
        <v>16277.757965180001</v>
      </c>
      <c r="G684" s="2">
        <f>(G624/G612)*S77</f>
        <v>0</v>
      </c>
      <c r="H684" s="2">
        <f>(H628/H612)*S60</f>
        <v>0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1"/>
        <v>#DIV/0!</v>
      </c>
      <c r="N684" s="337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3">
        <v>7060</v>
      </c>
      <c r="B685" s="337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(G624/G612)*T77</f>
        <v>0</v>
      </c>
      <c r="H685" s="2">
        <f>(H628/H612)*T60</f>
        <v>0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1"/>
        <v>#DIV/0!</v>
      </c>
      <c r="N685" s="337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3">
        <v>7070</v>
      </c>
      <c r="B686" s="337" t="s">
        <v>109</v>
      </c>
      <c r="C686" s="2">
        <f>U71</f>
        <v>1744002.51</v>
      </c>
      <c r="D686" s="2">
        <f>(D615/D612)*U76</f>
        <v>35396.738169707969</v>
      </c>
      <c r="E686" s="2">
        <f>(E623/E612)*SUM(C686:D686)</f>
        <v>192751.49819236956</v>
      </c>
      <c r="F686" s="2">
        <f>(F624/F612)*U64</f>
        <v>58157.551155252833</v>
      </c>
      <c r="G686" s="2">
        <f>(G624/G612)*U77</f>
        <v>0</v>
      </c>
      <c r="H686" s="2">
        <f>(H628/H612)*U60</f>
        <v>34106.186069721793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1"/>
        <v>#DIV/0!</v>
      </c>
      <c r="N686" s="337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3">
        <v>7110</v>
      </c>
      <c r="B687" s="337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(G624/G612)*V77</f>
        <v>0</v>
      </c>
      <c r="H687" s="2">
        <f>(H628/H612)*V60</f>
        <v>0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1"/>
        <v>#DIV/0!</v>
      </c>
      <c r="N687" s="337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3">
        <v>7120</v>
      </c>
      <c r="B688" s="337" t="s">
        <v>696</v>
      </c>
      <c r="C688" s="2">
        <f>W71</f>
        <v>123523.58</v>
      </c>
      <c r="D688" s="2">
        <f>(D615/D612)*W76</f>
        <v>0</v>
      </c>
      <c r="E688" s="2">
        <f>(E623/E612)*SUM(C688:D688)</f>
        <v>13380.558147124848</v>
      </c>
      <c r="F688" s="2">
        <f>(F624/F612)*W64</f>
        <v>0</v>
      </c>
      <c r="G688" s="2">
        <f>(G624/G612)*W77</f>
        <v>0</v>
      </c>
      <c r="H688" s="2">
        <f>(H628/H612)*W60</f>
        <v>785.72271662328365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1"/>
        <v>#DIV/0!</v>
      </c>
      <c r="N688" s="337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3">
        <v>7130</v>
      </c>
      <c r="B689" s="337" t="s">
        <v>698</v>
      </c>
      <c r="C689" s="2">
        <f>X71</f>
        <v>129862.04</v>
      </c>
      <c r="D689" s="2">
        <f>(D615/D612)*X76</f>
        <v>0</v>
      </c>
      <c r="E689" s="2">
        <f>(E623/E612)*SUM(C689:D689)</f>
        <v>14067.164968212974</v>
      </c>
      <c r="F689" s="2">
        <f>(F624/F612)*X64</f>
        <v>2798.0900268426153</v>
      </c>
      <c r="G689" s="2">
        <f>(G624/G612)*X77</f>
        <v>0</v>
      </c>
      <c r="H689" s="2">
        <f>(H628/H612)*X60</f>
        <v>2735.4790875032832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1"/>
        <v>#DIV/0!</v>
      </c>
      <c r="N689" s="337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3">
        <v>7140</v>
      </c>
      <c r="B690" s="337" t="s">
        <v>1249</v>
      </c>
      <c r="C690" s="2">
        <f>Y71</f>
        <v>1224869.46</v>
      </c>
      <c r="D690" s="2">
        <f>(D615/D612)*Y76</f>
        <v>52662.494803381654</v>
      </c>
      <c r="E690" s="2">
        <f>(E623/E612)*SUM(C690:D690)</f>
        <v>138387.26667456303</v>
      </c>
      <c r="F690" s="2">
        <f>(F624/F612)*Y64</f>
        <v>997.14863660826984</v>
      </c>
      <c r="G690" s="2">
        <f>(G624/G612)*Y77</f>
        <v>0</v>
      </c>
      <c r="H690" s="2">
        <f>(H628/H612)*Y60</f>
        <v>28373.320322507461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1"/>
        <v>#DIV/0!</v>
      </c>
      <c r="N690" s="337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3">
        <v>7150</v>
      </c>
      <c r="B691" s="337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(G624/G612)*Z77</f>
        <v>0</v>
      </c>
      <c r="H691" s="2">
        <f>(H628/H612)*Z60</f>
        <v>0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1"/>
        <v>#DIV/0!</v>
      </c>
      <c r="N691" s="337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3">
        <v>7160</v>
      </c>
      <c r="B692" s="337" t="s">
        <v>703</v>
      </c>
      <c r="C692" s="2">
        <f>AA71</f>
        <v>20633.84</v>
      </c>
      <c r="D692" s="2">
        <f>(D615/D612)*AA76</f>
        <v>0</v>
      </c>
      <c r="E692" s="2">
        <f>(E623/E612)*SUM(C692:D692)</f>
        <v>2235.1383915400652</v>
      </c>
      <c r="F692" s="2">
        <f>(F624/F612)*AA64</f>
        <v>0</v>
      </c>
      <c r="G692" s="2">
        <f>(G624/G612)*AA77</f>
        <v>0</v>
      </c>
      <c r="H692" s="2">
        <f>(H628/H612)*AA60</f>
        <v>0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1"/>
        <v>#DIV/0!</v>
      </c>
      <c r="N692" s="337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3">
        <v>7170</v>
      </c>
      <c r="B693" s="337" t="s">
        <v>115</v>
      </c>
      <c r="C693" s="2">
        <f>AB71</f>
        <v>821475.08</v>
      </c>
      <c r="D693" s="2">
        <f>(D615/D612)*AB76</f>
        <v>13714.460392641324</v>
      </c>
      <c r="E693" s="2">
        <f>(E623/E612)*SUM(C693:D693)</f>
        <v>90471.00326184048</v>
      </c>
      <c r="F693" s="2">
        <f>(F624/F612)*AB64</f>
        <v>30936.823516274264</v>
      </c>
      <c r="G693" s="2">
        <f>(G624/G612)*AB77</f>
        <v>0</v>
      </c>
      <c r="H693" s="2">
        <f>(H628/H612)*AB60</f>
        <v>11203.823922220896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1"/>
        <v>#DIV/0!</v>
      </c>
      <c r="N693" s="337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3">
        <v>7180</v>
      </c>
      <c r="B694" s="337" t="s">
        <v>706</v>
      </c>
      <c r="C694" s="2">
        <f>AC71</f>
        <v>555323.15</v>
      </c>
      <c r="D694" s="2">
        <f>(D615/D612)*AC76</f>
        <v>10873.423399815438</v>
      </c>
      <c r="E694" s="2">
        <f>(E623/E612)*SUM(C694:D694)</f>
        <v>61332.631171142166</v>
      </c>
      <c r="F694" s="2">
        <f>(F624/F612)*AC64</f>
        <v>1214.0146375136346</v>
      </c>
      <c r="G694" s="2">
        <f>(G624/G612)*AC77</f>
        <v>0</v>
      </c>
      <c r="H694" s="2">
        <f>(H628/H612)*AC60</f>
        <v>14754.126567703881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1"/>
        <v>#DIV/0!</v>
      </c>
      <c r="N694" s="337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3">
        <v>7190</v>
      </c>
      <c r="B695" s="337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(G624/G612)*AD77</f>
        <v>0</v>
      </c>
      <c r="H695" s="2">
        <f>(H628/H612)*AD60</f>
        <v>0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1"/>
        <v>#DIV/0!</v>
      </c>
      <c r="N695" s="337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3">
        <v>7200</v>
      </c>
      <c r="B696" s="337" t="s">
        <v>709</v>
      </c>
      <c r="C696" s="2">
        <f>AE71</f>
        <v>12377.45</v>
      </c>
      <c r="D696" s="2">
        <f>(D615/D612)*AE76</f>
        <v>7102.5924820647151</v>
      </c>
      <c r="E696" s="2">
        <f>(E623/E612)*SUM(C696:D696)</f>
        <v>2110.1545238547101</v>
      </c>
      <c r="F696" s="2">
        <f>(F624/F612)*AE64</f>
        <v>19.123057953726178</v>
      </c>
      <c r="G696" s="2">
        <f>(G624/G612)*AE77</f>
        <v>0</v>
      </c>
      <c r="H696" s="2">
        <f>(H628/H612)*AE60</f>
        <v>0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1"/>
        <v>#DIV/0!</v>
      </c>
      <c r="N696" s="337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3">
        <v>7220</v>
      </c>
      <c r="B697" s="337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(G624/G612)*AF77</f>
        <v>0</v>
      </c>
      <c r="H697" s="2">
        <f>(H628/H612)*AF60</f>
        <v>0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1"/>
        <v>#DIV/0!</v>
      </c>
      <c r="N697" s="337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3">
        <v>7230</v>
      </c>
      <c r="B698" s="337" t="s">
        <v>713</v>
      </c>
      <c r="C698" s="2">
        <f>AG71</f>
        <v>3907695.08</v>
      </c>
      <c r="D698" s="2">
        <f>(D615/D612)*AG76</f>
        <v>59739.259676420676</v>
      </c>
      <c r="E698" s="2">
        <f>(E623/E612)*SUM(C698:D698)</f>
        <v>429768.03195746284</v>
      </c>
      <c r="F698" s="2">
        <f>(F624/F612)*AG64</f>
        <v>19064.774731153855</v>
      </c>
      <c r="G698" s="2">
        <f>(G624/G612)*AG77</f>
        <v>0</v>
      </c>
      <c r="H698" s="2">
        <f>(H628/H612)*AG60</f>
        <v>72344.691612054914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1"/>
        <v>#DIV/0!</v>
      </c>
      <c r="N698" s="337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3">
        <v>7240</v>
      </c>
      <c r="B699" s="337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(G624/G612)*AH77</f>
        <v>0</v>
      </c>
      <c r="H699" s="2">
        <f>(H628/H612)*AH60</f>
        <v>0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1"/>
        <v>#DIV/0!</v>
      </c>
      <c r="N699" s="337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3">
        <v>7250</v>
      </c>
      <c r="B700" s="337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(G624/G612)*AI77</f>
        <v>0</v>
      </c>
      <c r="H700" s="2">
        <f>(H628/H612)*AI60</f>
        <v>0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1"/>
        <v>#DIV/0!</v>
      </c>
      <c r="N700" s="337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3">
        <v>7260</v>
      </c>
      <c r="B701" s="337" t="s">
        <v>121</v>
      </c>
      <c r="C701" s="2">
        <f>AJ71</f>
        <v>6266757</v>
      </c>
      <c r="D701" s="2">
        <f>(D615/D612)*AJ76</f>
        <v>0</v>
      </c>
      <c r="E701" s="2">
        <f>(E623/E612)*SUM(C701:D701)</f>
        <v>678839.67119801475</v>
      </c>
      <c r="F701" s="2">
        <f>(F624/F612)*AJ64</f>
        <v>15684.44595602315</v>
      </c>
      <c r="G701" s="2">
        <f>(G624/G612)*AJ77</f>
        <v>0</v>
      </c>
      <c r="H701" s="2">
        <f>(H628/H612)*AJ60</f>
        <v>114831.91999242506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1"/>
        <v>#DIV/0!</v>
      </c>
      <c r="N701" s="337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3">
        <v>7310</v>
      </c>
      <c r="B702" s="337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(G624/G612)*AK77</f>
        <v>0</v>
      </c>
      <c r="H702" s="2">
        <f>(H628/H612)*AK60</f>
        <v>0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1"/>
        <v>#DIV/0!</v>
      </c>
      <c r="N702" s="337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3">
        <v>7320</v>
      </c>
      <c r="B703" s="337" t="s">
        <v>721</v>
      </c>
      <c r="C703" s="2">
        <f>AL71</f>
        <v>10624.04</v>
      </c>
      <c r="D703" s="2">
        <f>(D615/D612)*AL76</f>
        <v>0</v>
      </c>
      <c r="E703" s="2">
        <f>(E623/E612)*SUM(C703:D703)</f>
        <v>1150.8376374565914</v>
      </c>
      <c r="F703" s="2">
        <f>(F624/F612)*AL64</f>
        <v>0</v>
      </c>
      <c r="G703" s="2">
        <f>(G624/G612)*AL77</f>
        <v>0</v>
      </c>
      <c r="H703" s="2">
        <f>(H628/H612)*AL60</f>
        <v>0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1"/>
        <v>#DIV/0!</v>
      </c>
      <c r="N703" s="337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3">
        <v>7330</v>
      </c>
      <c r="B704" s="337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(G624/G612)*AM77</f>
        <v>0</v>
      </c>
      <c r="H704" s="2">
        <f>(H628/H612)*AM60</f>
        <v>0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1"/>
        <v>#DIV/0!</v>
      </c>
      <c r="N704" s="337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3">
        <v>7340</v>
      </c>
      <c r="B705" s="337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(G624/G612)*AN77</f>
        <v>0</v>
      </c>
      <c r="H705" s="2">
        <f>(H628/H612)*AN60</f>
        <v>0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1"/>
        <v>#DIV/0!</v>
      </c>
      <c r="N705" s="337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3">
        <v>7350</v>
      </c>
      <c r="B706" s="337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(G624/G612)*AO77</f>
        <v>0</v>
      </c>
      <c r="H706" s="2">
        <f>(H628/H612)*AO60</f>
        <v>0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1"/>
        <v>#DIV/0!</v>
      </c>
      <c r="N706" s="337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3">
        <v>7380</v>
      </c>
      <c r="B707" s="337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(G624/G612)*AP77</f>
        <v>0</v>
      </c>
      <c r="H707" s="2">
        <f>(H628/H612)*AP60</f>
        <v>0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1"/>
        <v>#DIV/0!</v>
      </c>
      <c r="N707" s="337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3">
        <v>7390</v>
      </c>
      <c r="B708" s="337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(G624/G612)*AQ77</f>
        <v>0</v>
      </c>
      <c r="H708" s="2">
        <f>(H628/H612)*AQ60</f>
        <v>0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1"/>
        <v>#DIV/0!</v>
      </c>
      <c r="N708" s="337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3">
        <v>7400</v>
      </c>
      <c r="B709" s="337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(G624/G612)*AR77</f>
        <v>0</v>
      </c>
      <c r="H709" s="2">
        <f>(H628/H612)*AR60</f>
        <v>0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1"/>
        <v>#DIV/0!</v>
      </c>
      <c r="N709" s="337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3">
        <v>7410</v>
      </c>
      <c r="B710" s="337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(G624/G612)*AS77</f>
        <v>0</v>
      </c>
      <c r="H710" s="2">
        <f>(H628/H612)*AS60</f>
        <v>0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1"/>
        <v>#DIV/0!</v>
      </c>
      <c r="N710" s="337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3">
        <v>7420</v>
      </c>
      <c r="B711" s="337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(G624/G612)*AT77</f>
        <v>0</v>
      </c>
      <c r="H711" s="2">
        <f>(H628/H612)*AT60</f>
        <v>0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1"/>
        <v>#DIV/0!</v>
      </c>
      <c r="N711" s="337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3">
        <v>7430</v>
      </c>
      <c r="B712" s="337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(G624/G612)*AU77</f>
        <v>0</v>
      </c>
      <c r="H712" s="2">
        <f>(H628/H612)*AU60</f>
        <v>0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1"/>
        <v>#DIV/0!</v>
      </c>
      <c r="N712" s="337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3">
        <v>7490</v>
      </c>
      <c r="B713" s="337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(G624/G612)*AV77</f>
        <v>0</v>
      </c>
      <c r="H713" s="2">
        <f>(H628/H612)*AV60</f>
        <v>0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1"/>
        <v>#DIV/0!</v>
      </c>
      <c r="N713" s="336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35170943.149999991</v>
      </c>
      <c r="D715" s="2">
        <f>SUM(D616:D647)+SUM(D668:D713)</f>
        <v>867626.87000000011</v>
      </c>
      <c r="E715" s="2">
        <f>SUM(E624:E647)+SUM(E668:E713)</f>
        <v>3437491.7827688809</v>
      </c>
      <c r="F715" s="2">
        <f>SUM(F625:F648)+SUM(F668:F713)</f>
        <v>253148.0167930332</v>
      </c>
      <c r="G715" s="2">
        <f>SUM(G625:G646)+SUM(G668:G713)</f>
        <v>304040.95453491597</v>
      </c>
      <c r="H715" s="2">
        <f>SUM(H629:H647)+SUM(H668:H713)</f>
        <v>638821.66945608589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7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35170943.149999991</v>
      </c>
      <c r="D716" s="2">
        <f>D615</f>
        <v>867626.87</v>
      </c>
      <c r="E716" s="2">
        <f>E623</f>
        <v>3437491.7827688805</v>
      </c>
      <c r="F716" s="2">
        <f>F624</f>
        <v>253148.01679303314</v>
      </c>
      <c r="G716" s="2">
        <f>G624</f>
        <v>304040.95453491597</v>
      </c>
      <c r="H716" s="2">
        <f>H628</f>
        <v>638821.66945608566</v>
      </c>
      <c r="I716" s="2">
        <f>I629</f>
        <v>545286.82369750354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7600213.830000001</v>
      </c>
      <c r="N716" s="337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6" t="str">
        <f>RIGHT(C84,3)&amp;"*"&amp;RIGHT(C83,4)&amp;"*"&amp;"A"</f>
        <v>TAL*199*A</v>
      </c>
      <c r="B721" s="284">
        <f>ROUND(C166,0)</f>
        <v>85325</v>
      </c>
      <c r="C721" s="284">
        <f>ROUND(C167,0)</f>
        <v>3176559</v>
      </c>
      <c r="D721" s="284">
        <f>ROUND(C168,0)</f>
        <v>-2345424</v>
      </c>
      <c r="E721" s="284">
        <f>ROUND(C169,0)</f>
        <v>0</v>
      </c>
      <c r="F721" s="284">
        <f>ROUND(C170,0)</f>
        <v>454731</v>
      </c>
      <c r="G721" s="284">
        <f>ROUND(C171,0)</f>
        <v>0</v>
      </c>
      <c r="H721" s="284">
        <f>ROUND(C172+C173,0)</f>
        <v>0</v>
      </c>
      <c r="I721" s="284">
        <f>ROUND(C176,0)</f>
        <v>19630</v>
      </c>
      <c r="J721" s="284">
        <f>ROUND(C177,0)</f>
        <v>0</v>
      </c>
      <c r="K721" s="284">
        <f>ROUND(C180,0)</f>
        <v>106773</v>
      </c>
      <c r="L721" s="284">
        <f>ROUND(C181,0)</f>
        <v>0</v>
      </c>
      <c r="M721" s="284">
        <f>ROUND(C184,0)</f>
        <v>42244</v>
      </c>
      <c r="N721" s="284">
        <f>ROUND(C185,0)</f>
        <v>1028447</v>
      </c>
      <c r="O721" s="284">
        <f>ROUND(C186,0)</f>
        <v>0</v>
      </c>
      <c r="P721" s="284">
        <f>ROUND(C189,0)</f>
        <v>1328423</v>
      </c>
      <c r="Q721" s="284">
        <f>ROUND(C190,0)</f>
        <v>0</v>
      </c>
      <c r="R721" s="284">
        <f>ROUND(B196,0)</f>
        <v>26953</v>
      </c>
      <c r="S721" s="284">
        <f>ROUND(C196,0)</f>
        <v>0</v>
      </c>
      <c r="T721" s="284">
        <f>ROUND(D196,0)</f>
        <v>0</v>
      </c>
      <c r="U721" s="284">
        <f>ROUND(B197,0)</f>
        <v>6744017</v>
      </c>
      <c r="V721" s="284">
        <f>ROUND(C197,0)</f>
        <v>1214242</v>
      </c>
      <c r="W721" s="284">
        <f>ROUND(D197,0)</f>
        <v>0</v>
      </c>
      <c r="X721" s="284">
        <f>ROUND(B198,0)</f>
        <v>82397</v>
      </c>
      <c r="Y721" s="284">
        <f>ROUND(C198,0)</f>
        <v>282775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1595897</v>
      </c>
      <c r="AE721" s="284">
        <f>ROUND(C200,0)</f>
        <v>-280257</v>
      </c>
      <c r="AF721" s="284">
        <f>ROUND(D200,0)</f>
        <v>0</v>
      </c>
      <c r="AG721" s="284">
        <f>ROUND(B201,0)</f>
        <v>233940</v>
      </c>
      <c r="AH721" s="284">
        <f>ROUND(C201,0)</f>
        <v>154136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1207200</v>
      </c>
      <c r="AN721" s="284">
        <f>ROUND(C203,0)</f>
        <v>-1152123</v>
      </c>
      <c r="AO721" s="284">
        <f>ROUND(D203,0)</f>
        <v>0</v>
      </c>
      <c r="AP721" s="284">
        <f>ROUND(B204,0)</f>
        <v>10440404</v>
      </c>
      <c r="AQ721" s="284">
        <f>ROUND(C204,0)</f>
        <v>218772</v>
      </c>
      <c r="AR721" s="284">
        <f>ROUND(D204,0)</f>
        <v>0</v>
      </c>
      <c r="AS721" s="284"/>
      <c r="AT721" s="284"/>
      <c r="AU721" s="284"/>
      <c r="AV721" s="284">
        <f>ROUND(B210,0)</f>
        <v>1043497</v>
      </c>
      <c r="AW721" s="284">
        <f>ROUND(C210,0)</f>
        <v>319715</v>
      </c>
      <c r="AX721" s="284">
        <f>ROUND(D210,0)</f>
        <v>0</v>
      </c>
      <c r="AY721" s="284">
        <f>ROUND(B211,0)</f>
        <v>0</v>
      </c>
      <c r="AZ721" s="284">
        <f>ROUND(C211,0)</f>
        <v>284579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991448</v>
      </c>
      <c r="BF721" s="284">
        <f>ROUND(C213,0)</f>
        <v>-250511</v>
      </c>
      <c r="BG721" s="284">
        <f>ROUND(D213,0)</f>
        <v>0</v>
      </c>
      <c r="BH721" s="284">
        <f>ROUND(B214,0)</f>
        <v>-28377</v>
      </c>
      <c r="BI721" s="284">
        <f>ROUND(C214,0)</f>
        <v>198467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2007431</v>
      </c>
      <c r="BR721" s="284">
        <f>ROUND(C217,0)</f>
        <v>553470</v>
      </c>
      <c r="BS721" s="284">
        <f>ROUND(D217,0)</f>
        <v>0</v>
      </c>
      <c r="BT721" s="284">
        <f>ROUND(C222,0)</f>
        <v>0</v>
      </c>
      <c r="BU721" s="284">
        <f>ROUND(C223,0)</f>
        <v>14833948</v>
      </c>
      <c r="BV721" s="284">
        <f>ROUND(C224,0)</f>
        <v>51540531</v>
      </c>
      <c r="BW721" s="284">
        <f>ROUND(C225,0)</f>
        <v>0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614309</v>
      </c>
      <c r="CC721" s="284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6" t="str">
        <f>RIGHT(C84,3)&amp;"*"&amp;RIGHT(C83,4)&amp;"*"&amp;"A"</f>
        <v>TAL*199*A</v>
      </c>
      <c r="B725" s="284">
        <f>ROUND(C112,0)</f>
        <v>0</v>
      </c>
      <c r="C725" s="284">
        <f>ROUND(C113,0)</f>
        <v>0</v>
      </c>
      <c r="D725" s="284">
        <f>ROUND(C114,0)</f>
        <v>349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980</v>
      </c>
      <c r="I725" s="284">
        <f>ROUND(D115,0)</f>
        <v>0</v>
      </c>
      <c r="J725" s="284">
        <f>ROUND(C117,0)</f>
        <v>0</v>
      </c>
      <c r="K725" s="284">
        <f>ROUND(C118,0)</f>
        <v>13</v>
      </c>
      <c r="L725" s="284">
        <f>ROUND(C119,0)</f>
        <v>0</v>
      </c>
      <c r="M725" s="284">
        <f>ROUND(C120,0)</f>
        <v>16</v>
      </c>
      <c r="N725" s="284">
        <f>ROUND(C121,0)</f>
        <v>0</v>
      </c>
      <c r="O725" s="284">
        <f>ROUND(C122,0)</f>
        <v>15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16</v>
      </c>
      <c r="W725" s="284">
        <f>ROUND(C130,0)</f>
        <v>0</v>
      </c>
      <c r="X725" s="284">
        <f>ROUND(B139,0)</f>
        <v>1097</v>
      </c>
      <c r="Y725" s="284">
        <f>ROUND(B140,0)</f>
        <v>8870</v>
      </c>
      <c r="Z725" s="284">
        <f>ROUND(B141,0)</f>
        <v>9809910</v>
      </c>
      <c r="AA725" s="284">
        <f>ROUND(B142,0)</f>
        <v>11157599</v>
      </c>
      <c r="AB725" s="284">
        <f>ROUND(B143,0)</f>
        <v>0</v>
      </c>
      <c r="AC725" s="284">
        <f>ROUND(C139,0)</f>
        <v>4959</v>
      </c>
      <c r="AD725" s="284">
        <f>ROUND(C140,0)</f>
        <v>3292</v>
      </c>
      <c r="AE725" s="284">
        <f>ROUND(C141,0)</f>
        <v>25606931</v>
      </c>
      <c r="AF725" s="284">
        <f>ROUND(C142,0)</f>
        <v>47244648</v>
      </c>
      <c r="AG725" s="284">
        <f>ROUND(C143,0)</f>
        <v>0</v>
      </c>
      <c r="AH725" s="284">
        <f>ROUND(D139,0)</f>
        <v>2408</v>
      </c>
      <c r="AI725" s="284">
        <f>ROUND(D140,0)</f>
        <v>32248</v>
      </c>
      <c r="AJ725" s="284">
        <f>ROUND(D141,0)</f>
        <v>10138411</v>
      </c>
      <c r="AK725" s="284">
        <f>ROUND(D142,0)</f>
        <v>38205797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6" t="str">
        <f>RIGHT(C84,3)&amp;"*"&amp;RIGHT(C83,4)&amp;"*"&amp;"A"</f>
        <v>TAL*199*A</v>
      </c>
      <c r="B729" s="284">
        <f>ROUND(C249,0)</f>
        <v>0</v>
      </c>
      <c r="C729" s="284">
        <f>ROUND(C250,0)</f>
        <v>1635664</v>
      </c>
      <c r="D729" s="284">
        <f>ROUND(C251,0)</f>
        <v>0</v>
      </c>
      <c r="E729" s="284">
        <f>ROUND(C252,0)</f>
        <v>38323727</v>
      </c>
      <c r="F729" s="284">
        <f>ROUND(C253,0)</f>
        <v>32594442</v>
      </c>
      <c r="G729" s="284">
        <f>ROUND(C254,0)</f>
        <v>368439</v>
      </c>
      <c r="H729" s="284">
        <f>ROUND(C255,0)</f>
        <v>0</v>
      </c>
      <c r="I729" s="284">
        <f>ROUND(C256,0)</f>
        <v>0</v>
      </c>
      <c r="J729" s="284">
        <f>ROUND(C257,0)</f>
        <v>1111635</v>
      </c>
      <c r="K729" s="284">
        <f>ROUND(C258,0)</f>
        <v>556611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550000</v>
      </c>
      <c r="Q729" s="284">
        <f>ROUND(C268,0)</f>
        <v>26953</v>
      </c>
      <c r="R729" s="284">
        <f>ROUND(C269,0)</f>
        <v>7958259</v>
      </c>
      <c r="S729" s="284">
        <f>ROUND(C270,0)</f>
        <v>365172</v>
      </c>
      <c r="T729" s="284">
        <f>ROUND(C271,0)</f>
        <v>0</v>
      </c>
      <c r="U729" s="284">
        <f>ROUND(C272,0)</f>
        <v>1703716</v>
      </c>
      <c r="V729" s="284">
        <f>ROUND(C273,0)</f>
        <v>0</v>
      </c>
      <c r="W729" s="284">
        <f>ROUND(C274,0)</f>
        <v>55076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2437077</v>
      </c>
      <c r="AJ729" s="284">
        <f>ROUND(C306,0)</f>
        <v>1029175</v>
      </c>
      <c r="AK729" s="284">
        <f>ROUND(C307,0)</f>
        <v>3478346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3645728</v>
      </c>
      <c r="AW729" s="284">
        <f>ROUND(C323,0)</f>
        <v>10200282</v>
      </c>
      <c r="AX729" s="284">
        <f>ROUND(C324,0)</f>
        <v>0</v>
      </c>
      <c r="AY729" s="284">
        <f>ROUND(C325,0)</f>
        <v>0</v>
      </c>
      <c r="AZ729" s="284">
        <f>ROUND(C326,0)</f>
        <v>-963431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234.89</v>
      </c>
      <c r="BJ729" s="284">
        <f>ROUND(C358,0)</f>
        <v>0</v>
      </c>
      <c r="BK729" s="284">
        <f>ROUND(C359,0)</f>
        <v>45555251</v>
      </c>
      <c r="BL729" s="284">
        <f>ROUND(C362,0)</f>
        <v>0</v>
      </c>
      <c r="BM729" s="284">
        <f>ROUND(C363,0)</f>
        <v>3852695</v>
      </c>
      <c r="BN729" s="284">
        <f>ROUND(C364,0)</f>
        <v>100605902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15560911</v>
      </c>
      <c r="BT729" s="284">
        <f>ROUND(C379,0)</f>
        <v>2491885</v>
      </c>
      <c r="BU729" s="284">
        <f>ROUND(C380,0)</f>
        <v>2945720</v>
      </c>
      <c r="BV729" s="284">
        <f>ROUND(C381,0)</f>
        <v>2782613</v>
      </c>
      <c r="BW729" s="284">
        <f>ROUND(C382,0)</f>
        <v>440092</v>
      </c>
      <c r="BX729" s="284">
        <f>ROUND(C383,0)</f>
        <v>8223836</v>
      </c>
      <c r="BY729" s="284">
        <f>ROUND(C384,0)</f>
        <v>714847</v>
      </c>
      <c r="BZ729" s="284">
        <f>ROUND(C385,0)</f>
        <v>390654</v>
      </c>
      <c r="CA729" s="284">
        <f>ROUND(C386,0)</f>
        <v>177513</v>
      </c>
      <c r="CB729" s="284">
        <f>ROUND(C387,0)</f>
        <v>1070691</v>
      </c>
      <c r="CC729" s="284">
        <f>ROUND(C388,0)</f>
        <v>1328423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TAL*199*6000*A</v>
      </c>
      <c r="B733" s="284">
        <f>ROUND(C59,0)</f>
        <v>220</v>
      </c>
      <c r="C733" s="287">
        <f>ROUND(C60,2)</f>
        <v>11.33</v>
      </c>
      <c r="D733" s="284">
        <f>ROUND(C61,0)</f>
        <v>854951</v>
      </c>
      <c r="E733" s="284">
        <f>ROUND(C62,0)</f>
        <v>265953</v>
      </c>
      <c r="F733" s="284">
        <f>ROUND(C63,0)</f>
        <v>17725</v>
      </c>
      <c r="G733" s="284">
        <f>ROUND(C64,0)</f>
        <v>134584</v>
      </c>
      <c r="H733" s="284">
        <f>ROUND(C65,0)</f>
        <v>0</v>
      </c>
      <c r="I733" s="284">
        <f>ROUND(C66,0)</f>
        <v>421043</v>
      </c>
      <c r="J733" s="284">
        <f>ROUND(C67,0)</f>
        <v>30509</v>
      </c>
      <c r="K733" s="284">
        <f>ROUND(C68,0)</f>
        <v>-6527</v>
      </c>
      <c r="L733" s="284">
        <f>ROUND(C70,0)</f>
        <v>0</v>
      </c>
      <c r="M733" s="284">
        <f>ROUND(C71,0)</f>
        <v>1722650</v>
      </c>
      <c r="N733" s="284">
        <f>ROUND(C76,0)</f>
        <v>3000</v>
      </c>
      <c r="O733" s="284">
        <f>ROUND(C74,0)</f>
        <v>57595</v>
      </c>
      <c r="P733" s="284">
        <f>IF(C77&gt;0,ROUND(C77,0),0)</f>
        <v>802</v>
      </c>
      <c r="Q733" s="284">
        <f>IF(C78&gt;0,ROUND(C78,0),0)</f>
        <v>0</v>
      </c>
      <c r="R733" s="284">
        <f>IF(C79&gt;0,ROUND(C79,0),0)</f>
        <v>36033</v>
      </c>
      <c r="S733" s="284">
        <f>IF(C80&gt;0,ROUND(C80,0),0)</f>
        <v>7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TAL*199*6030*A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22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TAL*199*6011,6012*A</v>
      </c>
      <c r="B735" s="284">
        <f>ROUND(E59,0)</f>
        <v>2954</v>
      </c>
      <c r="C735" s="287">
        <f>ROUND(E60,2)</f>
        <v>16.510000000000002</v>
      </c>
      <c r="D735" s="284">
        <f>ROUND(E61,0)</f>
        <v>977665</v>
      </c>
      <c r="E735" s="284">
        <f>ROUND(E62,0)</f>
        <v>300176</v>
      </c>
      <c r="F735" s="284">
        <f>ROUND(E63,0)</f>
        <v>741386</v>
      </c>
      <c r="G735" s="284">
        <f>ROUND(E64,0)</f>
        <v>46169</v>
      </c>
      <c r="H735" s="284">
        <f>ROUND(E65,0)</f>
        <v>0</v>
      </c>
      <c r="I735" s="284">
        <f>ROUND(E66,0)</f>
        <v>-53043</v>
      </c>
      <c r="J735" s="284">
        <f>ROUND(E67,0)</f>
        <v>95014</v>
      </c>
      <c r="K735" s="284">
        <f>ROUND(E68,0)</f>
        <v>-6527</v>
      </c>
      <c r="L735" s="284">
        <f>ROUND(E70,0)</f>
        <v>0</v>
      </c>
      <c r="M735" s="284">
        <f>ROUND(E71,0)</f>
        <v>2102340</v>
      </c>
      <c r="N735" s="284">
        <f>ROUND(E76,0)</f>
        <v>9343</v>
      </c>
      <c r="O735" s="284">
        <f>ROUND(E74,0)</f>
        <v>745303</v>
      </c>
      <c r="P735" s="284">
        <f>IF(E77&gt;0,ROUND(E77,0),0)</f>
        <v>12837</v>
      </c>
      <c r="Q735" s="284">
        <f>IF(E78&gt;0,ROUND(E78,0),0)</f>
        <v>0</v>
      </c>
      <c r="R735" s="284">
        <f>IF(E79&gt;0,ROUND(E79,0),0)</f>
        <v>48913</v>
      </c>
      <c r="S735" s="284">
        <f>IF(E80&gt;0,ROUND(E80,0),0)</f>
        <v>14</v>
      </c>
      <c r="T735" s="287">
        <f>IF(E81&gt;0,ROUND(E81,2),0)</f>
        <v>0</v>
      </c>
      <c r="U735" s="284"/>
      <c r="X735" s="284"/>
      <c r="Y735" s="284"/>
      <c r="Z735" s="284" t="e">
        <f t="shared" si="22"/>
        <v>#DIV/0!</v>
      </c>
    </row>
    <row r="736" spans="1:84" ht="12.65" customHeight="1" x14ac:dyDescent="0.3">
      <c r="A736" s="209" t="str">
        <f>RIGHT($C$84,3)&amp;"*"&amp;RIGHT($C$83,4)&amp;"*"&amp;F$55&amp;"*"&amp;"A"</f>
        <v>TAL*199*6100*A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22"/>
        <v>#DIV/0!</v>
      </c>
    </row>
    <row r="737" spans="1:26" ht="12.65" customHeight="1" x14ac:dyDescent="0.3">
      <c r="A737" s="209" t="str">
        <f>RIGHT($C$84,3)&amp;"*"&amp;RIGHT($C$83,4)&amp;"*"&amp;G$55&amp;"*"&amp;"A"</f>
        <v>TAL*199*6120*A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22"/>
        <v>#DIV/0!</v>
      </c>
    </row>
    <row r="738" spans="1:26" ht="12.65" customHeight="1" x14ac:dyDescent="0.3">
      <c r="A738" s="209" t="str">
        <f>RIGHT($C$84,3)&amp;"*"&amp;RIGHT($C$83,4)&amp;"*"&amp;H$55&amp;"*"&amp;"A"</f>
        <v>TAL*199*6140*A</v>
      </c>
      <c r="B738" s="284">
        <f>ROUND(H59,0)</f>
        <v>3571</v>
      </c>
      <c r="C738" s="287">
        <f>ROUND(H60,2)</f>
        <v>32.97</v>
      </c>
      <c r="D738" s="284">
        <f>ROUND(H61,0)</f>
        <v>1720066</v>
      </c>
      <c r="E738" s="284">
        <f>ROUND(H62,0)</f>
        <v>603181</v>
      </c>
      <c r="F738" s="284">
        <f>ROUND(H63,0)</f>
        <v>676598</v>
      </c>
      <c r="G738" s="284">
        <f>ROUND(H64,0)</f>
        <v>13445</v>
      </c>
      <c r="H738" s="284">
        <f>ROUND(H65,0)</f>
        <v>0</v>
      </c>
      <c r="I738" s="284">
        <f>ROUND(H66,0)</f>
        <v>1266035</v>
      </c>
      <c r="J738" s="284">
        <f>ROUND(H67,0)</f>
        <v>39376</v>
      </c>
      <c r="K738" s="284">
        <f>ROUND(H68,0)</f>
        <v>0</v>
      </c>
      <c r="L738" s="284">
        <f>ROUND(H70,0)</f>
        <v>0</v>
      </c>
      <c r="M738" s="284">
        <f>ROUND(H71,0)</f>
        <v>4320568</v>
      </c>
      <c r="N738" s="284">
        <f>ROUND(H76,0)</f>
        <v>3872</v>
      </c>
      <c r="O738" s="284">
        <f>ROUND(H74,0)</f>
        <v>0</v>
      </c>
      <c r="P738" s="284">
        <f>IF(H77&gt;0,ROUND(H77,0),0)</f>
        <v>13015</v>
      </c>
      <c r="Q738" s="284">
        <f>IF(H78&gt;0,ROUND(H78,0),0)</f>
        <v>0</v>
      </c>
      <c r="R738" s="284">
        <f>IF(H79&gt;0,ROUND(H79,0),0)</f>
        <v>11944</v>
      </c>
      <c r="S738" s="284">
        <f>IF(H80&gt;0,ROUND(H80,0),0)</f>
        <v>13</v>
      </c>
      <c r="T738" s="287">
        <f>IF(H81&gt;0,ROUND(H81,2),0)</f>
        <v>0</v>
      </c>
      <c r="U738" s="284"/>
      <c r="X738" s="284"/>
      <c r="Y738" s="284"/>
      <c r="Z738" s="284" t="e">
        <f t="shared" si="22"/>
        <v>#DIV/0!</v>
      </c>
    </row>
    <row r="739" spans="1:26" ht="12.65" customHeight="1" x14ac:dyDescent="0.3">
      <c r="A739" s="209" t="str">
        <f>RIGHT($C$84,3)&amp;"*"&amp;RIGHT($C$83,4)&amp;"*"&amp;I$55&amp;"*"&amp;"A"</f>
        <v>TAL*199*6150*A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22"/>
        <v>#DIV/0!</v>
      </c>
    </row>
    <row r="740" spans="1:26" ht="12.65" customHeight="1" x14ac:dyDescent="0.3">
      <c r="A740" s="209" t="str">
        <f>RIGHT($C$84,3)&amp;"*"&amp;RIGHT($C$83,4)&amp;"*"&amp;J$55&amp;"*"&amp;"A"</f>
        <v>TAL*199*6170*A</v>
      </c>
      <c r="B740" s="284">
        <f>ROUND(J59,0)</f>
        <v>980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-21</v>
      </c>
      <c r="H740" s="284">
        <f>ROUND(J65,0)</f>
        <v>0</v>
      </c>
      <c r="I740" s="284">
        <f>ROUND(J66,0)</f>
        <v>0</v>
      </c>
      <c r="J740" s="284">
        <f>ROUND(J67,0)</f>
        <v>7119</v>
      </c>
      <c r="K740" s="284">
        <f>ROUND(J68,0)</f>
        <v>0</v>
      </c>
      <c r="L740" s="284">
        <f>ROUND(J70,0)</f>
        <v>0</v>
      </c>
      <c r="M740" s="284">
        <f>ROUND(J71,0)</f>
        <v>7098</v>
      </c>
      <c r="N740" s="284">
        <f>ROUND(J76,0)</f>
        <v>700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22"/>
        <v>#DIV/0!</v>
      </c>
    </row>
    <row r="741" spans="1:26" ht="12.65" customHeight="1" x14ac:dyDescent="0.3">
      <c r="A741" s="209" t="str">
        <f>RIGHT($C$84,3)&amp;"*"&amp;RIGHT($C$83,4)&amp;"*"&amp;K$55&amp;"*"&amp;"A"</f>
        <v>TAL*199*6200*A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22"/>
        <v>#DIV/0!</v>
      </c>
    </row>
    <row r="742" spans="1:26" ht="12.65" customHeight="1" x14ac:dyDescent="0.3">
      <c r="A742" s="209" t="str">
        <f>RIGHT($C$84,3)&amp;"*"&amp;RIGHT($C$83,4)&amp;"*"&amp;L$55&amp;"*"&amp;"A"</f>
        <v>TAL*199*6210*A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22"/>
        <v>#DIV/0!</v>
      </c>
    </row>
    <row r="743" spans="1:26" ht="12.65" customHeight="1" x14ac:dyDescent="0.3">
      <c r="A743" s="209" t="str">
        <f>RIGHT($C$84,3)&amp;"*"&amp;RIGHT($C$83,4)&amp;"*"&amp;M$55&amp;"*"&amp;"A"</f>
        <v>TAL*199*6330*A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 t="e">
        <f t="shared" si="22"/>
        <v>#DIV/0!</v>
      </c>
    </row>
    <row r="744" spans="1:26" ht="12.65" customHeight="1" x14ac:dyDescent="0.3">
      <c r="A744" s="209" t="str">
        <f>RIGHT($C$84,3)&amp;"*"&amp;RIGHT($C$83,4)&amp;"*"&amp;N$55&amp;"*"&amp;"A"</f>
        <v>TAL*199*6400*A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22"/>
        <v>#DIV/0!</v>
      </c>
    </row>
    <row r="745" spans="1:26" ht="12.65" customHeight="1" x14ac:dyDescent="0.3">
      <c r="A745" s="209" t="str">
        <f>RIGHT($C$84,3)&amp;"*"&amp;RIGHT($C$83,4)&amp;"*"&amp;O$55&amp;"*"&amp;"A"</f>
        <v>TAL*199*7010*A</v>
      </c>
      <c r="B745" s="284">
        <f>ROUND(O59,0)</f>
        <v>739</v>
      </c>
      <c r="C745" s="287">
        <f>ROUND(O60,2)</f>
        <v>14.78</v>
      </c>
      <c r="D745" s="284">
        <f>ROUND(O61,0)</f>
        <v>1407587</v>
      </c>
      <c r="E745" s="284">
        <f>ROUND(O62,0)</f>
        <v>366065</v>
      </c>
      <c r="F745" s="284">
        <f>ROUND(O63,0)</f>
        <v>161595</v>
      </c>
      <c r="G745" s="284">
        <f>ROUND(O64,0)</f>
        <v>103463</v>
      </c>
      <c r="H745" s="284">
        <f>ROUND(O65,0)</f>
        <v>0</v>
      </c>
      <c r="I745" s="284">
        <f>ROUND(O66,0)</f>
        <v>315948</v>
      </c>
      <c r="J745" s="284">
        <f>ROUND(O67,0)</f>
        <v>90153</v>
      </c>
      <c r="K745" s="284">
        <f>ROUND(O68,0)</f>
        <v>-6527</v>
      </c>
      <c r="L745" s="284">
        <f>ROUND(O70,0)</f>
        <v>0</v>
      </c>
      <c r="M745" s="284">
        <f>ROUND(O71,0)</f>
        <v>2441716</v>
      </c>
      <c r="N745" s="284">
        <f>ROUND(O76,0)</f>
        <v>8865</v>
      </c>
      <c r="O745" s="284">
        <f>ROUND(O74,0)</f>
        <v>242075</v>
      </c>
      <c r="P745" s="284">
        <f>IF(O77&gt;0,ROUND(O77,0),0)</f>
        <v>2693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12</v>
      </c>
      <c r="T745" s="287">
        <f>IF(O81&gt;0,ROUND(O81,2),0)</f>
        <v>0</v>
      </c>
      <c r="U745" s="284"/>
      <c r="X745" s="284"/>
      <c r="Y745" s="284"/>
      <c r="Z745" s="284" t="e">
        <f t="shared" si="22"/>
        <v>#DIV/0!</v>
      </c>
    </row>
    <row r="746" spans="1:26" ht="12.65" customHeight="1" x14ac:dyDescent="0.3">
      <c r="A746" s="209" t="str">
        <f>RIGHT($C$84,3)&amp;"*"&amp;RIGHT($C$83,4)&amp;"*"&amp;P$55&amp;"*"&amp;"A"</f>
        <v>TAL*199*7020*A</v>
      </c>
      <c r="B746" s="284">
        <f>ROUND(P59,0)</f>
        <v>0</v>
      </c>
      <c r="C746" s="287">
        <f>ROUND(P60,2)</f>
        <v>15.79</v>
      </c>
      <c r="D746" s="284">
        <f>ROUND(P61,0)</f>
        <v>504281</v>
      </c>
      <c r="E746" s="284">
        <f>ROUND(P62,0)</f>
        <v>168291</v>
      </c>
      <c r="F746" s="284">
        <f>ROUND(P63,0)</f>
        <v>0</v>
      </c>
      <c r="G746" s="284">
        <f>ROUND(P64,0)</f>
        <v>405599</v>
      </c>
      <c r="H746" s="284">
        <f>ROUND(P65,0)</f>
        <v>0</v>
      </c>
      <c r="I746" s="284">
        <f>ROUND(P66,0)</f>
        <v>255504</v>
      </c>
      <c r="J746" s="284">
        <f>ROUND(P67,0)</f>
        <v>24915</v>
      </c>
      <c r="K746" s="284">
        <f>ROUND(P68,0)</f>
        <v>-4255</v>
      </c>
      <c r="L746" s="284">
        <f>ROUND(P70,0)</f>
        <v>0</v>
      </c>
      <c r="M746" s="284">
        <f>ROUND(P71,0)</f>
        <v>1386538</v>
      </c>
      <c r="N746" s="284">
        <f>ROUND(P76,0)</f>
        <v>2450</v>
      </c>
      <c r="O746" s="284">
        <f>ROUND(P74,0)</f>
        <v>9511767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23069</v>
      </c>
      <c r="S746" s="284">
        <f>IF(P80&gt;0,ROUND(P80,0),0)</f>
        <v>5</v>
      </c>
      <c r="T746" s="287">
        <f>IF(P81&gt;0,ROUND(P81,2),0)</f>
        <v>0</v>
      </c>
      <c r="U746" s="284"/>
      <c r="X746" s="284"/>
      <c r="Y746" s="284"/>
      <c r="Z746" s="284" t="e">
        <f t="shared" si="22"/>
        <v>#DIV/0!</v>
      </c>
    </row>
    <row r="747" spans="1:26" ht="12.65" customHeight="1" x14ac:dyDescent="0.3">
      <c r="A747" s="209" t="str">
        <f>RIGHT($C$84,3)&amp;"*"&amp;RIGHT($C$83,4)&amp;"*"&amp;Q$55&amp;"*"&amp;"A"</f>
        <v>TAL*199*7030*A</v>
      </c>
      <c r="B747" s="284">
        <f>ROUND(Q59,0)</f>
        <v>0</v>
      </c>
      <c r="C747" s="287">
        <f>ROUND(Q60,2)</f>
        <v>2.02</v>
      </c>
      <c r="D747" s="284">
        <f>ROUND(Q61,0)</f>
        <v>189667</v>
      </c>
      <c r="E747" s="284">
        <f>ROUND(Q62,0)</f>
        <v>61117</v>
      </c>
      <c r="F747" s="284">
        <f>ROUND(Q63,0)</f>
        <v>0</v>
      </c>
      <c r="G747" s="284">
        <f>ROUND(Q64,0)</f>
        <v>24980</v>
      </c>
      <c r="H747" s="284">
        <f>ROUND(Q65,0)</f>
        <v>0</v>
      </c>
      <c r="I747" s="284">
        <f>ROUND(Q66,0)</f>
        <v>-881</v>
      </c>
      <c r="J747" s="284">
        <f>ROUND(Q67,0)</f>
        <v>39712</v>
      </c>
      <c r="K747" s="284">
        <f>ROUND(Q68,0)</f>
        <v>0</v>
      </c>
      <c r="L747" s="284">
        <f>ROUND(Q70,0)</f>
        <v>0</v>
      </c>
      <c r="M747" s="284">
        <f>ROUND(Q71,0)</f>
        <v>314594</v>
      </c>
      <c r="N747" s="284">
        <f>ROUND(Q76,0)</f>
        <v>3905</v>
      </c>
      <c r="O747" s="284">
        <f>ROUND(Q74,0)</f>
        <v>729342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2</v>
      </c>
      <c r="T747" s="287">
        <f>IF(Q81&gt;0,ROUND(Q81,2),0)</f>
        <v>0</v>
      </c>
      <c r="U747" s="284"/>
      <c r="X747" s="284"/>
      <c r="Y747" s="284"/>
      <c r="Z747" s="284" t="e">
        <f t="shared" si="22"/>
        <v>#DIV/0!</v>
      </c>
    </row>
    <row r="748" spans="1:26" ht="12.65" customHeight="1" x14ac:dyDescent="0.3">
      <c r="A748" s="209" t="str">
        <f>RIGHT($C$84,3)&amp;"*"&amp;RIGHT($C$83,4)&amp;"*"&amp;R$55&amp;"*"&amp;"A"</f>
        <v>TAL*199*7040*A</v>
      </c>
      <c r="B748" s="284">
        <f>ROUND(R59,0)</f>
        <v>0</v>
      </c>
      <c r="C748" s="287">
        <f>ROUND(R60,2)</f>
        <v>0</v>
      </c>
      <c r="D748" s="284">
        <f>ROUND(R61,0)</f>
        <v>0</v>
      </c>
      <c r="E748" s="284">
        <f>ROUND(R62,0)</f>
        <v>0</v>
      </c>
      <c r="F748" s="284">
        <f>ROUND(R63,0)</f>
        <v>16045</v>
      </c>
      <c r="G748" s="284">
        <f>ROUND(R64,0)</f>
        <v>16564</v>
      </c>
      <c r="H748" s="284">
        <f>ROUND(R65,0)</f>
        <v>0</v>
      </c>
      <c r="I748" s="284">
        <f>ROUND(R66,0)</f>
        <v>232690</v>
      </c>
      <c r="J748" s="284">
        <f>ROUND(R67,0)</f>
        <v>1627</v>
      </c>
      <c r="K748" s="284">
        <f>ROUND(R68,0)</f>
        <v>0</v>
      </c>
      <c r="L748" s="284">
        <f>ROUND(R70,0)</f>
        <v>0</v>
      </c>
      <c r="M748" s="284">
        <f>ROUND(R71,0)</f>
        <v>270743</v>
      </c>
      <c r="N748" s="284">
        <f>ROUND(R76,0)</f>
        <v>160</v>
      </c>
      <c r="O748" s="284">
        <f>ROUND(R74,0)</f>
        <v>575544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0</v>
      </c>
      <c r="T748" s="287">
        <f>IF(R81&gt;0,ROUND(R81,2),0)</f>
        <v>0</v>
      </c>
      <c r="U748" s="284"/>
      <c r="X748" s="284"/>
      <c r="Y748" s="284"/>
      <c r="Z748" s="284" t="e">
        <f t="shared" si="22"/>
        <v>#DIV/0!</v>
      </c>
    </row>
    <row r="749" spans="1:26" ht="12.65" customHeight="1" x14ac:dyDescent="0.3">
      <c r="A749" s="209" t="str">
        <f>RIGHT($C$84,3)&amp;"*"&amp;RIGHT($C$83,4)&amp;"*"&amp;S$55&amp;"*"&amp;"A"</f>
        <v>TAL*199*7050*A</v>
      </c>
      <c r="B749" s="284"/>
      <c r="C749" s="287">
        <f>ROUND(S60,2)</f>
        <v>0</v>
      </c>
      <c r="D749" s="284">
        <f>ROUND(S61,0)</f>
        <v>0</v>
      </c>
      <c r="E749" s="284">
        <f>ROUND(S62,0)</f>
        <v>0</v>
      </c>
      <c r="F749" s="284">
        <f>ROUND(S63,0)</f>
        <v>0</v>
      </c>
      <c r="G749" s="284">
        <f>ROUND(S64,0)</f>
        <v>174166</v>
      </c>
      <c r="H749" s="284">
        <f>ROUND(S65,0)</f>
        <v>0</v>
      </c>
      <c r="I749" s="284">
        <f>ROUND(S66,0)</f>
        <v>0</v>
      </c>
      <c r="J749" s="284">
        <f>ROUND(S67,0)</f>
        <v>0</v>
      </c>
      <c r="K749" s="284">
        <f>ROUND(S68,0)</f>
        <v>0</v>
      </c>
      <c r="L749" s="284">
        <f>ROUND(S70,0)</f>
        <v>0</v>
      </c>
      <c r="M749" s="284">
        <f>ROUND(S71,0)</f>
        <v>187338</v>
      </c>
      <c r="N749" s="284">
        <f>ROUND(S76,0)</f>
        <v>0</v>
      </c>
      <c r="O749" s="284">
        <f>ROUND(S74,0)</f>
        <v>485393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22"/>
        <v>#DIV/0!</v>
      </c>
    </row>
    <row r="750" spans="1:26" ht="12.65" customHeight="1" x14ac:dyDescent="0.3">
      <c r="A750" s="209" t="str">
        <f>RIGHT($C$84,3)&amp;"*"&amp;RIGHT($C$83,4)&amp;"*"&amp;T$55&amp;"*"&amp;"A"</f>
        <v>TAL*199*7060*A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22"/>
        <v>#DIV/0!</v>
      </c>
    </row>
    <row r="751" spans="1:26" ht="12.65" customHeight="1" x14ac:dyDescent="0.3">
      <c r="A751" s="209" t="str">
        <f>RIGHT($C$84,3)&amp;"*"&amp;RIGHT($C$83,4)&amp;"*"&amp;U$55&amp;"*"&amp;"A"</f>
        <v>TAL*199*7070*A</v>
      </c>
      <c r="B751" s="284">
        <f>ROUND(U59,0)</f>
        <v>0</v>
      </c>
      <c r="C751" s="287">
        <f>ROUND(U60,2)</f>
        <v>11.72</v>
      </c>
      <c r="D751" s="284">
        <f>ROUND(U61,0)</f>
        <v>628361</v>
      </c>
      <c r="E751" s="284">
        <f>ROUND(U62,0)</f>
        <v>239303</v>
      </c>
      <c r="F751" s="284">
        <f>ROUND(U63,0)</f>
        <v>79239</v>
      </c>
      <c r="G751" s="284">
        <f>ROUND(U64,0)</f>
        <v>622265</v>
      </c>
      <c r="H751" s="284">
        <f>ROUND(U65,0)</f>
        <v>0</v>
      </c>
      <c r="I751" s="284">
        <f>ROUND(U66,0)</f>
        <v>37796</v>
      </c>
      <c r="J751" s="284">
        <f>ROUND(U67,0)</f>
        <v>27875</v>
      </c>
      <c r="K751" s="284">
        <f>ROUND(U68,0)</f>
        <v>2454</v>
      </c>
      <c r="L751" s="284">
        <f>ROUND(U70,0)</f>
        <v>0</v>
      </c>
      <c r="M751" s="284">
        <f>ROUND(U71,0)</f>
        <v>1744003</v>
      </c>
      <c r="N751" s="284">
        <f>ROUND(U76,0)</f>
        <v>2741</v>
      </c>
      <c r="O751" s="284">
        <f>ROUND(U74,0)</f>
        <v>14265556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22"/>
        <v>#DIV/0!</v>
      </c>
    </row>
    <row r="752" spans="1:26" ht="12.65" customHeight="1" x14ac:dyDescent="0.3">
      <c r="A752" s="209" t="str">
        <f>RIGHT($C$84,3)&amp;"*"&amp;RIGHT($C$83,4)&amp;"*"&amp;V$55&amp;"*"&amp;"A"</f>
        <v>TAL*199*7110*A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1075590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22"/>
        <v>#DIV/0!</v>
      </c>
    </row>
    <row r="753" spans="1:26" ht="12.65" customHeight="1" x14ac:dyDescent="0.3">
      <c r="A753" s="209" t="str">
        <f>RIGHT($C$84,3)&amp;"*"&amp;RIGHT($C$83,4)&amp;"*"&amp;W$55&amp;"*"&amp;"A"</f>
        <v>TAL*199*7120*A</v>
      </c>
      <c r="B753" s="284">
        <f>ROUND(W59,0)</f>
        <v>0</v>
      </c>
      <c r="C753" s="287">
        <f>ROUND(W60,2)</f>
        <v>0.27</v>
      </c>
      <c r="D753" s="284">
        <f>ROUND(W61,0)</f>
        <v>2702</v>
      </c>
      <c r="E753" s="284">
        <f>ROUND(W62,0)</f>
        <v>820</v>
      </c>
      <c r="F753" s="284">
        <f>ROUND(W63,0)</f>
        <v>0</v>
      </c>
      <c r="G753" s="284">
        <f>ROUND(W64,0)</f>
        <v>0</v>
      </c>
      <c r="H753" s="284">
        <f>ROUND(W65,0)</f>
        <v>0</v>
      </c>
      <c r="I753" s="284">
        <f>ROUND(W66,0)</f>
        <v>120002</v>
      </c>
      <c r="J753" s="284">
        <f>ROUND(W67,0)</f>
        <v>0</v>
      </c>
      <c r="K753" s="284">
        <f>ROUND(W68,0)</f>
        <v>0</v>
      </c>
      <c r="L753" s="284">
        <f>ROUND(W70,0)</f>
        <v>0</v>
      </c>
      <c r="M753" s="284">
        <f>ROUND(W71,0)</f>
        <v>123524</v>
      </c>
      <c r="N753" s="284">
        <f>ROUND(W76,0)</f>
        <v>0</v>
      </c>
      <c r="O753" s="284">
        <f>ROUND(W74,0)</f>
        <v>885242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22"/>
        <v>#DIV/0!</v>
      </c>
    </row>
    <row r="754" spans="1:26" ht="12.65" customHeight="1" x14ac:dyDescent="0.3">
      <c r="A754" s="209" t="str">
        <f>RIGHT($C$84,3)&amp;"*"&amp;RIGHT($C$83,4)&amp;"*"&amp;X$55&amp;"*"&amp;"A"</f>
        <v>TAL*199*7130*A</v>
      </c>
      <c r="B754" s="284">
        <f>ROUND(X59,0)</f>
        <v>0</v>
      </c>
      <c r="C754" s="287">
        <f>ROUND(X60,2)</f>
        <v>0.94</v>
      </c>
      <c r="D754" s="284">
        <f>ROUND(X61,0)</f>
        <v>58233</v>
      </c>
      <c r="E754" s="284">
        <f>ROUND(X62,0)</f>
        <v>41690</v>
      </c>
      <c r="F754" s="284">
        <f>ROUND(X63,0)</f>
        <v>0</v>
      </c>
      <c r="G754" s="284">
        <f>ROUND(X64,0)</f>
        <v>29939</v>
      </c>
      <c r="H754" s="284">
        <f>ROUND(X65,0)</f>
        <v>0</v>
      </c>
      <c r="I754" s="284">
        <f>ROUND(X66,0)</f>
        <v>0</v>
      </c>
      <c r="J754" s="284">
        <f>ROUND(X67,0)</f>
        <v>0</v>
      </c>
      <c r="K754" s="284">
        <f>ROUND(X68,0)</f>
        <v>0</v>
      </c>
      <c r="L754" s="284">
        <f>ROUND(X70,0)</f>
        <v>0</v>
      </c>
      <c r="M754" s="284">
        <f>ROUND(X71,0)</f>
        <v>129862</v>
      </c>
      <c r="N754" s="284">
        <f>ROUND(X76,0)</f>
        <v>0</v>
      </c>
      <c r="O754" s="284">
        <f>ROUND(X74,0)</f>
        <v>14511709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22"/>
        <v>#DIV/0!</v>
      </c>
    </row>
    <row r="755" spans="1:26" ht="12.65" customHeight="1" x14ac:dyDescent="0.3">
      <c r="A755" s="209" t="str">
        <f>RIGHT($C$84,3)&amp;"*"&amp;RIGHT($C$83,4)&amp;"*"&amp;Y$55&amp;"*"&amp;"A"</f>
        <v>TAL*199*7140*A</v>
      </c>
      <c r="B755" s="284">
        <f>ROUND(Y59,0)</f>
        <v>0</v>
      </c>
      <c r="C755" s="287">
        <f>ROUND(Y60,2)</f>
        <v>9.75</v>
      </c>
      <c r="D755" s="284">
        <f>ROUND(Y61,0)</f>
        <v>732560</v>
      </c>
      <c r="E755" s="284">
        <f>ROUND(Y62,0)</f>
        <v>210937</v>
      </c>
      <c r="F755" s="284">
        <f>ROUND(Y63,0)</f>
        <v>0</v>
      </c>
      <c r="G755" s="284">
        <f>ROUND(Y64,0)</f>
        <v>10669</v>
      </c>
      <c r="H755" s="284">
        <f>ROUND(Y65,0)</f>
        <v>0</v>
      </c>
      <c r="I755" s="284">
        <f>ROUND(Y66,0)</f>
        <v>130138</v>
      </c>
      <c r="J755" s="284">
        <f>ROUND(Y67,0)</f>
        <v>41471</v>
      </c>
      <c r="K755" s="284">
        <f>ROUND(Y68,0)</f>
        <v>0</v>
      </c>
      <c r="L755" s="284">
        <f>ROUND(Y70,0)</f>
        <v>0</v>
      </c>
      <c r="M755" s="284">
        <f>ROUND(Y71,0)</f>
        <v>1224869</v>
      </c>
      <c r="N755" s="284">
        <f>ROUND(Y76,0)</f>
        <v>4078</v>
      </c>
      <c r="O755" s="284">
        <f>ROUND(Y74,0)</f>
        <v>8962306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20762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 t="e">
        <f t="shared" si="22"/>
        <v>#DIV/0!</v>
      </c>
    </row>
    <row r="756" spans="1:26" ht="12.65" customHeight="1" x14ac:dyDescent="0.3">
      <c r="A756" s="209" t="str">
        <f>RIGHT($C$84,3)&amp;"*"&amp;RIGHT($C$83,4)&amp;"*"&amp;Z$55&amp;"*"&amp;"A"</f>
        <v>TAL*199*7150*A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>
        <f>ROUND(Z62,0)</f>
        <v>0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>
        <f>ROUND(Z67,0)</f>
        <v>0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22"/>
        <v>#DIV/0!</v>
      </c>
    </row>
    <row r="757" spans="1:26" ht="12.65" customHeight="1" x14ac:dyDescent="0.3">
      <c r="A757" s="209" t="str">
        <f>RIGHT($C$84,3)&amp;"*"&amp;RIGHT($C$83,4)&amp;"*"&amp;AA$55&amp;"*"&amp;"A"</f>
        <v>TAL*199*7160*A</v>
      </c>
      <c r="B757" s="284">
        <f>ROUND(AA59,0)</f>
        <v>0</v>
      </c>
      <c r="C757" s="287">
        <f>ROUND(AA60,2)</f>
        <v>0</v>
      </c>
      <c r="D757" s="284">
        <f>ROUND(AA61,0)</f>
        <v>0</v>
      </c>
      <c r="E757" s="284">
        <f>ROUND(AA62,0)</f>
        <v>0</v>
      </c>
      <c r="F757" s="284">
        <f>ROUND(AA63,0)</f>
        <v>0</v>
      </c>
      <c r="G757" s="284">
        <f>ROUND(AA64,0)</f>
        <v>0</v>
      </c>
      <c r="H757" s="284">
        <f>ROUND(AA65,0)</f>
        <v>0</v>
      </c>
      <c r="I757" s="284">
        <f>ROUND(AA66,0)</f>
        <v>20634</v>
      </c>
      <c r="J757" s="284">
        <f>ROUND(AA67,0)</f>
        <v>0</v>
      </c>
      <c r="K757" s="284">
        <f>ROUND(AA68,0)</f>
        <v>0</v>
      </c>
      <c r="L757" s="284">
        <f>ROUND(AA70,0)</f>
        <v>0</v>
      </c>
      <c r="M757" s="284">
        <f>ROUND(AA71,0)</f>
        <v>20634</v>
      </c>
      <c r="N757" s="284">
        <f>ROUND(AA76,0)</f>
        <v>0</v>
      </c>
      <c r="O757" s="284">
        <f>ROUND(AA74,0)</f>
        <v>0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22"/>
        <v>#DIV/0!</v>
      </c>
    </row>
    <row r="758" spans="1:26" ht="12.65" customHeight="1" x14ac:dyDescent="0.3">
      <c r="A758" s="209" t="str">
        <f>RIGHT($C$84,3)&amp;"*"&amp;RIGHT($C$83,4)&amp;"*"&amp;AB$55&amp;"*"&amp;"A"</f>
        <v>TAL*199*7170*A</v>
      </c>
      <c r="B758" s="284"/>
      <c r="C758" s="287">
        <f>ROUND(AB60,2)</f>
        <v>3.85</v>
      </c>
      <c r="D758" s="284">
        <f>ROUND(AB61,0)</f>
        <v>324478</v>
      </c>
      <c r="E758" s="284">
        <f>ROUND(AB62,0)</f>
        <v>102190</v>
      </c>
      <c r="F758" s="284">
        <f>ROUND(AB63,0)</f>
        <v>0</v>
      </c>
      <c r="G758" s="284">
        <f>ROUND(AB64,0)</f>
        <v>331013</v>
      </c>
      <c r="H758" s="284">
        <f>ROUND(AB65,0)</f>
        <v>0</v>
      </c>
      <c r="I758" s="284">
        <f>ROUND(AB66,0)</f>
        <v>18215</v>
      </c>
      <c r="J758" s="284">
        <f>ROUND(AB67,0)</f>
        <v>10800</v>
      </c>
      <c r="K758" s="284">
        <f>ROUND(AB68,0)</f>
        <v>0</v>
      </c>
      <c r="L758" s="284">
        <f>ROUND(AB70,0)</f>
        <v>0</v>
      </c>
      <c r="M758" s="284">
        <f>ROUND(AB71,0)</f>
        <v>821475</v>
      </c>
      <c r="N758" s="284">
        <f>ROUND(AB76,0)</f>
        <v>1062</v>
      </c>
      <c r="O758" s="284">
        <f>ROUND(AB74,0)</f>
        <v>2997383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22"/>
        <v>#DIV/0!</v>
      </c>
    </row>
    <row r="759" spans="1:26" ht="12.65" customHeight="1" x14ac:dyDescent="0.3">
      <c r="A759" s="209" t="str">
        <f>RIGHT($C$84,3)&amp;"*"&amp;RIGHT($C$83,4)&amp;"*"&amp;AC$55&amp;"*"&amp;"A"</f>
        <v>TAL*199*7180*A</v>
      </c>
      <c r="B759" s="284">
        <f>ROUND(AC59,0)</f>
        <v>0</v>
      </c>
      <c r="C759" s="287">
        <f>ROUND(AC60,2)</f>
        <v>5.07</v>
      </c>
      <c r="D759" s="284">
        <f>ROUND(AC61,0)</f>
        <v>333312</v>
      </c>
      <c r="E759" s="284">
        <f>ROUND(AC62,0)</f>
        <v>112872</v>
      </c>
      <c r="F759" s="284">
        <f>ROUND(AC63,0)</f>
        <v>0</v>
      </c>
      <c r="G759" s="284">
        <f>ROUND(AC64,0)</f>
        <v>12990</v>
      </c>
      <c r="H759" s="284">
        <f>ROUND(AC65,0)</f>
        <v>0</v>
      </c>
      <c r="I759" s="284">
        <f>ROUND(AC66,0)</f>
        <v>63294</v>
      </c>
      <c r="J759" s="284">
        <f>ROUND(AC67,0)</f>
        <v>8563</v>
      </c>
      <c r="K759" s="284">
        <f>ROUND(AC68,0)</f>
        <v>18915</v>
      </c>
      <c r="L759" s="284">
        <f>ROUND(AC70,0)</f>
        <v>0</v>
      </c>
      <c r="M759" s="284">
        <f>ROUND(AC71,0)</f>
        <v>555323</v>
      </c>
      <c r="N759" s="284">
        <f>ROUND(AC76,0)</f>
        <v>842</v>
      </c>
      <c r="O759" s="284">
        <f>ROUND(AC74,0)</f>
        <v>450248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22"/>
        <v>#DIV/0!</v>
      </c>
    </row>
    <row r="760" spans="1:26" ht="12.65" customHeight="1" x14ac:dyDescent="0.3">
      <c r="A760" s="209" t="str">
        <f>RIGHT($C$84,3)&amp;"*"&amp;RIGHT($C$83,4)&amp;"*"&amp;AD$55&amp;"*"&amp;"A"</f>
        <v>TAL*199*7190*A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22"/>
        <v>#DIV/0!</v>
      </c>
    </row>
    <row r="761" spans="1:26" ht="12.65" customHeight="1" x14ac:dyDescent="0.3">
      <c r="A761" s="209" t="str">
        <f>RIGHT($C$84,3)&amp;"*"&amp;RIGHT($C$83,4)&amp;"*"&amp;AE$55&amp;"*"&amp;"A"</f>
        <v>TAL*199*7200*A</v>
      </c>
      <c r="B761" s="284">
        <f>ROUND(AE59,0)</f>
        <v>0</v>
      </c>
      <c r="C761" s="287">
        <f>ROUND(AE60,2)</f>
        <v>0</v>
      </c>
      <c r="D761" s="284">
        <f>ROUND(AE61,0)</f>
        <v>0</v>
      </c>
      <c r="E761" s="284">
        <f>ROUND(AE62,0)</f>
        <v>0</v>
      </c>
      <c r="F761" s="284">
        <f>ROUND(AE63,0)</f>
        <v>4658</v>
      </c>
      <c r="G761" s="284">
        <f>ROUND(AE64,0)</f>
        <v>205</v>
      </c>
      <c r="H761" s="284">
        <f>ROUND(AE65,0)</f>
        <v>0</v>
      </c>
      <c r="I761" s="284">
        <f>ROUND(AE66,0)</f>
        <v>1922</v>
      </c>
      <c r="J761" s="284">
        <f>ROUND(AE67,0)</f>
        <v>5593</v>
      </c>
      <c r="K761" s="284">
        <f>ROUND(AE68,0)</f>
        <v>0</v>
      </c>
      <c r="L761" s="284">
        <f>ROUND(AE70,0)</f>
        <v>0</v>
      </c>
      <c r="M761" s="284">
        <f>ROUND(AE71,0)</f>
        <v>12377</v>
      </c>
      <c r="N761" s="284">
        <f>ROUND(AE76,0)</f>
        <v>550</v>
      </c>
      <c r="O761" s="284">
        <f>ROUND(AE74,0)</f>
        <v>148271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22"/>
        <v>#DIV/0!</v>
      </c>
    </row>
    <row r="762" spans="1:26" ht="12.65" customHeight="1" x14ac:dyDescent="0.3">
      <c r="A762" s="209" t="str">
        <f>RIGHT($C$84,3)&amp;"*"&amp;RIGHT($C$83,4)&amp;"*"&amp;AF$55&amp;"*"&amp;"A"</f>
        <v>TAL*199*7220*A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22"/>
        <v>#DIV/0!</v>
      </c>
    </row>
    <row r="763" spans="1:26" ht="12.65" customHeight="1" x14ac:dyDescent="0.3">
      <c r="A763" s="209" t="str">
        <f>RIGHT($C$84,3)&amp;"*"&amp;RIGHT($C$83,4)&amp;"*"&amp;AG$55&amp;"*"&amp;"A"</f>
        <v>TAL*199*7230*A</v>
      </c>
      <c r="B763" s="284">
        <f>ROUND(AG59,0)</f>
        <v>0</v>
      </c>
      <c r="C763" s="287">
        <f>ROUND(AG60,2)</f>
        <v>24.86</v>
      </c>
      <c r="D763" s="284">
        <f>ROUND(AG61,0)</f>
        <v>1711351</v>
      </c>
      <c r="E763" s="284">
        <f>ROUND(AG62,0)</f>
        <v>554633</v>
      </c>
      <c r="F763" s="284">
        <f>ROUND(AG63,0)</f>
        <v>1232686</v>
      </c>
      <c r="G763" s="284">
        <f>ROUND(AG64,0)</f>
        <v>203986</v>
      </c>
      <c r="H763" s="284">
        <f>ROUND(AG65,0)</f>
        <v>0</v>
      </c>
      <c r="I763" s="284">
        <f>ROUND(AG66,0)</f>
        <v>145163</v>
      </c>
      <c r="J763" s="284">
        <f>ROUND(AG67,0)</f>
        <v>47044</v>
      </c>
      <c r="K763" s="284">
        <f>ROUND(AG68,0)</f>
        <v>-6527</v>
      </c>
      <c r="L763" s="284">
        <f>ROUND(AG70,0)</f>
        <v>0</v>
      </c>
      <c r="M763" s="284">
        <f>ROUND(AG71,0)</f>
        <v>3907695</v>
      </c>
      <c r="N763" s="284">
        <f>ROUND(AG76,0)</f>
        <v>4626</v>
      </c>
      <c r="O763" s="284">
        <f>ROUND(AG74,0)</f>
        <v>20644167</v>
      </c>
      <c r="P763" s="284">
        <f>IF(AG77&gt;0,ROUND(AG77,0),0)</f>
        <v>0</v>
      </c>
      <c r="Q763" s="284">
        <f>IF(AG78&gt;0,ROUND(AG78,0),0)</f>
        <v>0</v>
      </c>
      <c r="R763" s="284">
        <f>IF(AG79&gt;0,ROUND(AG79,0),0)</f>
        <v>89969</v>
      </c>
      <c r="S763" s="284">
        <f>IF(AG80&gt;0,ROUND(AG80,0),0)</f>
        <v>15</v>
      </c>
      <c r="T763" s="287">
        <f>IF(AG81&gt;0,ROUND(AG81,2),0)</f>
        <v>0</v>
      </c>
      <c r="U763" s="284"/>
      <c r="X763" s="284"/>
      <c r="Y763" s="284"/>
      <c r="Z763" s="284" t="e">
        <f t="shared" si="22"/>
        <v>#DIV/0!</v>
      </c>
    </row>
    <row r="764" spans="1:26" ht="12.65" customHeight="1" x14ac:dyDescent="0.3">
      <c r="A764" s="209" t="str">
        <f>RIGHT($C$84,3)&amp;"*"&amp;RIGHT($C$83,4)&amp;"*"&amp;AH$55&amp;"*"&amp;"A"</f>
        <v>TAL*199*7240*A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22"/>
        <v>#DIV/0!</v>
      </c>
    </row>
    <row r="765" spans="1:26" ht="12.65" customHeight="1" x14ac:dyDescent="0.3">
      <c r="A765" s="209" t="str">
        <f>RIGHT($C$84,3)&amp;"*"&amp;RIGHT($C$83,4)&amp;"*"&amp;AI$55&amp;"*"&amp;"A"</f>
        <v>TAL*199*7250*A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22"/>
        <v>#DIV/0!</v>
      </c>
    </row>
    <row r="766" spans="1:26" ht="12.65" customHeight="1" x14ac:dyDescent="0.3">
      <c r="A766" s="209" t="str">
        <f>RIGHT($C$84,3)&amp;"*"&amp;RIGHT($C$83,4)&amp;"*"&amp;AJ$55&amp;"*"&amp;"A"</f>
        <v>TAL*199*7260*A</v>
      </c>
      <c r="B766" s="284">
        <f>ROUND(AJ59,0)</f>
        <v>0</v>
      </c>
      <c r="C766" s="287">
        <f>ROUND(AJ60,2)</f>
        <v>39.46</v>
      </c>
      <c r="D766" s="284">
        <f>ROUND(AJ61,0)</f>
        <v>4126818</v>
      </c>
      <c r="E766" s="284">
        <f>ROUND(AJ62,0)</f>
        <v>1091859</v>
      </c>
      <c r="F766" s="284">
        <f>ROUND(AJ63,0)</f>
        <v>1665</v>
      </c>
      <c r="G766" s="284">
        <f>ROUND(AJ64,0)</f>
        <v>167818</v>
      </c>
      <c r="H766" s="284">
        <f>ROUND(AJ65,0)</f>
        <v>55672</v>
      </c>
      <c r="I766" s="284">
        <f>ROUND(AJ66,0)</f>
        <v>388608</v>
      </c>
      <c r="J766" s="284">
        <f>ROUND(AJ67,0)</f>
        <v>0</v>
      </c>
      <c r="K766" s="284">
        <f>ROUND(AJ68,0)</f>
        <v>354008</v>
      </c>
      <c r="L766" s="284">
        <f>ROUND(AJ70,0)</f>
        <v>0</v>
      </c>
      <c r="M766" s="284">
        <f>ROUND(AJ71,0)</f>
        <v>6266757</v>
      </c>
      <c r="N766" s="284">
        <f>ROUND(AJ76,0)</f>
        <v>0</v>
      </c>
      <c r="O766" s="284">
        <f>ROUND(AJ74,0)</f>
        <v>20091795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1</v>
      </c>
      <c r="T766" s="287">
        <f>IF(AJ81&gt;0,ROUND(AJ81,2),0)</f>
        <v>0</v>
      </c>
      <c r="U766" s="284"/>
      <c r="X766" s="284"/>
      <c r="Y766" s="284"/>
      <c r="Z766" s="284" t="e">
        <f t="shared" si="22"/>
        <v>#DIV/0!</v>
      </c>
    </row>
    <row r="767" spans="1:26" ht="12.65" customHeight="1" x14ac:dyDescent="0.3">
      <c r="A767" s="209" t="str">
        <f>RIGHT($C$84,3)&amp;"*"&amp;RIGHT($C$83,4)&amp;"*"&amp;AK$55&amp;"*"&amp;"A"</f>
        <v>TAL*199*7310*A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>
        <f>ROUND(AK62,0)</f>
        <v>0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23793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22"/>
        <v>#DIV/0!</v>
      </c>
    </row>
    <row r="768" spans="1:26" ht="12.65" customHeight="1" x14ac:dyDescent="0.3">
      <c r="A768" s="209" t="str">
        <f>RIGHT($C$84,3)&amp;"*"&amp;RIGHT($C$83,4)&amp;"*"&amp;AL$55&amp;"*"&amp;"A"</f>
        <v>TAL*199*7320*A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>
        <f>ROUND(AL62,0)</f>
        <v>0</v>
      </c>
      <c r="F768" s="284">
        <f>ROUND(AL63,0)</f>
        <v>10624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10624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22"/>
        <v>#DIV/0!</v>
      </c>
    </row>
    <row r="769" spans="1:26" ht="12.65" customHeight="1" x14ac:dyDescent="0.3">
      <c r="A769" s="209" t="str">
        <f>RIGHT($C$84,3)&amp;"*"&amp;RIGHT($C$83,4)&amp;"*"&amp;AM$55&amp;"*"&amp;"A"</f>
        <v>TAL*199*7330*A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22"/>
        <v>#DIV/0!</v>
      </c>
    </row>
    <row r="770" spans="1:26" ht="12.65" customHeight="1" x14ac:dyDescent="0.3">
      <c r="A770" s="209" t="str">
        <f>RIGHT($C$84,3)&amp;"*"&amp;RIGHT($C$83,4)&amp;"*"&amp;AN$55&amp;"*"&amp;"A"</f>
        <v>TAL*199*7340*A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22"/>
        <v>#DIV/0!</v>
      </c>
    </row>
    <row r="771" spans="1:26" ht="12.65" customHeight="1" x14ac:dyDescent="0.3">
      <c r="A771" s="209" t="str">
        <f>RIGHT($C$84,3)&amp;"*"&amp;RIGHT($C$83,4)&amp;"*"&amp;AO$55&amp;"*"&amp;"A"</f>
        <v>TAL*199*7350*A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119011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 t="e">
        <f t="shared" si="22"/>
        <v>#DIV/0!</v>
      </c>
    </row>
    <row r="772" spans="1:26" ht="12.65" customHeight="1" x14ac:dyDescent="0.3">
      <c r="A772" s="209" t="str">
        <f>RIGHT($C$84,3)&amp;"*"&amp;RIGHT($C$83,4)&amp;"*"&amp;AP$55&amp;"*"&amp;"A"</f>
        <v>TAL*199*7380*A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>
        <f>ROUND(AP62,0)</f>
        <v>0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22"/>
        <v>#DIV/0!</v>
      </c>
    </row>
    <row r="773" spans="1:26" ht="12.65" customHeight="1" x14ac:dyDescent="0.3">
      <c r="A773" s="209" t="str">
        <f>RIGHT($C$84,3)&amp;"*"&amp;RIGHT($C$83,4)&amp;"*"&amp;AQ$55&amp;"*"&amp;"A"</f>
        <v>TAL*199*7390*A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22"/>
        <v>#DIV/0!</v>
      </c>
    </row>
    <row r="774" spans="1:26" ht="12.65" customHeight="1" x14ac:dyDescent="0.3">
      <c r="A774" s="209" t="str">
        <f>RIGHT($C$84,3)&amp;"*"&amp;RIGHT($C$83,4)&amp;"*"&amp;AR$55&amp;"*"&amp;"A"</f>
        <v>TAL*199*7400*A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 t="e">
        <f t="shared" si="22"/>
        <v>#DIV/0!</v>
      </c>
    </row>
    <row r="775" spans="1:26" ht="12.65" customHeight="1" x14ac:dyDescent="0.3">
      <c r="A775" s="209" t="str">
        <f>RIGHT($C$84,3)&amp;"*"&amp;RIGHT($C$83,4)&amp;"*"&amp;AS$55&amp;"*"&amp;"A"</f>
        <v>TAL*199*7410*A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22"/>
        <v>#DIV/0!</v>
      </c>
    </row>
    <row r="776" spans="1:26" ht="12.65" customHeight="1" x14ac:dyDescent="0.3">
      <c r="A776" s="209" t="str">
        <f>RIGHT($C$84,3)&amp;"*"&amp;RIGHT($C$83,4)&amp;"*"&amp;AT$55&amp;"*"&amp;"A"</f>
        <v>TAL*199*7420*A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22"/>
        <v>#DIV/0!</v>
      </c>
    </row>
    <row r="777" spans="1:26" ht="12.65" customHeight="1" x14ac:dyDescent="0.3">
      <c r="A777" s="209" t="str">
        <f>RIGHT($C$84,3)&amp;"*"&amp;RIGHT($C$83,4)&amp;"*"&amp;AU$55&amp;"*"&amp;"A"</f>
        <v>TAL*199*7430*A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22"/>
        <v>#DIV/0!</v>
      </c>
    </row>
    <row r="778" spans="1:26" ht="12.65" customHeight="1" x14ac:dyDescent="0.3">
      <c r="A778" s="209" t="str">
        <f>RIGHT($C$84,3)&amp;"*"&amp;RIGHT($C$83,4)&amp;"*"&amp;AV$55&amp;"*"&amp;"A"</f>
        <v>TAL*199*7490*A</v>
      </c>
      <c r="B778" s="284"/>
      <c r="C778" s="287">
        <f>ROUND(AV60,2)</f>
        <v>0</v>
      </c>
      <c r="D778" s="284">
        <f>ROUND(AV61,0)</f>
        <v>0</v>
      </c>
      <c r="E778" s="284">
        <f>ROUND(AV62,0)</f>
        <v>0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>
        <f>ROUND(AV67,0)</f>
        <v>0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85954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22"/>
        <v>#DIV/0!</v>
      </c>
    </row>
    <row r="779" spans="1:26" ht="12.65" customHeight="1" x14ac:dyDescent="0.3">
      <c r="A779" s="209" t="str">
        <f>RIGHT($C$84,3)&amp;"*"&amp;RIGHT($C$83,4)&amp;"*"&amp;AW$55&amp;"*"&amp;"A"</f>
        <v>TAL*199*8200*A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">
      <c r="A780" s="209" t="str">
        <f>RIGHT($C$84,3)&amp;"*"&amp;RIGHT($C$83,4)&amp;"*"&amp;AX$55&amp;"*"&amp;"A"</f>
        <v>TAL*199*8310*A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">
      <c r="A781" s="209" t="str">
        <f>RIGHT($C$84,3)&amp;"*"&amp;RIGHT($C$83,4)&amp;"*"&amp;AY$55&amp;"*"&amp;"A"</f>
        <v>TAL*199*8320*A</v>
      </c>
      <c r="B781" s="284">
        <f>ROUND(AY59,0)</f>
        <v>29347</v>
      </c>
      <c r="C781" s="287">
        <f>ROUND(AY60,2)</f>
        <v>0.7</v>
      </c>
      <c r="D781" s="284">
        <f>ROUND(AY61,0)</f>
        <v>5936</v>
      </c>
      <c r="E781" s="284">
        <f>ROUND(AY62,0)</f>
        <v>696</v>
      </c>
      <c r="F781" s="284">
        <f>ROUND(AY63,0)</f>
        <v>0</v>
      </c>
      <c r="G781" s="284">
        <f>ROUND(AY64,0)</f>
        <v>203791</v>
      </c>
      <c r="H781" s="284">
        <f>ROUND(AY65,0)</f>
        <v>0</v>
      </c>
      <c r="I781" s="284">
        <f>ROUND(AY66,0)</f>
        <v>5340</v>
      </c>
      <c r="J781" s="284">
        <f>ROUND(AY67,0)</f>
        <v>16912</v>
      </c>
      <c r="K781" s="284">
        <f>ROUND(AY68,0)</f>
        <v>0</v>
      </c>
      <c r="L781" s="284">
        <f>ROUND(AY70,0)</f>
        <v>0</v>
      </c>
      <c r="M781" s="284">
        <f>ROUND(AY71,0)</f>
        <v>235664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">
      <c r="A782" s="209" t="str">
        <f>RIGHT($C$84,3)&amp;"*"&amp;RIGHT($C$83,4)&amp;"*"&amp;AZ$55&amp;"*"&amp;"A"</f>
        <v>TAL*199*8330*A</v>
      </c>
      <c r="B782" s="284">
        <f>ROUND(AZ59,0)</f>
        <v>0</v>
      </c>
      <c r="C782" s="287">
        <f>ROUND(AZ60,2)</f>
        <v>7.04</v>
      </c>
      <c r="D782" s="284">
        <f>ROUND(AZ61,0)</f>
        <v>233250</v>
      </c>
      <c r="E782" s="284">
        <f>ROUND(AZ62,0)</f>
        <v>87254</v>
      </c>
      <c r="F782" s="284">
        <f>ROUND(AZ63,0)</f>
        <v>0</v>
      </c>
      <c r="G782" s="284">
        <f>ROUND(AZ64,0)</f>
        <v>30384</v>
      </c>
      <c r="H782" s="284">
        <f>ROUND(AZ65,0)</f>
        <v>0</v>
      </c>
      <c r="I782" s="284">
        <f>ROUND(AZ66,0)</f>
        <v>180240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532827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">
      <c r="A783" s="209" t="str">
        <f>RIGHT($C$84,3)&amp;"*"&amp;RIGHT($C$83,4)&amp;"*"&amp;BA$55&amp;"*"&amp;"A"</f>
        <v>TAL*199*8350*A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46</v>
      </c>
      <c r="J783" s="284">
        <f>ROUND(BA67,0)</f>
        <v>0</v>
      </c>
      <c r="K783" s="284">
        <f>ROUND(BA68,0)</f>
        <v>0</v>
      </c>
      <c r="L783" s="284">
        <f>ROUND(BA70,0)</f>
        <v>0</v>
      </c>
      <c r="M783" s="284">
        <f>ROUND(BA71,0)</f>
        <v>46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">
      <c r="A784" s="209" t="str">
        <f>RIGHT($C$84,3)&amp;"*"&amp;RIGHT($C$83,4)&amp;"*"&amp;BB$55&amp;"*"&amp;"A"</f>
        <v>TAL*199*8360*A</v>
      </c>
      <c r="B784" s="284"/>
      <c r="C784" s="287">
        <f>ROUND(BB60,2)</f>
        <v>0</v>
      </c>
      <c r="D784" s="284">
        <f>ROUND(BB61,0)</f>
        <v>0</v>
      </c>
      <c r="E784" s="284">
        <f>ROUND(BB62,0)</f>
        <v>0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>
        <f>ROUND(BB67,0)</f>
        <v>0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">
      <c r="A785" s="209" t="str">
        <f>RIGHT($C$84,3)&amp;"*"&amp;RIGHT($C$83,4)&amp;"*"&amp;BC$55&amp;"*"&amp;"A"</f>
        <v>TAL*199*8370*A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">
      <c r="A786" s="209" t="str">
        <f>RIGHT($C$84,3)&amp;"*"&amp;RIGHT($C$83,4)&amp;"*"&amp;BD$55&amp;"*"&amp;"A"</f>
        <v>TAL*199*8420*A</v>
      </c>
      <c r="B786" s="284"/>
      <c r="C786" s="287">
        <f>ROUND(BD60,2)</f>
        <v>3.56</v>
      </c>
      <c r="D786" s="284">
        <f>ROUND(BD61,0)</f>
        <v>134049</v>
      </c>
      <c r="E786" s="284">
        <f>ROUND(BD62,0)</f>
        <v>49696</v>
      </c>
      <c r="F786" s="284">
        <f>ROUND(BD63,0)</f>
        <v>0</v>
      </c>
      <c r="G786" s="284">
        <f>ROUND(BD64,0)</f>
        <v>44522</v>
      </c>
      <c r="H786" s="284">
        <f>ROUND(BD65,0)</f>
        <v>0</v>
      </c>
      <c r="I786" s="284">
        <f>ROUND(BD66,0)</f>
        <v>7364</v>
      </c>
      <c r="J786" s="284">
        <f>ROUND(BD67,0)</f>
        <v>21641</v>
      </c>
      <c r="K786" s="284">
        <f>ROUND(BD68,0)</f>
        <v>0</v>
      </c>
      <c r="L786" s="284">
        <f>ROUND(BD70,0)</f>
        <v>0</v>
      </c>
      <c r="M786" s="284">
        <f>ROUND(BD71,0)</f>
        <v>200926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">
      <c r="A787" s="209" t="str">
        <f>RIGHT($C$84,3)&amp;"*"&amp;RIGHT($C$83,4)&amp;"*"&amp;BE$55&amp;"*"&amp;"A"</f>
        <v>TAL*199*8430*A</v>
      </c>
      <c r="B787" s="284">
        <f>ROUND(BE59,0)</f>
        <v>70293</v>
      </c>
      <c r="C787" s="287">
        <f>ROUND(BE60,2)</f>
        <v>2.1800000000000002</v>
      </c>
      <c r="D787" s="284">
        <f>ROUND(BE61,0)</f>
        <v>107878</v>
      </c>
      <c r="E787" s="284">
        <f>ROUND(BE62,0)</f>
        <v>48215</v>
      </c>
      <c r="F787" s="284">
        <f>ROUND(BE63,0)</f>
        <v>0</v>
      </c>
      <c r="G787" s="284">
        <f>ROUND(BE64,0)</f>
        <v>2675</v>
      </c>
      <c r="H787" s="284">
        <f>ROUND(BE65,0)</f>
        <v>398120</v>
      </c>
      <c r="I787" s="284">
        <f>ROUND(BE66,0)</f>
        <v>225570</v>
      </c>
      <c r="J787" s="284">
        <f>ROUND(BE67,0)</f>
        <v>31597</v>
      </c>
      <c r="K787" s="284">
        <f>ROUND(BE68,0)</f>
        <v>22635</v>
      </c>
      <c r="L787" s="284">
        <f>ROUND(BE70,0)</f>
        <v>0</v>
      </c>
      <c r="M787" s="284">
        <f>ROUND(BE71,0)</f>
        <v>867627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">
      <c r="A788" s="209" t="str">
        <f>RIGHT($C$84,3)&amp;"*"&amp;RIGHT($C$83,4)&amp;"*"&amp;BF$55&amp;"*"&amp;"A"</f>
        <v>TAL*199*8460*A</v>
      </c>
      <c r="B788" s="284"/>
      <c r="C788" s="287">
        <f>ROUND(BF60,2)</f>
        <v>7.29</v>
      </c>
      <c r="D788" s="284">
        <f>ROUND(BF61,0)</f>
        <v>230725</v>
      </c>
      <c r="E788" s="284">
        <f>ROUND(BF62,0)</f>
        <v>127545</v>
      </c>
      <c r="F788" s="284">
        <f>ROUND(BF63,0)</f>
        <v>0</v>
      </c>
      <c r="G788" s="284">
        <f>ROUND(BF64,0)</f>
        <v>87665</v>
      </c>
      <c r="H788" s="284">
        <f>ROUND(BF65,0)</f>
        <v>0</v>
      </c>
      <c r="I788" s="284">
        <f>ROUND(BF66,0)</f>
        <v>0</v>
      </c>
      <c r="J788" s="284">
        <f>ROUND(BF67,0)</f>
        <v>8115</v>
      </c>
      <c r="K788" s="284">
        <f>ROUND(BF68,0)</f>
        <v>0</v>
      </c>
      <c r="L788" s="284">
        <f>ROUND(BF70,0)</f>
        <v>0</v>
      </c>
      <c r="M788" s="284">
        <f>ROUND(BF71,0)</f>
        <v>455154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">
      <c r="A789" s="209" t="str">
        <f>RIGHT($C$84,3)&amp;"*"&amp;RIGHT($C$83,4)&amp;"*"&amp;BG$55&amp;"*"&amp;"A"</f>
        <v>TAL*199*8470*A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8929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8929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">
      <c r="A790" s="209" t="str">
        <f>RIGHT($C$84,3)&amp;"*"&amp;RIGHT($C$83,4)&amp;"*"&amp;BH$55&amp;"*"&amp;"A"</f>
        <v>TAL*199*8480*A</v>
      </c>
      <c r="B790" s="284"/>
      <c r="C790" s="287">
        <f>ROUND(BH60,2)</f>
        <v>0.23</v>
      </c>
      <c r="D790" s="284">
        <f>ROUND(BH61,0)</f>
        <v>15902</v>
      </c>
      <c r="E790" s="284">
        <f>ROUND(BH62,0)</f>
        <v>1646</v>
      </c>
      <c r="F790" s="284">
        <f>ROUND(BH63,0)</f>
        <v>0</v>
      </c>
      <c r="G790" s="284">
        <f>ROUND(BH64,0)</f>
        <v>5325</v>
      </c>
      <c r="H790" s="284">
        <f>ROUND(BH65,0)</f>
        <v>9585</v>
      </c>
      <c r="I790" s="284">
        <f>ROUND(BH66,0)</f>
        <v>1362</v>
      </c>
      <c r="J790" s="284">
        <f>ROUND(BH67,0)</f>
        <v>2847</v>
      </c>
      <c r="K790" s="284">
        <f>ROUND(BH68,0)</f>
        <v>0</v>
      </c>
      <c r="L790" s="284">
        <f>ROUND(BH70,0)</f>
        <v>0</v>
      </c>
      <c r="M790" s="284">
        <f>ROUND(BH71,0)</f>
        <v>37265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">
      <c r="A791" s="209" t="str">
        <f>RIGHT($C$84,3)&amp;"*"&amp;RIGHT($C$83,4)&amp;"*"&amp;BI$55&amp;"*"&amp;"A"</f>
        <v>TAL*199*8490*A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">
      <c r="A792" s="209" t="str">
        <f>RIGHT($C$84,3)&amp;"*"&amp;RIGHT($C$83,4)&amp;"*"&amp;BJ$55&amp;"*"&amp;"A"</f>
        <v>TAL*199*8510*A</v>
      </c>
      <c r="B792" s="284"/>
      <c r="C792" s="287">
        <f>ROUND(BJ60,2)</f>
        <v>0</v>
      </c>
      <c r="D792" s="284">
        <f>ROUND(BJ61,0)</f>
        <v>0</v>
      </c>
      <c r="E792" s="284">
        <f>ROUND(BJ62,0)</f>
        <v>0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0</v>
      </c>
      <c r="J792" s="284">
        <f>ROUND(BJ67,0)</f>
        <v>0</v>
      </c>
      <c r="K792" s="284">
        <f>ROUND(BJ68,0)</f>
        <v>0</v>
      </c>
      <c r="L792" s="284">
        <f>ROUND(BJ70,0)</f>
        <v>0</v>
      </c>
      <c r="M792" s="284">
        <f>ROUND(BJ71,0)</f>
        <v>0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">
      <c r="A793" s="209" t="str">
        <f>RIGHT($C$84,3)&amp;"*"&amp;RIGHT($C$83,4)&amp;"*"&amp;BK$55&amp;"*"&amp;"A"</f>
        <v>TAL*199*8530*A</v>
      </c>
      <c r="B793" s="284"/>
      <c r="C793" s="287">
        <f>ROUND(BK60,2)</f>
        <v>0</v>
      </c>
      <c r="D793" s="284">
        <f>ROUND(BK61,0)</f>
        <v>0</v>
      </c>
      <c r="E793" s="284">
        <f>ROUND(BK62,0)</f>
        <v>0</v>
      </c>
      <c r="F793" s="284">
        <f>ROUND(BK63,0)</f>
        <v>0</v>
      </c>
      <c r="G793" s="284">
        <f>ROUND(BK64,0)</f>
        <v>82</v>
      </c>
      <c r="H793" s="284">
        <f>ROUND(BK65,0)</f>
        <v>0</v>
      </c>
      <c r="I793" s="284">
        <f>ROUND(BK66,0)</f>
        <v>15226</v>
      </c>
      <c r="J793" s="284">
        <f>ROUND(BK67,0)</f>
        <v>25424</v>
      </c>
      <c r="K793" s="284">
        <f>ROUND(BK68,0)</f>
        <v>0</v>
      </c>
      <c r="L793" s="284">
        <f>ROUND(BK70,0)</f>
        <v>0</v>
      </c>
      <c r="M793" s="284">
        <f>ROUND(BK71,0)</f>
        <v>40732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">
      <c r="A794" s="209" t="str">
        <f>RIGHT($C$84,3)&amp;"*"&amp;RIGHT($C$83,4)&amp;"*"&amp;BL$55&amp;"*"&amp;"A"</f>
        <v>TAL*199*8560*A</v>
      </c>
      <c r="B794" s="284"/>
      <c r="C794" s="287">
        <f>ROUND(BL60,2)</f>
        <v>11.15</v>
      </c>
      <c r="D794" s="284">
        <f>ROUND(BL61,0)</f>
        <v>398522</v>
      </c>
      <c r="E794" s="284">
        <f>ROUND(BL62,0)</f>
        <v>147693</v>
      </c>
      <c r="F794" s="284">
        <f>ROUND(BL63,0)</f>
        <v>0</v>
      </c>
      <c r="G794" s="284">
        <f>ROUND(BL64,0)</f>
        <v>9285</v>
      </c>
      <c r="H794" s="284">
        <f>ROUND(BL65,0)</f>
        <v>0</v>
      </c>
      <c r="I794" s="284">
        <f>ROUND(BL66,0)</f>
        <v>0</v>
      </c>
      <c r="J794" s="284">
        <f>ROUND(BL67,0)</f>
        <v>0</v>
      </c>
      <c r="K794" s="284">
        <f>ROUND(BL68,0)</f>
        <v>0</v>
      </c>
      <c r="L794" s="284">
        <f>ROUND(BL70,0)</f>
        <v>0</v>
      </c>
      <c r="M794" s="284">
        <f>ROUND(BL71,0)</f>
        <v>555500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">
      <c r="A795" s="209" t="str">
        <f>RIGHT($C$84,3)&amp;"*"&amp;RIGHT($C$83,4)&amp;"*"&amp;BM$55&amp;"*"&amp;"A"</f>
        <v>TAL*199*8590*A</v>
      </c>
      <c r="B795" s="284"/>
      <c r="C795" s="287">
        <f>ROUND(BM60,2)</f>
        <v>1.05</v>
      </c>
      <c r="D795" s="284">
        <f>ROUND(BM61,0)</f>
        <v>52985</v>
      </c>
      <c r="E795" s="284">
        <f>ROUND(BM62,0)</f>
        <v>45552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11912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110449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">
      <c r="A796" s="209" t="str">
        <f>RIGHT($C$84,3)&amp;"*"&amp;RIGHT($C$83,4)&amp;"*"&amp;BN$55&amp;"*"&amp;"A"</f>
        <v>TAL*199*8610*A</v>
      </c>
      <c r="B796" s="284"/>
      <c r="C796" s="287">
        <f>ROUND(BN60,2)</f>
        <v>1.1599999999999999</v>
      </c>
      <c r="D796" s="284">
        <f>ROUND(BN61,0)</f>
        <v>59045</v>
      </c>
      <c r="E796" s="284">
        <f>ROUND(BN62,0)</f>
        <v>-2352926</v>
      </c>
      <c r="F796" s="284">
        <f>ROUND(BN63,0)</f>
        <v>3500</v>
      </c>
      <c r="G796" s="284">
        <f>ROUND(BN64,0)</f>
        <v>-66612</v>
      </c>
      <c r="H796" s="284">
        <f>ROUND(BN65,0)</f>
        <v>-24753</v>
      </c>
      <c r="I796" s="284">
        <f>ROUND(BN66,0)</f>
        <v>4327589</v>
      </c>
      <c r="J796" s="284">
        <f>ROUND(BN67,0)</f>
        <v>22302</v>
      </c>
      <c r="K796" s="284">
        <f>ROUND(BN68,0)</f>
        <v>14571</v>
      </c>
      <c r="L796" s="284">
        <f>ROUND(BN70,0)</f>
        <v>0</v>
      </c>
      <c r="M796" s="284">
        <f>ROUND(BN71,0)</f>
        <v>2831696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">
      <c r="A797" s="209" t="str">
        <f>RIGHT($C$84,3)&amp;"*"&amp;RIGHT($C$83,4)&amp;"*"&amp;BO$55&amp;"*"&amp;"A"</f>
        <v>TAL*199*8620*A</v>
      </c>
      <c r="B797" s="284"/>
      <c r="C797" s="287">
        <f>ROUND(BO60,2)</f>
        <v>0</v>
      </c>
      <c r="D797" s="284">
        <f>ROUND(BO61,0)</f>
        <v>0</v>
      </c>
      <c r="E797" s="284">
        <f>ROUND(BO62,0)</f>
        <v>0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>
        <f>ROUND(BO67,0)</f>
        <v>0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">
      <c r="A798" s="209" t="str">
        <f>RIGHT($C$84,3)&amp;"*"&amp;RIGHT($C$83,4)&amp;"*"&amp;BP$55&amp;"*"&amp;"A"</f>
        <v>TAL*199*8630*A</v>
      </c>
      <c r="B798" s="284"/>
      <c r="C798" s="287">
        <f>ROUND(BP60,2)</f>
        <v>0</v>
      </c>
      <c r="D798" s="284">
        <f>ROUND(BP61,0)</f>
        <v>0</v>
      </c>
      <c r="E798" s="284">
        <f>ROUND(BP62,0)</f>
        <v>0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>
        <f>ROUND(BP67,0)</f>
        <v>0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">
      <c r="A799" s="209" t="str">
        <f>RIGHT($C$84,3)&amp;"*"&amp;RIGHT($C$83,4)&amp;"*"&amp;BQ$55&amp;"*"&amp;"A"</f>
        <v>TAL*199*8640*A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">
      <c r="A800" s="209" t="str">
        <f>RIGHT($C$84,3)&amp;"*"&amp;RIGHT($C$83,4)&amp;"*"&amp;BR$55&amp;"*"&amp;"A"</f>
        <v>TAL*199*8650*A</v>
      </c>
      <c r="B800" s="284"/>
      <c r="C800" s="287">
        <f>ROUND(BR60,2)</f>
        <v>0.73</v>
      </c>
      <c r="D800" s="284">
        <f>ROUND(BR61,0)</f>
        <v>23224</v>
      </c>
      <c r="E800" s="284">
        <f>ROUND(BR62,0)</f>
        <v>6419</v>
      </c>
      <c r="F800" s="284">
        <f>ROUND(BR63,0)</f>
        <v>0</v>
      </c>
      <c r="G800" s="284">
        <f>ROUND(BR64,0)</f>
        <v>3352</v>
      </c>
      <c r="H800" s="284">
        <f>ROUND(BR65,0)</f>
        <v>0</v>
      </c>
      <c r="I800" s="284">
        <f>ROUND(BR66,0)</f>
        <v>-1699</v>
      </c>
      <c r="J800" s="284">
        <f>ROUND(BR67,0)</f>
        <v>4149</v>
      </c>
      <c r="K800" s="284">
        <f>ROUND(BR68,0)</f>
        <v>0</v>
      </c>
      <c r="L800" s="284">
        <f>ROUND(BR70,0)</f>
        <v>0</v>
      </c>
      <c r="M800" s="284">
        <f>ROUND(BR71,0)</f>
        <v>35445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">
      <c r="A801" s="209" t="str">
        <f>RIGHT($C$84,3)&amp;"*"&amp;RIGHT($C$83,4)&amp;"*"&amp;BS$55&amp;"*"&amp;"A"</f>
        <v>TAL*199*8660*A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3051</v>
      </c>
      <c r="K801" s="284">
        <f>ROUND(BS68,0)</f>
        <v>0</v>
      </c>
      <c r="L801" s="284">
        <f>ROUND(BS70,0)</f>
        <v>0</v>
      </c>
      <c r="M801" s="284">
        <f>ROUND(BS71,0)</f>
        <v>3051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">
      <c r="A802" s="209" t="str">
        <f>RIGHT($C$84,3)&amp;"*"&amp;RIGHT($C$83,4)&amp;"*"&amp;BT$55&amp;"*"&amp;"A"</f>
        <v>TAL*199*8670*A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3864</v>
      </c>
      <c r="K802" s="284">
        <f>ROUND(BT68,0)</f>
        <v>0</v>
      </c>
      <c r="L802" s="284">
        <f>ROUND(BT70,0)</f>
        <v>0</v>
      </c>
      <c r="M802" s="284">
        <f>ROUND(BT71,0)</f>
        <v>3864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">
      <c r="A803" s="209" t="str">
        <f>RIGHT($C$84,3)&amp;"*"&amp;RIGHT($C$83,4)&amp;"*"&amp;BU$55&amp;"*"&amp;"A"</f>
        <v>TAL*199*8680*A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">
      <c r="A804" s="209" t="str">
        <f>RIGHT($C$84,3)&amp;"*"&amp;RIGHT($C$83,4)&amp;"*"&amp;BV$55&amp;"*"&amp;"A"</f>
        <v>TAL*199*8690*A</v>
      </c>
      <c r="B804" s="284"/>
      <c r="C804" s="287">
        <f>ROUND(BV60,2)</f>
        <v>4.9800000000000004</v>
      </c>
      <c r="D804" s="284">
        <f>ROUND(BV61,0)</f>
        <v>253533</v>
      </c>
      <c r="E804" s="284">
        <f>ROUND(BV62,0)</f>
        <v>87900</v>
      </c>
      <c r="F804" s="284">
        <f>ROUND(BV63,0)</f>
        <v>0</v>
      </c>
      <c r="G804" s="284">
        <f>ROUND(BV64,0)</f>
        <v>2071</v>
      </c>
      <c r="H804" s="284">
        <f>ROUND(BV65,0)</f>
        <v>0</v>
      </c>
      <c r="I804" s="284">
        <f>ROUND(BV66,0)</f>
        <v>6725</v>
      </c>
      <c r="J804" s="284">
        <f>ROUND(BV67,0)</f>
        <v>13831</v>
      </c>
      <c r="K804" s="284">
        <f>ROUND(BV68,0)</f>
        <v>8434</v>
      </c>
      <c r="L804" s="284">
        <f>ROUND(BV70,0)</f>
        <v>0</v>
      </c>
      <c r="M804" s="284">
        <f>ROUND(BV71,0)</f>
        <v>444748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">
      <c r="A805" s="209" t="str">
        <f>RIGHT($C$84,3)&amp;"*"&amp;RIGHT($C$83,4)&amp;"*"&amp;BW$55&amp;"*"&amp;"A"</f>
        <v>TAL*199*8700*A</v>
      </c>
      <c r="B805" s="284"/>
      <c r="C805" s="287">
        <f>ROUND(BW60,2)</f>
        <v>0</v>
      </c>
      <c r="D805" s="284">
        <f>ROUND(BW61,0)</f>
        <v>0</v>
      </c>
      <c r="E805" s="284">
        <f>ROUND(BW62,0)</f>
        <v>0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>
        <f>ROUND(BW67,0)</f>
        <v>0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">
      <c r="A806" s="209" t="str">
        <f>RIGHT($C$84,3)&amp;"*"&amp;RIGHT($C$83,4)&amp;"*"&amp;BX$55&amp;"*"&amp;"A"</f>
        <v>TAL*199*8710*A</v>
      </c>
      <c r="B806" s="284"/>
      <c r="C806" s="287">
        <f>ROUND(BX60,2)</f>
        <v>2.2599999999999998</v>
      </c>
      <c r="D806" s="284">
        <f>ROUND(BX61,0)</f>
        <v>186542</v>
      </c>
      <c r="E806" s="284">
        <f>ROUND(BX62,0)</f>
        <v>43294</v>
      </c>
      <c r="F806" s="284">
        <f>ROUND(BX63,0)</f>
        <v>0</v>
      </c>
      <c r="G806" s="284">
        <f>ROUND(BX64,0)</f>
        <v>67860</v>
      </c>
      <c r="H806" s="284">
        <f>ROUND(BX65,0)</f>
        <v>0</v>
      </c>
      <c r="I806" s="284">
        <f>ROUND(BX66,0)</f>
        <v>20025</v>
      </c>
      <c r="J806" s="284">
        <f>ROUND(BX67,0)</f>
        <v>3295</v>
      </c>
      <c r="K806" s="284">
        <f>ROUND(BX68,0)</f>
        <v>0</v>
      </c>
      <c r="L806" s="284">
        <f>ROUND(BX70,0)</f>
        <v>0</v>
      </c>
      <c r="M806" s="284">
        <f>ROUND(BX71,0)</f>
        <v>321476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">
      <c r="A807" s="209" t="str">
        <f>RIGHT($C$84,3)&amp;"*"&amp;RIGHT($C$83,4)&amp;"*"&amp;BY$55&amp;"*"&amp;"A"</f>
        <v>TAL*199*8720*A</v>
      </c>
      <c r="B807" s="284"/>
      <c r="C807" s="287">
        <f>ROUND(BY60,2)</f>
        <v>3.24</v>
      </c>
      <c r="D807" s="284">
        <f>ROUND(BY61,0)</f>
        <v>287290</v>
      </c>
      <c r="E807" s="284">
        <f>ROUND(BY62,0)</f>
        <v>79814</v>
      </c>
      <c r="F807" s="284">
        <f>ROUND(BY63,0)</f>
        <v>0</v>
      </c>
      <c r="G807" s="284">
        <f>ROUND(BY64,0)</f>
        <v>484</v>
      </c>
      <c r="H807" s="284">
        <f>ROUND(BY65,0)</f>
        <v>1467</v>
      </c>
      <c r="I807" s="284">
        <f>ROUND(BY66,0)</f>
        <v>31349</v>
      </c>
      <c r="J807" s="284">
        <f>ROUND(BY67,0)</f>
        <v>0</v>
      </c>
      <c r="K807" s="284">
        <f>ROUND(BY68,0)</f>
        <v>0</v>
      </c>
      <c r="L807" s="284">
        <f>ROUND(BY70,0)</f>
        <v>0</v>
      </c>
      <c r="M807" s="284">
        <f>ROUND(BY71,0)</f>
        <v>403717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">
      <c r="A808" s="209" t="str">
        <f>RIGHT($C$84,3)&amp;"*"&amp;RIGHT($C$83,4)&amp;"*"&amp;BZ$55&amp;"*"&amp;"A"</f>
        <v>TAL*199*8730*A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">
      <c r="A809" s="209" t="str">
        <f>RIGHT($C$84,3)&amp;"*"&amp;RIGHT($C$83,4)&amp;"*"&amp;CA$55&amp;"*"&amp;"A"</f>
        <v>TAL*199*8740*A</v>
      </c>
      <c r="B809" s="284"/>
      <c r="C809" s="287">
        <f>ROUND(CA60,2)</f>
        <v>0</v>
      </c>
      <c r="D809" s="284">
        <f>ROUND(CA61,0)</f>
        <v>0</v>
      </c>
      <c r="E809" s="284">
        <f>ROUND(CA62,0)</f>
        <v>0</v>
      </c>
      <c r="F809" s="284">
        <f>ROUND(CA63,0)</f>
        <v>0</v>
      </c>
      <c r="G809" s="284">
        <f>ROUND(CA64,0)</f>
        <v>462</v>
      </c>
      <c r="H809" s="284">
        <f>ROUND(CA65,0)</f>
        <v>0</v>
      </c>
      <c r="I809" s="284">
        <f>ROUND(CA66,0)</f>
        <v>-6090</v>
      </c>
      <c r="J809" s="284">
        <f>ROUND(CA67,0)</f>
        <v>0</v>
      </c>
      <c r="K809" s="284">
        <f>ROUND(CA68,0)</f>
        <v>0</v>
      </c>
      <c r="L809" s="284">
        <f>ROUND(CA70,0)</f>
        <v>0</v>
      </c>
      <c r="M809" s="284">
        <f>ROUND(CA71,0)</f>
        <v>54359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">
      <c r="A810" s="209" t="str">
        <f>RIGHT($C$84,3)&amp;"*"&amp;RIGHT($C$83,4)&amp;"*"&amp;CB$55&amp;"*"&amp;"A"</f>
        <v>TAL*199*8770*A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">
      <c r="A811" s="209" t="str">
        <f>RIGHT($C$84,3)&amp;"*"&amp;RIGHT($C$83,4)&amp;"*"&amp;CC$55&amp;"*"&amp;"A"</f>
        <v>TAL*199*8790*A</v>
      </c>
      <c r="B811" s="284"/>
      <c r="C811" s="287">
        <f>ROUND(CC60,2)</f>
        <v>0</v>
      </c>
      <c r="D811" s="284">
        <f>ROUND(CC61,0)</f>
        <v>0</v>
      </c>
      <c r="E811" s="284">
        <f>ROUND(CC62,0)</f>
        <v>0</v>
      </c>
      <c r="F811" s="284">
        <f>ROUND(CC63,0)</f>
        <v>0</v>
      </c>
      <c r="G811" s="284">
        <f>ROUND(CC64,0)</f>
        <v>93434</v>
      </c>
      <c r="H811" s="284">
        <f>ROUND(CC65,0)</f>
        <v>0</v>
      </c>
      <c r="I811" s="284">
        <f>ROUND(CC66,0)</f>
        <v>26882</v>
      </c>
      <c r="J811" s="284">
        <f>ROUND(CC67,0)</f>
        <v>88048</v>
      </c>
      <c r="K811" s="284">
        <f>ROUND(CC68,0)</f>
        <v>0</v>
      </c>
      <c r="L811" s="284">
        <f>ROUND(CC70,0)</f>
        <v>0</v>
      </c>
      <c r="M811" s="284">
        <f>ROUND(CC71,0)</f>
        <v>456739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">
      <c r="A812" s="209" t="str">
        <f>RIGHT($C$84,3)&amp;"*"&amp;RIGHT($C$83,4)&amp;"*"&amp;"9000"&amp;"*"&amp;"A"</f>
        <v>TAL*199*9000*A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45555251</v>
      </c>
      <c r="Y812" s="284">
        <f>ROUND(C132,0)</f>
        <v>0</v>
      </c>
      <c r="Z812" s="284"/>
    </row>
    <row r="814" spans="1:26" ht="12.65" customHeight="1" x14ac:dyDescent="0.3">
      <c r="B814" s="199" t="s">
        <v>1004</v>
      </c>
      <c r="C814" s="264">
        <f t="shared" ref="C814:K814" si="23">SUM(C733:C812)</f>
        <v>234.88999999999993</v>
      </c>
      <c r="D814" s="180">
        <f t="shared" si="23"/>
        <v>15560913</v>
      </c>
      <c r="E814" s="180">
        <f t="shared" si="23"/>
        <v>2491885</v>
      </c>
      <c r="F814" s="180">
        <f t="shared" si="23"/>
        <v>2945721</v>
      </c>
      <c r="G814" s="180">
        <f t="shared" si="23"/>
        <v>2782614</v>
      </c>
      <c r="H814" s="180">
        <f t="shared" si="23"/>
        <v>440091</v>
      </c>
      <c r="I814" s="180">
        <f t="shared" si="23"/>
        <v>8223838</v>
      </c>
      <c r="J814" s="180">
        <f t="shared" si="23"/>
        <v>714847</v>
      </c>
      <c r="K814" s="180">
        <f t="shared" si="23"/>
        <v>390654</v>
      </c>
      <c r="L814" s="180">
        <f>SUM(L733:L812)+SUM(U733:U812)</f>
        <v>0</v>
      </c>
      <c r="M814" s="180">
        <f>SUM(M733:M812)+SUM(W733:W812)</f>
        <v>35170942</v>
      </c>
      <c r="N814" s="180">
        <f t="shared" ref="N814:Z814" si="24">SUM(N733:N812)</f>
        <v>46194</v>
      </c>
      <c r="O814" s="180">
        <f t="shared" si="24"/>
        <v>96608044</v>
      </c>
      <c r="P814" s="180">
        <f t="shared" si="24"/>
        <v>29347</v>
      </c>
      <c r="Q814" s="180">
        <f t="shared" si="24"/>
        <v>0</v>
      </c>
      <c r="R814" s="180">
        <f t="shared" si="24"/>
        <v>230690</v>
      </c>
      <c r="S814" s="180">
        <f t="shared" si="24"/>
        <v>69</v>
      </c>
      <c r="T814" s="264">
        <f t="shared" si="24"/>
        <v>0</v>
      </c>
      <c r="U814" s="180">
        <f t="shared" si="24"/>
        <v>0</v>
      </c>
      <c r="V814" s="180">
        <f t="shared" si="24"/>
        <v>0</v>
      </c>
      <c r="W814" s="180">
        <f t="shared" si="24"/>
        <v>0</v>
      </c>
      <c r="X814" s="180">
        <f t="shared" si="24"/>
        <v>45555251</v>
      </c>
      <c r="Y814" s="180">
        <f t="shared" si="24"/>
        <v>0</v>
      </c>
      <c r="Z814" s="180" t="e">
        <f t="shared" si="24"/>
        <v>#DIV/0!</v>
      </c>
    </row>
    <row r="815" spans="1:26" ht="12.65" customHeight="1" x14ac:dyDescent="0.3">
      <c r="B815" s="180" t="s">
        <v>1005</v>
      </c>
      <c r="C815" s="264">
        <f>CE60</f>
        <v>234.8899999999999</v>
      </c>
      <c r="D815" s="180">
        <f>CE61</f>
        <v>15560911.349999998</v>
      </c>
      <c r="E815" s="180">
        <f>CE62</f>
        <v>2491885</v>
      </c>
      <c r="F815" s="180">
        <f>CE63</f>
        <v>2945719.9699999997</v>
      </c>
      <c r="G815" s="180">
        <f>CE64</f>
        <v>2782612.4999999995</v>
      </c>
      <c r="H815" s="241">
        <f>CE65</f>
        <v>440091.76999999996</v>
      </c>
      <c r="I815" s="241">
        <f>CE66</f>
        <v>8223836.4000000004</v>
      </c>
      <c r="J815" s="241">
        <f>CE67</f>
        <v>714847</v>
      </c>
      <c r="K815" s="241">
        <f>CE68</f>
        <v>390653.52000000008</v>
      </c>
      <c r="L815" s="241">
        <f>CE70</f>
        <v>0</v>
      </c>
      <c r="M815" s="241">
        <f>CE71</f>
        <v>35170943.149999991</v>
      </c>
      <c r="N815" s="180">
        <f>CE76</f>
        <v>70293</v>
      </c>
      <c r="O815" s="180">
        <f>CE74</f>
        <v>96608043.859999999</v>
      </c>
      <c r="P815" s="180">
        <f>CE77</f>
        <v>29347</v>
      </c>
      <c r="Q815" s="180">
        <f>CE78</f>
        <v>0</v>
      </c>
      <c r="R815" s="180">
        <f>CE79</f>
        <v>230690</v>
      </c>
      <c r="S815" s="180">
        <f>CE80</f>
        <v>69.739999999999995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15560911</v>
      </c>
      <c r="G816" s="241">
        <f>C379</f>
        <v>2491885</v>
      </c>
      <c r="H816" s="241">
        <f>C380</f>
        <v>2945720</v>
      </c>
      <c r="I816" s="241">
        <f>C381</f>
        <v>2782613</v>
      </c>
      <c r="J816" s="241">
        <f>C382</f>
        <v>440092</v>
      </c>
      <c r="K816" s="241">
        <f>C383</f>
        <v>8223836</v>
      </c>
      <c r="L816" s="241">
        <f>C384+C385+C386+C388</f>
        <v>2611436.67</v>
      </c>
      <c r="M816" s="241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N17" sqref="N17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ASTRIA TOPPENISH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H-199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502 W 4th Avenue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Toppenish, WA 98948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H-199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ASTRIA TOPPENISH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Gibbons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Maxwell Owens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Mary Ann Bliesner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509-865-3105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509-865-1519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1018</v>
      </c>
      <c r="G23" s="21">
        <f>data!D111</f>
        <v>8012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266</v>
      </c>
      <c r="G26" s="13">
        <f>data!D114</f>
        <v>426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47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14</v>
      </c>
      <c r="E36" s="49" t="s">
        <v>292</v>
      </c>
      <c r="F36" s="24"/>
      <c r="G36" s="21">
        <f>data!C128</f>
        <v>78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E7" sqref="E7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ASTRIA TOPPENISH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176</v>
      </c>
      <c r="C7" s="48">
        <f>data!B139</f>
        <v>2230</v>
      </c>
      <c r="D7" s="48">
        <f>data!B140</f>
        <v>29367</v>
      </c>
      <c r="E7" s="48">
        <f>data!B141</f>
        <v>11099825</v>
      </c>
      <c r="F7" s="48">
        <f>data!B142</f>
        <v>35188843</v>
      </c>
      <c r="G7" s="48">
        <f>data!B141+data!B142</f>
        <v>46288668</v>
      </c>
    </row>
    <row r="8" spans="1:13" ht="20.149999999999999" customHeight="1" x14ac:dyDescent="0.35">
      <c r="A8" s="23" t="s">
        <v>297</v>
      </c>
      <c r="B8" s="48">
        <f>data!C138</f>
        <v>638</v>
      </c>
      <c r="C8" s="48">
        <f>data!C139</f>
        <v>4651</v>
      </c>
      <c r="D8" s="48">
        <f>data!C140</f>
        <v>29310</v>
      </c>
      <c r="E8" s="48">
        <f>data!C141</f>
        <v>25351909</v>
      </c>
      <c r="F8" s="48">
        <f>data!C142</f>
        <v>51624765</v>
      </c>
      <c r="G8" s="48">
        <f>data!C141+data!C142</f>
        <v>76976674</v>
      </c>
    </row>
    <row r="9" spans="1:13" ht="20.149999999999999" customHeight="1" x14ac:dyDescent="0.35">
      <c r="A9" s="23" t="s">
        <v>1058</v>
      </c>
      <c r="B9" s="48">
        <f>data!D138</f>
        <v>470</v>
      </c>
      <c r="C9" s="48">
        <f>data!D139</f>
        <v>1557</v>
      </c>
      <c r="D9" s="48">
        <f>data!D140</f>
        <v>34177</v>
      </c>
      <c r="E9" s="48">
        <f>data!D141</f>
        <v>9545589</v>
      </c>
      <c r="F9" s="48">
        <f>data!D142</f>
        <v>53321542</v>
      </c>
      <c r="G9" s="48">
        <f>data!D141+data!D142</f>
        <v>62867131</v>
      </c>
    </row>
    <row r="10" spans="1:13" ht="20.149999999999999" customHeight="1" x14ac:dyDescent="0.35">
      <c r="A10" s="111" t="s">
        <v>203</v>
      </c>
      <c r="B10" s="48">
        <f>data!E138</f>
        <v>1284</v>
      </c>
      <c r="C10" s="48">
        <f>data!E139</f>
        <v>8438</v>
      </c>
      <c r="D10" s="48">
        <f>data!E140</f>
        <v>92854</v>
      </c>
      <c r="E10" s="48">
        <f>data!E141</f>
        <v>45997323</v>
      </c>
      <c r="F10" s="48">
        <f>data!E142</f>
        <v>140135150</v>
      </c>
      <c r="G10" s="48">
        <f>data!E141+data!E142</f>
        <v>186132473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1232588.6200000001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87295.48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308483.87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1534503.04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521864.64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-50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3684685.6500000004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751749.22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84734.94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836484.15999999992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412037.05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7931.87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419968.92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798329.77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465050.7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1263380.47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2536680.42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7037.42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2543717.84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ASTRIA TOPPENISH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550000</v>
      </c>
      <c r="D7" s="21">
        <f>data!C195</f>
        <v>0</v>
      </c>
      <c r="E7" s="21">
        <f>data!D195</f>
        <v>0</v>
      </c>
      <c r="F7" s="21">
        <f>data!E195</f>
        <v>550000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26952.880000000001</v>
      </c>
      <c r="D8" s="21">
        <f>data!C196</f>
        <v>0</v>
      </c>
      <c r="E8" s="21">
        <f>data!D196</f>
        <v>0</v>
      </c>
      <c r="F8" s="21">
        <f>data!E196</f>
        <v>26952.880000000001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7958258.6999999993</v>
      </c>
      <c r="D9" s="21">
        <f>data!C197</f>
        <v>76583.88</v>
      </c>
      <c r="E9" s="21">
        <f>data!D197</f>
        <v>0</v>
      </c>
      <c r="F9" s="21">
        <f>data!E197</f>
        <v>8034842.5799999991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1689982.74</v>
      </c>
      <c r="D12" s="21">
        <f>data!C200</f>
        <v>569816.56000000006</v>
      </c>
      <c r="E12" s="21">
        <f>data!D200</f>
        <v>0</v>
      </c>
      <c r="F12" s="21">
        <f>data!E200</f>
        <v>2259799.2999999998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388075.65</v>
      </c>
      <c r="D13" s="21">
        <f>data!C201</f>
        <v>89389.46</v>
      </c>
      <c r="E13" s="21">
        <f>data!D201</f>
        <v>0</v>
      </c>
      <c r="F13" s="21">
        <f>data!E201</f>
        <v>477465.11000000004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55076.34</v>
      </c>
      <c r="D15" s="21">
        <f>data!C203</f>
        <v>200296.48</v>
      </c>
      <c r="E15" s="21">
        <f>data!D203</f>
        <v>0</v>
      </c>
      <c r="F15" s="21">
        <f>data!E203</f>
        <v>255372.82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10668346.310000001</v>
      </c>
      <c r="D16" s="21">
        <f>data!C204</f>
        <v>936086.38</v>
      </c>
      <c r="E16" s="21">
        <f>data!D204</f>
        <v>0</v>
      </c>
      <c r="F16" s="21">
        <f>data!E204</f>
        <v>11604432.689999998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2659.91</v>
      </c>
      <c r="D24" s="21">
        <f>data!C209</f>
        <v>1497.4</v>
      </c>
      <c r="E24" s="21">
        <f>data!D209</f>
        <v>0</v>
      </c>
      <c r="F24" s="21">
        <f>data!E209</f>
        <v>4157.3099999999995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1525192.6</v>
      </c>
      <c r="D25" s="21">
        <f>data!C210</f>
        <v>407426.82</v>
      </c>
      <c r="E25" s="21">
        <f>data!D210</f>
        <v>0</v>
      </c>
      <c r="F25" s="21">
        <f>data!E210</f>
        <v>1932619.4200000002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1118129.93</v>
      </c>
      <c r="D28" s="21">
        <f>data!C213</f>
        <v>330724.03000000003</v>
      </c>
      <c r="E28" s="21">
        <f>data!D213</f>
        <v>0</v>
      </c>
      <c r="F28" s="21">
        <f>data!E213</f>
        <v>1448853.96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177278.22</v>
      </c>
      <c r="D29" s="21">
        <f>data!C214</f>
        <v>35320.620000000003</v>
      </c>
      <c r="E29" s="21">
        <f>data!D214</f>
        <v>0</v>
      </c>
      <c r="F29" s="21">
        <f>data!E214</f>
        <v>212598.84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2823260.66</v>
      </c>
      <c r="D32" s="21">
        <f>data!C217</f>
        <v>774968.87</v>
      </c>
      <c r="E32" s="21">
        <f>data!D217</f>
        <v>0</v>
      </c>
      <c r="F32" s="21">
        <f>data!E217</f>
        <v>3598229.5300000003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ASTRIA TOPPENISH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15492723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36583231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61124291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21147592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118855114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838895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838895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135186732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114438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44093478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37169595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468714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1093571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305615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8906221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550000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26953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8034843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2737264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255373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11604433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3598230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8006203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16912424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ASTRIA TOPPENISH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2358900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3108750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444033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1712838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53937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147662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7826120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260657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12680864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10099196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23040717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147662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22893055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-13806751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-13806751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16912424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ASTRIA TOPPENISH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45997323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140135150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186132473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15492723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118855114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1035203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135383040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50749433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2604627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2604627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53354060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19220061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3684685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3014214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5807395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10576282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774971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836483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419969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1263380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2543716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6949734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55090890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-1736830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-1736830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-1736830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C10" sqref="C10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ASTRIA TOPPENISH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1705</v>
      </c>
      <c r="D9" s="14">
        <f>data!D59</f>
        <v>0</v>
      </c>
      <c r="E9" s="14">
        <f>data!E59</f>
        <v>559</v>
      </c>
      <c r="F9" s="14">
        <f>data!F59</f>
        <v>0</v>
      </c>
      <c r="G9" s="14">
        <f>data!G59</f>
        <v>0</v>
      </c>
      <c r="H9" s="14">
        <f>data!H59</f>
        <v>5260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9.31</v>
      </c>
      <c r="D10" s="26">
        <f>data!D60</f>
        <v>0</v>
      </c>
      <c r="E10" s="26">
        <f>data!E60</f>
        <v>12.96</v>
      </c>
      <c r="F10" s="26">
        <f>data!F60</f>
        <v>0</v>
      </c>
      <c r="G10" s="26">
        <f>data!G60</f>
        <v>0</v>
      </c>
      <c r="H10" s="26">
        <f>data!H60</f>
        <v>33.5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678731.71</v>
      </c>
      <c r="D11" s="14">
        <f>data!D61</f>
        <v>0</v>
      </c>
      <c r="E11" s="14">
        <f>data!E61</f>
        <v>835561.5</v>
      </c>
      <c r="F11" s="14">
        <f>data!F61</f>
        <v>0</v>
      </c>
      <c r="G11" s="14">
        <f>data!G61</f>
        <v>0</v>
      </c>
      <c r="H11" s="14">
        <f>data!H61</f>
        <v>1835199.09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186835</v>
      </c>
      <c r="D12" s="14">
        <f>data!D62</f>
        <v>0</v>
      </c>
      <c r="E12" s="14">
        <f>data!E62</f>
        <v>288117</v>
      </c>
      <c r="F12" s="14">
        <f>data!F62</f>
        <v>0</v>
      </c>
      <c r="G12" s="14">
        <f>data!G62</f>
        <v>0</v>
      </c>
      <c r="H12" s="14">
        <f>data!H62</f>
        <v>594862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68306.600000000006</v>
      </c>
      <c r="D13" s="14">
        <f>data!D63</f>
        <v>0</v>
      </c>
      <c r="E13" s="14">
        <f>data!E63</f>
        <v>984992.7</v>
      </c>
      <c r="F13" s="14">
        <f>data!F63</f>
        <v>0</v>
      </c>
      <c r="G13" s="14">
        <f>data!G63</f>
        <v>0</v>
      </c>
      <c r="H13" s="14">
        <f>data!H63</f>
        <v>876570.37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188727.37</v>
      </c>
      <c r="D14" s="14">
        <f>data!D64</f>
        <v>0</v>
      </c>
      <c r="E14" s="14">
        <f>data!E64</f>
        <v>30989.77</v>
      </c>
      <c r="F14" s="14">
        <f>data!F64</f>
        <v>0</v>
      </c>
      <c r="G14" s="14">
        <f>data!G64</f>
        <v>0</v>
      </c>
      <c r="H14" s="14">
        <f>data!H64</f>
        <v>16264.56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60679.47</v>
      </c>
      <c r="D16" s="14">
        <f>data!D66</f>
        <v>0</v>
      </c>
      <c r="E16" s="14">
        <f>data!E66</f>
        <v>32160.05</v>
      </c>
      <c r="F16" s="14">
        <f>data!F66</f>
        <v>0</v>
      </c>
      <c r="G16" s="14">
        <f>data!G66</f>
        <v>0</v>
      </c>
      <c r="H16" s="14">
        <f>data!H66</f>
        <v>579.57000000000005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33075</v>
      </c>
      <c r="D17" s="14">
        <f>data!D67</f>
        <v>0</v>
      </c>
      <c r="E17" s="14">
        <f>data!E67</f>
        <v>103005</v>
      </c>
      <c r="F17" s="14">
        <f>data!F67</f>
        <v>0</v>
      </c>
      <c r="G17" s="14">
        <f>data!G67</f>
        <v>0</v>
      </c>
      <c r="H17" s="14">
        <f>data!H67</f>
        <v>42688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2437.84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3484.65</v>
      </c>
      <c r="D19" s="14">
        <f>data!D69</f>
        <v>0</v>
      </c>
      <c r="E19" s="14">
        <f>data!E69</f>
        <v>2973</v>
      </c>
      <c r="F19" s="14">
        <f>data!F69</f>
        <v>0</v>
      </c>
      <c r="G19" s="14">
        <f>data!G69</f>
        <v>0</v>
      </c>
      <c r="H19" s="14">
        <f>data!H69</f>
        <v>8390.85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1222277.6399999999</v>
      </c>
      <c r="D21" s="14">
        <f>data!D71</f>
        <v>0</v>
      </c>
      <c r="E21" s="14">
        <f>data!E71</f>
        <v>2277799.02</v>
      </c>
      <c r="F21" s="14">
        <f>data!F71</f>
        <v>0</v>
      </c>
      <c r="G21" s="14">
        <f>data!G71</f>
        <v>0</v>
      </c>
      <c r="H21" s="14">
        <f>data!H71</f>
        <v>3374554.44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-1534546.65</v>
      </c>
      <c r="D24" s="14">
        <f>data!D73</f>
        <v>0</v>
      </c>
      <c r="E24" s="14">
        <f>data!E73</f>
        <v>-2831869.48</v>
      </c>
      <c r="F24" s="14">
        <f>data!F73</f>
        <v>0</v>
      </c>
      <c r="G24" s="14">
        <f>data!G73</f>
        <v>0</v>
      </c>
      <c r="H24" s="14">
        <f>data!H73</f>
        <v>-11942283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-388838.24</v>
      </c>
      <c r="F25" s="14">
        <f>data!F74</f>
        <v>0</v>
      </c>
      <c r="G25" s="14">
        <f>data!G74</f>
        <v>0</v>
      </c>
      <c r="H25" s="14">
        <f>data!H74</f>
        <v>-392154.78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-1534546.65</v>
      </c>
      <c r="D26" s="14">
        <f>data!D75</f>
        <v>0</v>
      </c>
      <c r="E26" s="14">
        <f>data!E75</f>
        <v>-3220707.7199999997</v>
      </c>
      <c r="F26" s="14">
        <f>data!F75</f>
        <v>0</v>
      </c>
      <c r="G26" s="14">
        <f>data!G75</f>
        <v>0</v>
      </c>
      <c r="H26" s="14">
        <f>data!H75</f>
        <v>-12334437.779999999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3000</v>
      </c>
      <c r="D28" s="14">
        <f>data!D76</f>
        <v>0</v>
      </c>
      <c r="E28" s="14">
        <f>data!E76</f>
        <v>9343</v>
      </c>
      <c r="F28" s="14">
        <f>data!F76</f>
        <v>0</v>
      </c>
      <c r="G28" s="14">
        <f>data!G76</f>
        <v>0</v>
      </c>
      <c r="H28" s="14">
        <f>data!H76</f>
        <v>3872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5006</v>
      </c>
      <c r="D29" s="14">
        <f>data!D77</f>
        <v>0</v>
      </c>
      <c r="E29" s="14">
        <f>data!E77</f>
        <v>2389</v>
      </c>
      <c r="F29" s="14">
        <f>data!F77</f>
        <v>0</v>
      </c>
      <c r="G29" s="14">
        <f>data!G77</f>
        <v>0</v>
      </c>
      <c r="H29" s="14">
        <f>data!H77</f>
        <v>18410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36033</v>
      </c>
      <c r="D31" s="14">
        <f>data!D79</f>
        <v>0</v>
      </c>
      <c r="E31" s="14">
        <f>data!E79</f>
        <v>53074</v>
      </c>
      <c r="F31" s="14">
        <f>data!F79</f>
        <v>0</v>
      </c>
      <c r="G31" s="14">
        <f>data!G79</f>
        <v>0</v>
      </c>
      <c r="H31" s="14">
        <f>data!H79</f>
        <v>34368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6.43</v>
      </c>
      <c r="D32" s="84">
        <f>data!D80</f>
        <v>0</v>
      </c>
      <c r="E32" s="84">
        <f>data!E80</f>
        <v>7.15</v>
      </c>
      <c r="F32" s="84">
        <f>data!F80</f>
        <v>0</v>
      </c>
      <c r="G32" s="84">
        <f>data!G80</f>
        <v>0</v>
      </c>
      <c r="H32" s="84">
        <f>data!H80</f>
        <v>9.92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ASTRIA TOPPENISH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426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488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11.76</v>
      </c>
      <c r="I42" s="26">
        <f>data!P60</f>
        <v>26.17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1091064.49</v>
      </c>
      <c r="I43" s="14">
        <f>data!P61</f>
        <v>1594533.43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376998</v>
      </c>
      <c r="I44" s="14">
        <f>data!P62</f>
        <v>566383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287472.01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89126.3</v>
      </c>
      <c r="I46" s="14">
        <f>data!P64</f>
        <v>2634291.41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29196.82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1176.03</v>
      </c>
      <c r="I48" s="14">
        <f>data!P66</f>
        <v>219666.71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7717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97735</v>
      </c>
      <c r="I49" s="14">
        <f>data!P67</f>
        <v>27011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352019.9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10226.26</v>
      </c>
      <c r="I51" s="14">
        <f>data!P69</f>
        <v>76414.429999999993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7717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1953798.09</v>
      </c>
      <c r="I53" s="14">
        <f>data!P71</f>
        <v>5499516.7000000002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-610401.81999999995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-2117354.5099999998</v>
      </c>
      <c r="I56" s="14">
        <f>data!P73</f>
        <v>-3103123.86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-16412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-151519.25</v>
      </c>
      <c r="I57" s="14">
        <f>data!P74</f>
        <v>-44092045.43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-626813.81999999995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-2268873.7599999998</v>
      </c>
      <c r="I58" s="14">
        <f>data!P75</f>
        <v>-47195169.289999999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700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8865</v>
      </c>
      <c r="I60" s="14">
        <f>data!P76</f>
        <v>2450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2742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39286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</v>
      </c>
      <c r="I64" s="26">
        <f>data!P80</f>
        <v>13.33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ASTRIA TOPPENISH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2.37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35.159999999999997</v>
      </c>
      <c r="H74" s="26">
        <f>data!V60</f>
        <v>0</v>
      </c>
      <c r="I74" s="26">
        <f>data!W60</f>
        <v>0.34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223070.13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866788.91</v>
      </c>
      <c r="H75" s="14">
        <f>data!V61</f>
        <v>0</v>
      </c>
      <c r="I75" s="14">
        <f>data!W61</f>
        <v>27756.63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74368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236585</v>
      </c>
      <c r="H76" s="14">
        <f>data!V62</f>
        <v>0</v>
      </c>
      <c r="I76" s="14">
        <f>data!W62</f>
        <v>11171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-8953.7000000000007</v>
      </c>
      <c r="E77" s="14">
        <f>data!S63</f>
        <v>0</v>
      </c>
      <c r="F77" s="14">
        <f>data!T63</f>
        <v>0</v>
      </c>
      <c r="G77" s="14">
        <f>data!U63</f>
        <v>59175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44486</v>
      </c>
      <c r="D78" s="14">
        <f>data!R64</f>
        <v>32781.300000000003</v>
      </c>
      <c r="E78" s="14">
        <f>data!S64</f>
        <v>57041.39</v>
      </c>
      <c r="F78" s="14">
        <f>data!T64</f>
        <v>0</v>
      </c>
      <c r="G78" s="14">
        <f>data!U64</f>
        <v>712699.57</v>
      </c>
      <c r="H78" s="14">
        <f>data!V64</f>
        <v>0</v>
      </c>
      <c r="I78" s="14">
        <f>data!W64</f>
        <v>5.4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1990</v>
      </c>
      <c r="D80" s="14">
        <f>data!R66</f>
        <v>272047.42</v>
      </c>
      <c r="E80" s="14">
        <f>data!S66</f>
        <v>0</v>
      </c>
      <c r="F80" s="14">
        <f>data!T66</f>
        <v>0</v>
      </c>
      <c r="G80" s="14">
        <f>data!U66</f>
        <v>483262.93</v>
      </c>
      <c r="H80" s="14">
        <f>data!V66</f>
        <v>0</v>
      </c>
      <c r="I80" s="14">
        <f>data!W66</f>
        <v>139700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43052</v>
      </c>
      <c r="D81" s="14">
        <f>data!R67</f>
        <v>1764</v>
      </c>
      <c r="E81" s="14">
        <f>data!S67</f>
        <v>0</v>
      </c>
      <c r="F81" s="14">
        <f>data!T67</f>
        <v>0</v>
      </c>
      <c r="G81" s="14">
        <f>data!U67</f>
        <v>30219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3119.75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130.15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71842.2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387096.28</v>
      </c>
      <c r="D85" s="14">
        <f>data!R71</f>
        <v>297639.01999999996</v>
      </c>
      <c r="E85" s="14">
        <f>data!S71</f>
        <v>57041.39</v>
      </c>
      <c r="F85" s="14">
        <f>data!T71</f>
        <v>0</v>
      </c>
      <c r="G85" s="14">
        <f>data!U71</f>
        <v>2463692.3600000003</v>
      </c>
      <c r="H85" s="14">
        <f>data!V71</f>
        <v>0</v>
      </c>
      <c r="I85" s="14">
        <f>data!W71</f>
        <v>178633.03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-38041.15</v>
      </c>
      <c r="D88" s="14">
        <f>data!R73</f>
        <v>-175529.52</v>
      </c>
      <c r="E88" s="14">
        <f>data!S73</f>
        <v>-189732.13</v>
      </c>
      <c r="F88" s="14">
        <f>data!T73</f>
        <v>0</v>
      </c>
      <c r="G88" s="14">
        <f>data!U73</f>
        <v>-6238147.8700000001</v>
      </c>
      <c r="H88" s="14">
        <f>data!V73</f>
        <v>-440133.3</v>
      </c>
      <c r="I88" s="14">
        <f>data!W73</f>
        <v>-43721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-521498.83</v>
      </c>
      <c r="D89" s="14">
        <f>data!R74</f>
        <v>-440171.95</v>
      </c>
      <c r="E89" s="14">
        <f>data!S74</f>
        <v>-212412.03</v>
      </c>
      <c r="F89" s="14">
        <f>data!T74</f>
        <v>0</v>
      </c>
      <c r="G89" s="14">
        <f>data!U74</f>
        <v>-9796905.0899999999</v>
      </c>
      <c r="H89" s="14">
        <f>data!V74</f>
        <v>-1848981.43</v>
      </c>
      <c r="I89" s="14">
        <f>data!W74</f>
        <v>-1563069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-559539.98</v>
      </c>
      <c r="D90" s="14">
        <f>data!R75</f>
        <v>-615701.47</v>
      </c>
      <c r="E90" s="14">
        <f>data!S75</f>
        <v>-402144.16000000003</v>
      </c>
      <c r="F90" s="14">
        <f>data!T75</f>
        <v>0</v>
      </c>
      <c r="G90" s="14">
        <f>data!U75</f>
        <v>-16035052.960000001</v>
      </c>
      <c r="H90" s="14">
        <f>data!V75</f>
        <v>-2289114.73</v>
      </c>
      <c r="I90" s="14">
        <f>data!W75</f>
        <v>-1606790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3905</v>
      </c>
      <c r="D92" s="14">
        <f>data!R76</f>
        <v>160</v>
      </c>
      <c r="E92" s="14">
        <f>data!S76</f>
        <v>0</v>
      </c>
      <c r="F92" s="14">
        <f>data!T76</f>
        <v>0</v>
      </c>
      <c r="G92" s="14">
        <f>data!U76</f>
        <v>2741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2.36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4.34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ASTRIA TOPPENISH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1.04</v>
      </c>
      <c r="D106" s="26">
        <f>data!Y60</f>
        <v>24.47</v>
      </c>
      <c r="E106" s="26">
        <f>data!Z60</f>
        <v>0</v>
      </c>
      <c r="F106" s="26">
        <f>data!AA60</f>
        <v>0</v>
      </c>
      <c r="G106" s="26">
        <f>data!AB60</f>
        <v>8.4</v>
      </c>
      <c r="H106" s="26">
        <f>data!AC60</f>
        <v>4.55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57762.47</v>
      </c>
      <c r="D107" s="14">
        <f>data!Y61</f>
        <v>903832.32</v>
      </c>
      <c r="E107" s="14">
        <f>data!Z61</f>
        <v>0</v>
      </c>
      <c r="F107" s="14">
        <f>data!AA61</f>
        <v>0</v>
      </c>
      <c r="G107" s="14">
        <f>data!AB61</f>
        <v>409950.71</v>
      </c>
      <c r="H107" s="14">
        <f>data!AC61</f>
        <v>121800.02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43109</v>
      </c>
      <c r="D108" s="14">
        <f>data!Y62</f>
        <v>281413</v>
      </c>
      <c r="E108" s="14">
        <f>data!Z62</f>
        <v>0</v>
      </c>
      <c r="F108" s="14">
        <f>data!AA62</f>
        <v>0</v>
      </c>
      <c r="G108" s="14">
        <f>data!AB62</f>
        <v>110299</v>
      </c>
      <c r="H108" s="14">
        <f>data!AC62</f>
        <v>50562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32543.8</v>
      </c>
      <c r="D110" s="14">
        <f>data!Y64</f>
        <v>28607.63</v>
      </c>
      <c r="E110" s="14">
        <f>data!Z64</f>
        <v>0</v>
      </c>
      <c r="F110" s="14">
        <f>data!AA64</f>
        <v>0</v>
      </c>
      <c r="G110" s="14">
        <f>data!AB64</f>
        <v>666680.39</v>
      </c>
      <c r="H110" s="14">
        <f>data!AC64</f>
        <v>41236.730000000003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221750.39</v>
      </c>
      <c r="E112" s="14">
        <f>data!Z66</f>
        <v>0</v>
      </c>
      <c r="F112" s="14">
        <f>data!AA66</f>
        <v>0</v>
      </c>
      <c r="G112" s="14">
        <f>data!AB66</f>
        <v>64264.93</v>
      </c>
      <c r="H112" s="14">
        <f>data!AC66</f>
        <v>9139.85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44959</v>
      </c>
      <c r="E113" s="14">
        <f>data!Z67</f>
        <v>0</v>
      </c>
      <c r="F113" s="14">
        <f>data!AA67</f>
        <v>0</v>
      </c>
      <c r="G113" s="14">
        <f>data!AB67</f>
        <v>11708</v>
      </c>
      <c r="H113" s="14">
        <f>data!AC67</f>
        <v>9283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15227.88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12288.69</v>
      </c>
      <c r="E115" s="14">
        <f>data!Z69</f>
        <v>0</v>
      </c>
      <c r="F115" s="14">
        <f>data!AA69</f>
        <v>0</v>
      </c>
      <c r="G115" s="14">
        <f>data!AB69</f>
        <v>49392.7</v>
      </c>
      <c r="H115" s="14">
        <f>data!AC69</f>
        <v>1525.59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133415.26999999999</v>
      </c>
      <c r="D117" s="14">
        <f>data!Y71</f>
        <v>1492851.0299999998</v>
      </c>
      <c r="E117" s="14">
        <f>data!Z71</f>
        <v>0</v>
      </c>
      <c r="F117" s="14">
        <f>data!AA71</f>
        <v>0</v>
      </c>
      <c r="G117" s="14">
        <f>data!AB71</f>
        <v>1312295.73</v>
      </c>
      <c r="H117" s="14">
        <f>data!AC71</f>
        <v>248775.07000000004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-2727194.27</v>
      </c>
      <c r="D120" s="14">
        <f>data!Y73</f>
        <v>-905531.1</v>
      </c>
      <c r="E120" s="14">
        <f>data!Z73</f>
        <v>0</v>
      </c>
      <c r="F120" s="14">
        <f>data!AA73</f>
        <v>0</v>
      </c>
      <c r="G120" s="14">
        <f>data!AB73</f>
        <v>-6992588.25</v>
      </c>
      <c r="H120" s="14">
        <f>data!AC73</f>
        <v>-2809210.15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-16701340.32</v>
      </c>
      <c r="D121" s="14">
        <f>data!Y74</f>
        <v>-8894261.3699999992</v>
      </c>
      <c r="E121" s="14">
        <f>data!Z74</f>
        <v>0</v>
      </c>
      <c r="F121" s="14">
        <f>data!AA74</f>
        <v>0</v>
      </c>
      <c r="G121" s="14">
        <f>data!AB74</f>
        <v>-2910303.67</v>
      </c>
      <c r="H121" s="14">
        <f>data!AC74</f>
        <v>-511413.67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-19428534.59</v>
      </c>
      <c r="D122" s="14">
        <f>data!Y75</f>
        <v>-9799792.4699999988</v>
      </c>
      <c r="E122" s="14">
        <f>data!Z75</f>
        <v>0</v>
      </c>
      <c r="F122" s="14">
        <f>data!AA75</f>
        <v>0</v>
      </c>
      <c r="G122" s="14">
        <f>data!AB75</f>
        <v>-9902891.9199999999</v>
      </c>
      <c r="H122" s="14">
        <f>data!AC75</f>
        <v>-3320623.82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4078</v>
      </c>
      <c r="E124" s="14">
        <f>data!Z76</f>
        <v>0</v>
      </c>
      <c r="F124" s="14">
        <f>data!AA76</f>
        <v>0</v>
      </c>
      <c r="G124" s="14">
        <f>data!AB76</f>
        <v>1062</v>
      </c>
      <c r="H124" s="14">
        <f>data!AC76</f>
        <v>842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31845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ASTRIA TOPPENISH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0.21</v>
      </c>
      <c r="D138" s="26">
        <f>data!AF60</f>
        <v>0</v>
      </c>
      <c r="E138" s="26">
        <f>data!AG60</f>
        <v>45.21</v>
      </c>
      <c r="F138" s="26">
        <f>data!AH60</f>
        <v>0</v>
      </c>
      <c r="G138" s="26">
        <f>data!AI60</f>
        <v>0</v>
      </c>
      <c r="H138" s="26">
        <f>data!AJ60</f>
        <v>85.31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72130.2</v>
      </c>
      <c r="D139" s="14">
        <f>data!AF61</f>
        <v>0</v>
      </c>
      <c r="E139" s="14">
        <f>data!AG61</f>
        <v>1748553.64</v>
      </c>
      <c r="F139" s="14">
        <f>data!AH61</f>
        <v>0</v>
      </c>
      <c r="G139" s="14">
        <f>data!AI61</f>
        <v>0</v>
      </c>
      <c r="H139" s="14">
        <f>data!AJ61</f>
        <v>6446164.5199999996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2981</v>
      </c>
      <c r="D140" s="14">
        <f>data!AF62</f>
        <v>0</v>
      </c>
      <c r="E140" s="14">
        <f>data!AG62</f>
        <v>476945</v>
      </c>
      <c r="F140" s="14">
        <f>data!AH62</f>
        <v>0</v>
      </c>
      <c r="G140" s="14">
        <f>data!AI62</f>
        <v>0</v>
      </c>
      <c r="H140" s="14">
        <f>data!AJ62</f>
        <v>1337952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-2000</v>
      </c>
      <c r="D141" s="14">
        <f>data!AF63</f>
        <v>0</v>
      </c>
      <c r="E141" s="14">
        <f>data!AG63</f>
        <v>634170</v>
      </c>
      <c r="F141" s="14">
        <f>data!AH63</f>
        <v>0</v>
      </c>
      <c r="G141" s="14">
        <f>data!AI63</f>
        <v>0</v>
      </c>
      <c r="H141" s="14">
        <f>data!AJ63</f>
        <v>74851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402.57</v>
      </c>
      <c r="D142" s="14">
        <f>data!AF64</f>
        <v>0</v>
      </c>
      <c r="E142" s="14">
        <f>data!AG64</f>
        <v>289894.23</v>
      </c>
      <c r="F142" s="14">
        <f>data!AH64</f>
        <v>0</v>
      </c>
      <c r="G142" s="14">
        <f>data!AI64</f>
        <v>0</v>
      </c>
      <c r="H142" s="14">
        <f>data!AJ64</f>
        <v>343961.17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67152.2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8877.84</v>
      </c>
      <c r="D144" s="14">
        <f>data!AF66</f>
        <v>0</v>
      </c>
      <c r="E144" s="14">
        <f>data!AG66</f>
        <v>2291.06</v>
      </c>
      <c r="F144" s="14">
        <f>data!AH66</f>
        <v>0</v>
      </c>
      <c r="G144" s="14">
        <f>data!AI66</f>
        <v>0</v>
      </c>
      <c r="H144" s="14">
        <f>data!AJ66</f>
        <v>172076.49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6064</v>
      </c>
      <c r="D145" s="14">
        <f>data!AF67</f>
        <v>0</v>
      </c>
      <c r="E145" s="14">
        <f>data!AG67</f>
        <v>51001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410402.97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6053.22</v>
      </c>
      <c r="D147" s="14">
        <f>data!AF69</f>
        <v>0</v>
      </c>
      <c r="E147" s="14">
        <f>data!AG69</f>
        <v>11415.92</v>
      </c>
      <c r="F147" s="14">
        <f>data!AH69</f>
        <v>0</v>
      </c>
      <c r="G147" s="14">
        <f>data!AI69</f>
        <v>0</v>
      </c>
      <c r="H147" s="14">
        <f>data!AJ69</f>
        <v>66723.64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94508.83</v>
      </c>
      <c r="D149" s="14">
        <f>data!AF71</f>
        <v>0</v>
      </c>
      <c r="E149" s="14">
        <f>data!AG71</f>
        <v>3214270.8499999996</v>
      </c>
      <c r="F149" s="14">
        <f>data!AH71</f>
        <v>0</v>
      </c>
      <c r="G149" s="14">
        <f>data!AI71</f>
        <v>0</v>
      </c>
      <c r="H149" s="14">
        <f>data!AJ71</f>
        <v>8919283.9900000002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-72318</v>
      </c>
      <c r="D152" s="14">
        <f>data!AF73</f>
        <v>0</v>
      </c>
      <c r="E152" s="14">
        <f>data!AG73</f>
        <v>-2255333.4900000002</v>
      </c>
      <c r="F152" s="14">
        <f>data!AH73</f>
        <v>0</v>
      </c>
      <c r="G152" s="14">
        <f>data!AI73</f>
        <v>0</v>
      </c>
      <c r="H152" s="14">
        <f>data!AJ73</f>
        <v>-3402</v>
      </c>
      <c r="I152" s="14">
        <f>data!AK73</f>
        <v>-11427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-289060</v>
      </c>
      <c r="D153" s="14">
        <f>data!AF74</f>
        <v>0</v>
      </c>
      <c r="E153" s="14">
        <f>data!AG74</f>
        <v>-22701062.140000001</v>
      </c>
      <c r="F153" s="14">
        <f>data!AH74</f>
        <v>0</v>
      </c>
      <c r="G153" s="14">
        <f>data!AI74</f>
        <v>0</v>
      </c>
      <c r="H153" s="14">
        <f>data!AJ74</f>
        <v>-28440793.350000001</v>
      </c>
      <c r="I153" s="14">
        <f>data!AK74</f>
        <v>-278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-361378</v>
      </c>
      <c r="D154" s="14">
        <f>data!AF75</f>
        <v>0</v>
      </c>
      <c r="E154" s="14">
        <f>data!AG75</f>
        <v>-24956395.630000003</v>
      </c>
      <c r="F154" s="14">
        <f>data!AH75</f>
        <v>0</v>
      </c>
      <c r="G154" s="14">
        <f>data!AI75</f>
        <v>0</v>
      </c>
      <c r="H154" s="14">
        <f>data!AJ75</f>
        <v>-28444195.350000001</v>
      </c>
      <c r="I154" s="14">
        <f>data!AK75</f>
        <v>-11705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550</v>
      </c>
      <c r="D156" s="14">
        <f>data!AF76</f>
        <v>0</v>
      </c>
      <c r="E156" s="14">
        <f>data!AG76</f>
        <v>4626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159223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2.88</v>
      </c>
      <c r="F160" s="26">
        <f>data!AH80</f>
        <v>0</v>
      </c>
      <c r="G160" s="26">
        <f>data!AI80</f>
        <v>0</v>
      </c>
      <c r="H160" s="26">
        <f>data!AJ80</f>
        <v>3.1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ASTRIA TOPPENISH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-21989</v>
      </c>
      <c r="D184" s="14">
        <f>data!AM73</f>
        <v>0</v>
      </c>
      <c r="E184" s="14">
        <f>data!AN73</f>
        <v>0</v>
      </c>
      <c r="F184" s="14">
        <f>data!AO73</f>
        <v>-925123.42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-1019</v>
      </c>
      <c r="D185" s="14">
        <f>data!AM74</f>
        <v>0</v>
      </c>
      <c r="E185" s="14">
        <f>data!AN74</f>
        <v>0</v>
      </c>
      <c r="F185" s="14">
        <f>data!AO74</f>
        <v>-66869.440000000002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-23008</v>
      </c>
      <c r="D186" s="14">
        <f>data!AM75</f>
        <v>0</v>
      </c>
      <c r="E186" s="14">
        <f>data!AN75</f>
        <v>0</v>
      </c>
      <c r="F186" s="14">
        <f>data!AO75</f>
        <v>-991992.8600000001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ASTRIA TOPPENISH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28547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0.2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6447.46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771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309886.23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558.41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2420.4699999999998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18334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510.26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338927.82999999996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-8321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-194740.33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-203061.33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1663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ASTRIA TOPPENISH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70293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14.52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4.1900000000000004</v>
      </c>
      <c r="H234" s="26">
        <f>data!BE60</f>
        <v>0</v>
      </c>
      <c r="I234" s="26">
        <f>data!BF60</f>
        <v>9.34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275516.21000000002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116797.25</v>
      </c>
      <c r="H235" s="14">
        <f>data!BE61</f>
        <v>116958.18</v>
      </c>
      <c r="I235" s="14">
        <f>data!BF61</f>
        <v>281610.15000000002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112659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42950</v>
      </c>
      <c r="H236" s="14">
        <f>data!BE62</f>
        <v>50662</v>
      </c>
      <c r="I236" s="14">
        <f>data!BF62</f>
        <v>110945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107.69</v>
      </c>
      <c r="D238" s="14">
        <f>data!BA64</f>
        <v>2687.36</v>
      </c>
      <c r="E238" s="14">
        <f>data!BB64</f>
        <v>0</v>
      </c>
      <c r="F238" s="14">
        <f>data!BC64</f>
        <v>0</v>
      </c>
      <c r="G238" s="14">
        <f>data!BD64</f>
        <v>-74403.58</v>
      </c>
      <c r="H238" s="14">
        <f>data!BE64</f>
        <v>33842.49</v>
      </c>
      <c r="I238" s="14">
        <f>data!BF64</f>
        <v>75487.72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384140.88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-82.11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13016.35</v>
      </c>
      <c r="H240" s="14">
        <f>data!BE66</f>
        <v>273536.32</v>
      </c>
      <c r="I240" s="14">
        <f>data!BF66</f>
        <v>128701.23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23461</v>
      </c>
      <c r="H241" s="14">
        <f>data!BE67</f>
        <v>34254</v>
      </c>
      <c r="I241" s="14">
        <f>data!BF67</f>
        <v>8798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319.38</v>
      </c>
      <c r="H242" s="14">
        <f>data!BE68</f>
        <v>28191.55</v>
      </c>
      <c r="I242" s="14">
        <f>data!BF68</f>
        <v>243.01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1796.17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9671.48</v>
      </c>
      <c r="H243" s="14">
        <f>data!BE69</f>
        <v>239.6</v>
      </c>
      <c r="I243" s="14">
        <f>data!BF69</f>
        <v>221.76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389996.96</v>
      </c>
      <c r="D245" s="14">
        <f>data!BA71</f>
        <v>2687.36</v>
      </c>
      <c r="E245" s="14">
        <f>data!BB71</f>
        <v>0</v>
      </c>
      <c r="F245" s="14">
        <f>data!BC71</f>
        <v>0</v>
      </c>
      <c r="G245" s="14">
        <f>data!BD71</f>
        <v>131811.88</v>
      </c>
      <c r="H245" s="14">
        <f>data!BE71</f>
        <v>921825.02000000014</v>
      </c>
      <c r="I245" s="14">
        <f>data!BF71</f>
        <v>606006.87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2128</v>
      </c>
      <c r="H252" s="85">
        <f>data!BE76</f>
        <v>3107</v>
      </c>
      <c r="I252" s="85">
        <f>data!BF76</f>
        <v>798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ASTRIA TOPPENISH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15.4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428083.03</v>
      </c>
      <c r="I267" s="14">
        <f>data!BM61</f>
        <v>71080.490000000005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140341</v>
      </c>
      <c r="I268" s="14">
        <f>data!BM62</f>
        <v>31109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2614.06</v>
      </c>
      <c r="H269" s="14">
        <f>data!BL63</f>
        <v>0</v>
      </c>
      <c r="I269" s="14">
        <f>data!BM63</f>
        <v>17450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27611.05</v>
      </c>
      <c r="E270" s="14">
        <f>data!BI64</f>
        <v>0</v>
      </c>
      <c r="F270" s="14">
        <f>data!BJ64</f>
        <v>0</v>
      </c>
      <c r="G270" s="14">
        <f>data!BK64</f>
        <v>14.86</v>
      </c>
      <c r="H270" s="14">
        <f>data!BL64</f>
        <v>9815.48</v>
      </c>
      <c r="I270" s="14">
        <f>data!BM64</f>
        <v>1023.31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24243.7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51.04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37660.43</v>
      </c>
      <c r="D272" s="14">
        <f>data!BH66</f>
        <v>191122.03</v>
      </c>
      <c r="E272" s="14">
        <f>data!BI66</f>
        <v>0</v>
      </c>
      <c r="F272" s="14">
        <f>data!BJ66</f>
        <v>0</v>
      </c>
      <c r="G272" s="14">
        <f>data!BK66</f>
        <v>1673.2</v>
      </c>
      <c r="H272" s="14">
        <f>data!BL66</f>
        <v>0</v>
      </c>
      <c r="I272" s="14">
        <f>data!BM66</f>
        <v>2800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3087</v>
      </c>
      <c r="E273" s="14">
        <f>data!BI67</f>
        <v>0</v>
      </c>
      <c r="F273" s="14">
        <f>data!BJ67</f>
        <v>0</v>
      </c>
      <c r="G273" s="14">
        <f>data!BK67</f>
        <v>27562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958.14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388.64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37660.43</v>
      </c>
      <c r="D277" s="14">
        <f>data!BH71</f>
        <v>247021.92</v>
      </c>
      <c r="E277" s="14">
        <f>data!BI71</f>
        <v>0</v>
      </c>
      <c r="F277" s="14">
        <f>data!BJ71</f>
        <v>0</v>
      </c>
      <c r="G277" s="14">
        <f>data!BK71</f>
        <v>31864.12</v>
      </c>
      <c r="H277" s="14">
        <f>data!BL71</f>
        <v>578679.19000000006</v>
      </c>
      <c r="I277" s="14">
        <f>data!BM71</f>
        <v>123462.8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280</v>
      </c>
      <c r="E284" s="85">
        <f>data!BI76</f>
        <v>0</v>
      </c>
      <c r="F284" s="85">
        <f>data!BJ76</f>
        <v>0</v>
      </c>
      <c r="G284" s="85">
        <f>data!BK76</f>
        <v>2500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ASTRIA TOPPENISH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1.22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296516.23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29921.93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1580912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8940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19565.53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23189.68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1811.52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159.74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8083422.3399999999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3124.26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24178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4498</v>
      </c>
      <c r="H305" s="14">
        <f>data!BS67</f>
        <v>3307</v>
      </c>
      <c r="I305" s="14">
        <f>data!BT67</f>
        <v>4189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1670.63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824045.13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50366.67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10853659.280000001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98662.38</v>
      </c>
      <c r="H309" s="14">
        <f>data!BS71</f>
        <v>3307</v>
      </c>
      <c r="I309" s="14">
        <f>data!BT71</f>
        <v>4189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2193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408</v>
      </c>
      <c r="H316" s="85">
        <f>data!BS76</f>
        <v>300</v>
      </c>
      <c r="I316" s="85">
        <f>data!BT76</f>
        <v>380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ASTRIA TOPPENISH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8.83</v>
      </c>
      <c r="E330" s="26">
        <f>data!BW60</f>
        <v>0</v>
      </c>
      <c r="F330" s="26">
        <f>data!BX60</f>
        <v>3.4</v>
      </c>
      <c r="G330" s="26">
        <f>data!BY60</f>
        <v>1.84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244034.16</v>
      </c>
      <c r="E331" s="86">
        <f>data!BW61</f>
        <v>0</v>
      </c>
      <c r="F331" s="86">
        <f>data!BX61</f>
        <v>240997.86</v>
      </c>
      <c r="G331" s="86">
        <f>data!BY61</f>
        <v>159224.12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82784</v>
      </c>
      <c r="E332" s="86">
        <f>data!BW62</f>
        <v>0</v>
      </c>
      <c r="F332" s="86">
        <f>data!BX62</f>
        <v>41065</v>
      </c>
      <c r="G332" s="86">
        <f>data!BY62</f>
        <v>58157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4231.88</v>
      </c>
      <c r="E334" s="86">
        <f>data!BW64</f>
        <v>0</v>
      </c>
      <c r="F334" s="86">
        <f>data!BX64</f>
        <v>943.71</v>
      </c>
      <c r="G334" s="86">
        <f>data!BY64</f>
        <v>28813.65</v>
      </c>
      <c r="H334" s="86">
        <f>data!BZ64</f>
        <v>0</v>
      </c>
      <c r="I334" s="86">
        <f>data!CA64</f>
        <v>322.61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26493.65</v>
      </c>
      <c r="E336" s="86">
        <f>data!BW66</f>
        <v>0</v>
      </c>
      <c r="F336" s="86">
        <f>data!BX66</f>
        <v>47395.88</v>
      </c>
      <c r="G336" s="86">
        <f>data!BY66</f>
        <v>84704.01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14994</v>
      </c>
      <c r="E337" s="86">
        <f>data!BW67</f>
        <v>0</v>
      </c>
      <c r="F337" s="86">
        <f>data!BX67</f>
        <v>3572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21381.85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22971.13</v>
      </c>
      <c r="E339" s="86">
        <f>data!BW69</f>
        <v>0</v>
      </c>
      <c r="F339" s="86">
        <f>data!BX69</f>
        <v>2184.09</v>
      </c>
      <c r="G339" s="86">
        <f>data!BY69</f>
        <v>50484.84</v>
      </c>
      <c r="H339" s="86">
        <f>data!BZ69</f>
        <v>0</v>
      </c>
      <c r="I339" s="86">
        <f>data!CA69</f>
        <v>4430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416890.67000000004</v>
      </c>
      <c r="E341" s="14">
        <f>data!BW71</f>
        <v>0</v>
      </c>
      <c r="F341" s="14">
        <f>data!BX71</f>
        <v>336158.54000000004</v>
      </c>
      <c r="G341" s="14">
        <f>data!BY71</f>
        <v>381383.62</v>
      </c>
      <c r="H341" s="14">
        <f>data!BZ71</f>
        <v>0</v>
      </c>
      <c r="I341" s="14">
        <f>data!CA71</f>
        <v>4752.6099999999997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1360</v>
      </c>
      <c r="E348" s="85">
        <f>data!BW76</f>
        <v>0</v>
      </c>
      <c r="F348" s="85">
        <f>data!BX76</f>
        <v>324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ASTRIA TOPPENISH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0.94</v>
      </c>
      <c r="E362" s="217"/>
      <c r="F362" s="211"/>
      <c r="G362" s="211"/>
      <c r="H362" s="211"/>
      <c r="I362" s="87">
        <f>data!CE60</f>
        <v>360.63999999999993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39974.06</v>
      </c>
      <c r="E363" s="218"/>
      <c r="F363" s="219"/>
      <c r="G363" s="219"/>
      <c r="H363" s="219"/>
      <c r="I363" s="86">
        <f>data!CE61</f>
        <v>19220060.899999999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-3215188</v>
      </c>
      <c r="E364" s="218"/>
      <c r="F364" s="219"/>
      <c r="G364" s="219"/>
      <c r="H364" s="219"/>
      <c r="I364" s="86">
        <f>data!CE62</f>
        <v>3684687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3014213.5699999994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152270.16</v>
      </c>
      <c r="E366" s="218"/>
      <c r="F366" s="219"/>
      <c r="G366" s="219"/>
      <c r="H366" s="219"/>
      <c r="I366" s="86">
        <f>data!CE64</f>
        <v>5807395.4100000011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505502.79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-9368.52</v>
      </c>
      <c r="E368" s="218"/>
      <c r="F368" s="219"/>
      <c r="G368" s="219"/>
      <c r="H368" s="219"/>
      <c r="I368" s="86">
        <f>data!CE66</f>
        <v>10576282.280000001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95453</v>
      </c>
      <c r="E369" s="218"/>
      <c r="F369" s="219"/>
      <c r="G369" s="219"/>
      <c r="H369" s="219"/>
      <c r="I369" s="86">
        <f>data!CE67</f>
        <v>774968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836483.16000000015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616374.55000000005</v>
      </c>
      <c r="E371" s="86">
        <f>data!CD69</f>
        <v>0</v>
      </c>
      <c r="F371" s="219"/>
      <c r="G371" s="219"/>
      <c r="H371" s="219"/>
      <c r="I371" s="86">
        <f>data!CE69</f>
        <v>1904035.36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-2320484.75</v>
      </c>
      <c r="E373" s="86">
        <f>data!CD71</f>
        <v>0</v>
      </c>
      <c r="F373" s="219"/>
      <c r="G373" s="219"/>
      <c r="H373" s="219"/>
      <c r="I373" s="14">
        <f>data!CE71</f>
        <v>46323628.469999999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-45997321.969999999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-140135149.32000002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-186132471.29000002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8658</v>
      </c>
      <c r="E380" s="214"/>
      <c r="F380" s="211"/>
      <c r="G380" s="211"/>
      <c r="H380" s="211"/>
      <c r="I380" s="14">
        <f>data!CE76</f>
        <v>70293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28547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353829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59.510000000000005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2022-08-01T18:35:14Z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2022-08-01T18:26:20Z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bc259ee1-3271-4405-8c29-b99174260b04</vt:lpwstr>
  </property>
  <property fmtid="{D5CDD505-2E9C-101B-9397-08002B2CF9AE}" pid="8" name="MSIP_Label_1520fa42-cf58-4c22-8b93-58cf1d3bd1cb_ContentBits">
    <vt:lpwstr>0</vt:lpwstr>
  </property>
</Properties>
</file>