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DC99E13B-6D79-4C8D-943D-FD8EA8A629F9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9" i="1" l="1"/>
  <c r="C387" i="1"/>
  <c r="C385" i="1"/>
  <c r="C384" i="1"/>
  <c r="C383" i="1"/>
  <c r="C381" i="1"/>
  <c r="C380" i="1"/>
  <c r="C378" i="1"/>
  <c r="C370" i="1"/>
  <c r="C366" i="1"/>
  <c r="C365" i="1"/>
  <c r="C364" i="1"/>
  <c r="C363" i="1"/>
  <c r="C359" i="1"/>
  <c r="C337" i="1"/>
  <c r="C327" i="1"/>
  <c r="C276" i="1"/>
  <c r="C272" i="1"/>
  <c r="C258" i="1"/>
  <c r="C253" i="1"/>
  <c r="C252" i="1"/>
  <c r="C250" i="1"/>
  <c r="C239" i="1"/>
  <c r="C238" i="1"/>
  <c r="C228" i="1"/>
  <c r="C227" i="1"/>
  <c r="C226" i="1"/>
  <c r="C224" i="1"/>
  <c r="C223" i="1"/>
  <c r="C221" i="1"/>
  <c r="C184" i="1"/>
  <c r="C171" i="1"/>
  <c r="C168" i="1"/>
  <c r="BN76" i="1"/>
  <c r="BI76" i="1"/>
  <c r="H76" i="1"/>
  <c r="H73" i="1"/>
  <c r="CD69" i="1"/>
  <c r="CA69" i="1"/>
  <c r="BX69" i="1"/>
  <c r="BR69" i="1"/>
  <c r="BP69" i="1"/>
  <c r="BN69" i="1"/>
  <c r="BL69" i="1"/>
  <c r="BE69" i="1"/>
  <c r="BB69" i="1"/>
  <c r="BV66" i="1"/>
  <c r="BN66" i="1"/>
  <c r="BL66" i="1"/>
  <c r="BK66" i="1"/>
  <c r="BJ66" i="1"/>
  <c r="BH66" i="1"/>
  <c r="BE66" i="1"/>
  <c r="BB66" i="1"/>
  <c r="AB66" i="1"/>
  <c r="Y66" i="1"/>
  <c r="H66" i="1"/>
  <c r="CA64" i="1"/>
  <c r="BP64" i="1"/>
  <c r="BN64" i="1"/>
  <c r="BL64" i="1"/>
  <c r="BJ64" i="1"/>
  <c r="BH64" i="1"/>
  <c r="BE64" i="1"/>
  <c r="BB64" i="1"/>
  <c r="AY64" i="1"/>
  <c r="AJ64" i="1"/>
  <c r="AB64" i="1"/>
  <c r="H64" i="1"/>
  <c r="BY61" i="1"/>
  <c r="BX61" i="1"/>
  <c r="BV61" i="1"/>
  <c r="CA60" i="1"/>
  <c r="BY60" i="1"/>
  <c r="BR61" i="1"/>
  <c r="BP61" i="1"/>
  <c r="BN61" i="1"/>
  <c r="BL61" i="1"/>
  <c r="BK61" i="1"/>
  <c r="BJ61" i="1"/>
  <c r="BH61" i="1"/>
  <c r="BG61" i="1"/>
  <c r="BF61" i="1"/>
  <c r="BN60" i="1"/>
  <c r="BL60" i="1"/>
  <c r="BK60" i="1"/>
  <c r="BE61" i="1"/>
  <c r="BB61" i="1"/>
  <c r="BB60" i="1"/>
  <c r="AY61" i="1"/>
  <c r="AM61" i="1"/>
  <c r="AJ61" i="1"/>
  <c r="H61" i="1"/>
  <c r="B52" i="1"/>
  <c r="BN47" i="1"/>
  <c r="BL47" i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F550" i="10"/>
  <c r="E550" i="10"/>
  <c r="D550" i="10"/>
  <c r="B550" i="10"/>
  <c r="H550" i="10" s="1"/>
  <c r="B549" i="10"/>
  <c r="B548" i="10"/>
  <c r="B547" i="10"/>
  <c r="H546" i="10"/>
  <c r="E546" i="10"/>
  <c r="D546" i="10"/>
  <c r="B546" i="10"/>
  <c r="F546" i="10" s="1"/>
  <c r="E545" i="10"/>
  <c r="D545" i="10"/>
  <c r="B545" i="10"/>
  <c r="H545" i="10" s="1"/>
  <c r="E544" i="10"/>
  <c r="D544" i="10"/>
  <c r="B544" i="10"/>
  <c r="H544" i="10" s="1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H537" i="10"/>
  <c r="E537" i="10"/>
  <c r="D537" i="10"/>
  <c r="B537" i="10"/>
  <c r="F537" i="10" s="1"/>
  <c r="H536" i="10"/>
  <c r="E536" i="10"/>
  <c r="D536" i="10"/>
  <c r="B536" i="10"/>
  <c r="F536" i="10" s="1"/>
  <c r="E535" i="10"/>
  <c r="D535" i="10"/>
  <c r="B535" i="10"/>
  <c r="H535" i="10" s="1"/>
  <c r="E534" i="10"/>
  <c r="D534" i="10"/>
  <c r="B534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H531" i="10" s="1"/>
  <c r="E530" i="10"/>
  <c r="D530" i="10"/>
  <c r="B530" i="10"/>
  <c r="E529" i="10"/>
  <c r="D529" i="10"/>
  <c r="B529" i="10"/>
  <c r="F529" i="10" s="1"/>
  <c r="E528" i="10"/>
  <c r="D528" i="10"/>
  <c r="B528" i="10"/>
  <c r="F528" i="10" s="1"/>
  <c r="E527" i="10"/>
  <c r="D527" i="10"/>
  <c r="B527" i="10"/>
  <c r="H527" i="10" s="1"/>
  <c r="E526" i="10"/>
  <c r="D526" i="10"/>
  <c r="B526" i="10"/>
  <c r="F526" i="10" s="1"/>
  <c r="H525" i="10"/>
  <c r="E525" i="10"/>
  <c r="D525" i="10"/>
  <c r="B525" i="10"/>
  <c r="F525" i="10" s="1"/>
  <c r="E524" i="10"/>
  <c r="D524" i="10"/>
  <c r="B524" i="10"/>
  <c r="F524" i="10" s="1"/>
  <c r="E523" i="10"/>
  <c r="D523" i="10"/>
  <c r="B523" i="10"/>
  <c r="H523" i="10" s="1"/>
  <c r="E522" i="10"/>
  <c r="D522" i="10"/>
  <c r="B522" i="10"/>
  <c r="F522" i="10" s="1"/>
  <c r="B521" i="10"/>
  <c r="F520" i="10"/>
  <c r="E520" i="10"/>
  <c r="D520" i="10"/>
  <c r="B520" i="10"/>
  <c r="H520" i="10" s="1"/>
  <c r="E519" i="10"/>
  <c r="D519" i="10"/>
  <c r="B519" i="10"/>
  <c r="F519" i="10" s="1"/>
  <c r="E518" i="10"/>
  <c r="D518" i="10"/>
  <c r="B518" i="10"/>
  <c r="F518" i="10" s="1"/>
  <c r="E517" i="10"/>
  <c r="D517" i="10"/>
  <c r="B517" i="10"/>
  <c r="H517" i="10" s="1"/>
  <c r="E516" i="10"/>
  <c r="D516" i="10"/>
  <c r="B516" i="10"/>
  <c r="H516" i="10" s="1"/>
  <c r="E515" i="10"/>
  <c r="D515" i="10"/>
  <c r="B515" i="10"/>
  <c r="F515" i="10" s="1"/>
  <c r="E514" i="10"/>
  <c r="D514" i="10"/>
  <c r="B514" i="10"/>
  <c r="H514" i="10" s="1"/>
  <c r="B513" i="10"/>
  <c r="H513" i="10" s="1"/>
  <c r="F512" i="10"/>
  <c r="B512" i="10"/>
  <c r="H512" i="10" s="1"/>
  <c r="H511" i="10"/>
  <c r="E511" i="10"/>
  <c r="D511" i="10"/>
  <c r="B511" i="10"/>
  <c r="F511" i="10" s="1"/>
  <c r="E510" i="10"/>
  <c r="D510" i="10"/>
  <c r="B510" i="10"/>
  <c r="F510" i="10" s="1"/>
  <c r="F509" i="10"/>
  <c r="E509" i="10"/>
  <c r="D509" i="10"/>
  <c r="B509" i="10"/>
  <c r="H509" i="10" s="1"/>
  <c r="E508" i="10"/>
  <c r="D508" i="10"/>
  <c r="B508" i="10"/>
  <c r="H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F498" i="10" s="1"/>
  <c r="E497" i="10"/>
  <c r="D497" i="10"/>
  <c r="B497" i="10"/>
  <c r="H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5" i="10"/>
  <c r="B474" i="10"/>
  <c r="B472" i="10"/>
  <c r="B471" i="10"/>
  <c r="B470" i="10"/>
  <c r="B469" i="10"/>
  <c r="C468" i="10"/>
  <c r="B468" i="10"/>
  <c r="B464" i="10"/>
  <c r="C459" i="10"/>
  <c r="B459" i="10"/>
  <c r="B458" i="10"/>
  <c r="B455" i="10"/>
  <c r="B454" i="10"/>
  <c r="B453" i="10"/>
  <c r="B446" i="10"/>
  <c r="C444" i="10"/>
  <c r="B438" i="10"/>
  <c r="B437" i="10"/>
  <c r="B436" i="10"/>
  <c r="B435" i="10"/>
  <c r="B434" i="10"/>
  <c r="B433" i="10"/>
  <c r="B431" i="10"/>
  <c r="B428" i="10"/>
  <c r="D424" i="10"/>
  <c r="B424" i="10"/>
  <c r="B423" i="10"/>
  <c r="D421" i="10"/>
  <c r="B421" i="10"/>
  <c r="B420" i="10"/>
  <c r="D418" i="10"/>
  <c r="B418" i="10"/>
  <c r="B417" i="10"/>
  <c r="D415" i="10"/>
  <c r="C415" i="10"/>
  <c r="B415" i="10"/>
  <c r="B414" i="10"/>
  <c r="A412" i="10"/>
  <c r="C389" i="10"/>
  <c r="B439" i="10" s="1"/>
  <c r="C383" i="10"/>
  <c r="B432" i="10" s="1"/>
  <c r="C381" i="10"/>
  <c r="B430" i="10" s="1"/>
  <c r="C380" i="10"/>
  <c r="C378" i="10"/>
  <c r="B427" i="10" s="1"/>
  <c r="D372" i="10"/>
  <c r="C366" i="10"/>
  <c r="C447" i="10" s="1"/>
  <c r="C365" i="10"/>
  <c r="C446" i="10" s="1"/>
  <c r="C364" i="10"/>
  <c r="C445" i="10" s="1"/>
  <c r="C363" i="10"/>
  <c r="C359" i="10"/>
  <c r="B463" i="10" s="1"/>
  <c r="C336" i="10"/>
  <c r="D329" i="10"/>
  <c r="D328" i="10"/>
  <c r="D319" i="10"/>
  <c r="D314" i="10"/>
  <c r="D290" i="10"/>
  <c r="C282" i="10"/>
  <c r="D283" i="10" s="1"/>
  <c r="C276" i="10"/>
  <c r="B478" i="10" s="1"/>
  <c r="C272" i="10"/>
  <c r="D275" i="10" s="1"/>
  <c r="B476" i="10" s="1"/>
  <c r="D265" i="10"/>
  <c r="C258" i="10"/>
  <c r="C253" i="10"/>
  <c r="D260" i="10" s="1"/>
  <c r="C252" i="10"/>
  <c r="C239" i="10"/>
  <c r="C238" i="10"/>
  <c r="D240" i="10" s="1"/>
  <c r="B447" i="10" s="1"/>
  <c r="D236" i="10"/>
  <c r="C228" i="10"/>
  <c r="C227" i="10"/>
  <c r="C226" i="10"/>
  <c r="C224" i="10"/>
  <c r="C223" i="10"/>
  <c r="C221" i="10"/>
  <c r="D221" i="10" s="1"/>
  <c r="D217" i="10"/>
  <c r="C217" i="10"/>
  <c r="D433" i="10" s="1"/>
  <c r="E216" i="10"/>
  <c r="E215" i="10"/>
  <c r="E214" i="10"/>
  <c r="C213" i="10"/>
  <c r="B213" i="10"/>
  <c r="B217" i="10" s="1"/>
  <c r="E212" i="10"/>
  <c r="E211" i="10"/>
  <c r="E210" i="10"/>
  <c r="E209" i="10"/>
  <c r="D204" i="10"/>
  <c r="B204" i="10"/>
  <c r="E203" i="10"/>
  <c r="C475" i="10" s="1"/>
  <c r="E202" i="10"/>
  <c r="C474" i="10" s="1"/>
  <c r="E201" i="10"/>
  <c r="C200" i="10"/>
  <c r="B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C184" i="10"/>
  <c r="C183" i="10"/>
  <c r="D186" i="10" s="1"/>
  <c r="D436" i="10" s="1"/>
  <c r="D181" i="10"/>
  <c r="D435" i="10" s="1"/>
  <c r="D177" i="10"/>
  <c r="D434" i="10" s="1"/>
  <c r="C171" i="10"/>
  <c r="C168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E142" i="10" s="1"/>
  <c r="D141" i="10"/>
  <c r="C141" i="10"/>
  <c r="E141" i="10" s="1"/>
  <c r="D463" i="10" s="1"/>
  <c r="B141" i="10"/>
  <c r="D140" i="10"/>
  <c r="E140" i="10" s="1"/>
  <c r="E139" i="10"/>
  <c r="D138" i="10"/>
  <c r="E138" i="10" s="1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H76" i="10"/>
  <c r="CE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H73" i="10"/>
  <c r="CE73" i="10" s="1"/>
  <c r="C463" i="10" s="1"/>
  <c r="CE70" i="10"/>
  <c r="C458" i="10" s="1"/>
  <c r="CD69" i="10"/>
  <c r="BY69" i="10"/>
  <c r="BW69" i="10"/>
  <c r="BP69" i="10"/>
  <c r="BN69" i="10"/>
  <c r="CE68" i="10"/>
  <c r="C434" i="10" s="1"/>
  <c r="BN66" i="10"/>
  <c r="BH66" i="10"/>
  <c r="AB66" i="10"/>
  <c r="H66" i="10"/>
  <c r="CE65" i="10"/>
  <c r="C431" i="10" s="1"/>
  <c r="BN64" i="10"/>
  <c r="BK64" i="10"/>
  <c r="BJ64" i="10"/>
  <c r="H64" i="10"/>
  <c r="CE64" i="10" s="1"/>
  <c r="BW63" i="10"/>
  <c r="CE63" i="10" s="1"/>
  <c r="C429" i="10" s="1"/>
  <c r="BY61" i="10"/>
  <c r="BX61" i="10"/>
  <c r="BV61" i="10"/>
  <c r="BR61" i="10"/>
  <c r="BP61" i="10"/>
  <c r="BN61" i="10"/>
  <c r="BL61" i="10"/>
  <c r="BK61" i="10"/>
  <c r="BJ61" i="10"/>
  <c r="BG61" i="10"/>
  <c r="BF61" i="10"/>
  <c r="BE61" i="10"/>
  <c r="BB61" i="10"/>
  <c r="AY61" i="10"/>
  <c r="AM61" i="10"/>
  <c r="AJ61" i="10"/>
  <c r="H61" i="10"/>
  <c r="CE61" i="10" s="1"/>
  <c r="C427" i="10" s="1"/>
  <c r="CA60" i="10"/>
  <c r="BN60" i="10"/>
  <c r="H60" i="10"/>
  <c r="CE60" i="10" s="1"/>
  <c r="H612" i="10" s="1"/>
  <c r="B53" i="10"/>
  <c r="CE51" i="10"/>
  <c r="BN47" i="10"/>
  <c r="BK47" i="10"/>
  <c r="H47" i="10"/>
  <c r="H518" i="10" l="1"/>
  <c r="H528" i="10"/>
  <c r="H524" i="10"/>
  <c r="H526" i="10"/>
  <c r="F545" i="10"/>
  <c r="F513" i="10"/>
  <c r="H515" i="10"/>
  <c r="H522" i="10"/>
  <c r="G48" i="10"/>
  <c r="G62" i="10" s="1"/>
  <c r="F531" i="10"/>
  <c r="H533" i="10"/>
  <c r="H540" i="10"/>
  <c r="H529" i="10"/>
  <c r="F497" i="10"/>
  <c r="H499" i="10"/>
  <c r="F501" i="10"/>
  <c r="H503" i="10"/>
  <c r="F505" i="10"/>
  <c r="H507" i="10"/>
  <c r="AM48" i="10"/>
  <c r="AM62" i="10" s="1"/>
  <c r="K48" i="10"/>
  <c r="K62" i="10" s="1"/>
  <c r="AQ48" i="10"/>
  <c r="AQ62" i="10" s="1"/>
  <c r="O48" i="10"/>
  <c r="O62" i="10" s="1"/>
  <c r="AU48" i="10"/>
  <c r="AU62" i="10" s="1"/>
  <c r="S48" i="10"/>
  <c r="S62" i="10" s="1"/>
  <c r="BA48" i="10"/>
  <c r="BA62" i="10" s="1"/>
  <c r="CF76" i="10"/>
  <c r="D464" i="10"/>
  <c r="D330" i="10"/>
  <c r="W48" i="10"/>
  <c r="W62" i="10" s="1"/>
  <c r="BI48" i="10"/>
  <c r="BI62" i="10" s="1"/>
  <c r="CE69" i="10"/>
  <c r="C440" i="10" s="1"/>
  <c r="D390" i="10"/>
  <c r="B441" i="10" s="1"/>
  <c r="AA48" i="10"/>
  <c r="AA62" i="10" s="1"/>
  <c r="BV48" i="10"/>
  <c r="BV62" i="10" s="1"/>
  <c r="CE75" i="10"/>
  <c r="CF77" i="10"/>
  <c r="D277" i="10"/>
  <c r="AE48" i="10"/>
  <c r="AE62" i="10" s="1"/>
  <c r="D367" i="10"/>
  <c r="C448" i="10" s="1"/>
  <c r="C48" i="10"/>
  <c r="C62" i="10" s="1"/>
  <c r="AI48" i="10"/>
  <c r="AI62" i="10" s="1"/>
  <c r="CE66" i="10"/>
  <c r="C432" i="10" s="1"/>
  <c r="B429" i="10"/>
  <c r="F514" i="10"/>
  <c r="F516" i="10"/>
  <c r="C439" i="10"/>
  <c r="D292" i="10"/>
  <c r="D341" i="10" s="1"/>
  <c r="C481" i="10" s="1"/>
  <c r="F496" i="10"/>
  <c r="H498" i="10"/>
  <c r="F500" i="10"/>
  <c r="H502" i="10"/>
  <c r="F504" i="10"/>
  <c r="H506" i="10"/>
  <c r="F508" i="10"/>
  <c r="H510" i="10"/>
  <c r="H519" i="10"/>
  <c r="F612" i="10"/>
  <c r="C430" i="10"/>
  <c r="B444" i="10"/>
  <c r="D465" i="10"/>
  <c r="F530" i="10"/>
  <c r="H530" i="10"/>
  <c r="D48" i="10"/>
  <c r="D62" i="10" s="1"/>
  <c r="H48" i="10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BB48" i="10"/>
  <c r="BB62" i="10" s="1"/>
  <c r="BJ48" i="10"/>
  <c r="BJ62" i="10" s="1"/>
  <c r="BZ48" i="10"/>
  <c r="BZ62" i="10" s="1"/>
  <c r="H52" i="10"/>
  <c r="H67" i="10" s="1"/>
  <c r="X52" i="10"/>
  <c r="X67" i="10" s="1"/>
  <c r="AN52" i="10"/>
  <c r="AN67" i="10" s="1"/>
  <c r="BD52" i="10"/>
  <c r="BD67" i="10" s="1"/>
  <c r="BT52" i="10"/>
  <c r="BT67" i="10" s="1"/>
  <c r="C615" i="10"/>
  <c r="CD71" i="10"/>
  <c r="C575" i="10" s="1"/>
  <c r="C438" i="10"/>
  <c r="C204" i="10"/>
  <c r="E200" i="10"/>
  <c r="D229" i="10"/>
  <c r="B445" i="10" s="1"/>
  <c r="F535" i="10"/>
  <c r="CC48" i="10"/>
  <c r="CC62" i="10" s="1"/>
  <c r="BY48" i="10"/>
  <c r="BY62" i="10" s="1"/>
  <c r="BU48" i="10"/>
  <c r="BU62" i="10" s="1"/>
  <c r="BQ48" i="10"/>
  <c r="BQ62" i="10" s="1"/>
  <c r="BM48" i="10"/>
  <c r="BM62" i="10" s="1"/>
  <c r="CB48" i="10"/>
  <c r="CB62" i="10" s="1"/>
  <c r="BX48" i="10"/>
  <c r="BX62" i="10" s="1"/>
  <c r="BT48" i="10"/>
  <c r="BT62" i="10" s="1"/>
  <c r="BT71" i="10" s="1"/>
  <c r="BP48" i="10"/>
  <c r="BP62" i="10" s="1"/>
  <c r="BL48" i="10"/>
  <c r="BL62" i="10" s="1"/>
  <c r="BH48" i="10"/>
  <c r="BH62" i="10" s="1"/>
  <c r="BD48" i="10"/>
  <c r="BD62" i="10" s="1"/>
  <c r="BD71" i="10" s="1"/>
  <c r="AZ48" i="10"/>
  <c r="AZ62" i="10" s="1"/>
  <c r="CA48" i="10"/>
  <c r="CA62" i="10" s="1"/>
  <c r="BW48" i="10"/>
  <c r="BW62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E48" i="10"/>
  <c r="E62" i="10" s="1"/>
  <c r="Q48" i="10"/>
  <c r="Q62" i="10" s="1"/>
  <c r="Y48" i="10"/>
  <c r="Y62" i="10" s="1"/>
  <c r="AG48" i="10"/>
  <c r="AG62" i="10" s="1"/>
  <c r="AS48" i="10"/>
  <c r="AS62" i="10" s="1"/>
  <c r="AB52" i="10"/>
  <c r="AB67" i="10" s="1"/>
  <c r="AR52" i="10"/>
  <c r="AR67" i="10" s="1"/>
  <c r="BX52" i="10"/>
  <c r="BX67" i="10" s="1"/>
  <c r="H62" i="10"/>
  <c r="H71" i="10" s="1"/>
  <c r="I48" i="10"/>
  <c r="I62" i="10" s="1"/>
  <c r="M48" i="10"/>
  <c r="M62" i="10" s="1"/>
  <c r="U48" i="10"/>
  <c r="U62" i="10" s="1"/>
  <c r="AC48" i="10"/>
  <c r="AC62" i="10" s="1"/>
  <c r="AK48" i="10"/>
  <c r="AK62" i="10" s="1"/>
  <c r="AO48" i="10"/>
  <c r="AO62" i="10" s="1"/>
  <c r="AW48" i="10"/>
  <c r="AW62" i="10" s="1"/>
  <c r="BE48" i="10"/>
  <c r="BE62" i="10" s="1"/>
  <c r="BN48" i="10"/>
  <c r="BN62" i="10" s="1"/>
  <c r="BN71" i="10" s="1"/>
  <c r="L52" i="10"/>
  <c r="L67" i="10" s="1"/>
  <c r="BH52" i="10"/>
  <c r="BH67" i="10" s="1"/>
  <c r="K612" i="10"/>
  <c r="C465" i="10"/>
  <c r="CE47" i="10"/>
  <c r="B47" i="10" s="1"/>
  <c r="B49" i="10" s="1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F48" i="10"/>
  <c r="BF62" i="10" s="1"/>
  <c r="BR48" i="10"/>
  <c r="BR62" i="10" s="1"/>
  <c r="P52" i="10"/>
  <c r="P67" i="10" s="1"/>
  <c r="AF52" i="10"/>
  <c r="AF67" i="10" s="1"/>
  <c r="AV52" i="10"/>
  <c r="AV67" i="10" s="1"/>
  <c r="BL52" i="10"/>
  <c r="BL67" i="10" s="1"/>
  <c r="D612" i="10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G71" i="10" s="1"/>
  <c r="BC52" i="10"/>
  <c r="BC67" i="10" s="1"/>
  <c r="AY52" i="10"/>
  <c r="AY67" i="10" s="1"/>
  <c r="AU52" i="10"/>
  <c r="AU67" i="10" s="1"/>
  <c r="AU71" i="10" s="1"/>
  <c r="AQ52" i="10"/>
  <c r="AQ67" i="10" s="1"/>
  <c r="AQ71" i="10" s="1"/>
  <c r="AM52" i="10"/>
  <c r="AM67" i="10" s="1"/>
  <c r="AM71" i="10" s="1"/>
  <c r="AI52" i="10"/>
  <c r="AI67" i="10" s="1"/>
  <c r="AI71" i="10" s="1"/>
  <c r="AE52" i="10"/>
  <c r="AE67" i="10" s="1"/>
  <c r="AE71" i="10" s="1"/>
  <c r="AA52" i="10"/>
  <c r="AA67" i="10" s="1"/>
  <c r="W52" i="10"/>
  <c r="W67" i="10" s="1"/>
  <c r="W71" i="10" s="1"/>
  <c r="S52" i="10"/>
  <c r="S67" i="10" s="1"/>
  <c r="S71" i="10" s="1"/>
  <c r="O52" i="10"/>
  <c r="O67" i="10" s="1"/>
  <c r="O71" i="10" s="1"/>
  <c r="K52" i="10"/>
  <c r="K67" i="10" s="1"/>
  <c r="K71" i="10" s="1"/>
  <c r="G52" i="10"/>
  <c r="G67" i="10" s="1"/>
  <c r="G71" i="10" s="1"/>
  <c r="C52" i="10"/>
  <c r="BZ52" i="10"/>
  <c r="BZ67" i="10" s="1"/>
  <c r="BV52" i="10"/>
  <c r="BV67" i="10" s="1"/>
  <c r="BV71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BY52" i="10"/>
  <c r="BY67" i="10" s="1"/>
  <c r="BY71" i="10" s="1"/>
  <c r="BU52" i="10"/>
  <c r="BU67" i="10" s="1"/>
  <c r="BQ52" i="10"/>
  <c r="BQ67" i="10" s="1"/>
  <c r="BM52" i="10"/>
  <c r="BM67" i="10" s="1"/>
  <c r="BI52" i="10"/>
  <c r="BI67" i="10" s="1"/>
  <c r="BI71" i="10" s="1"/>
  <c r="BE52" i="10"/>
  <c r="BE67" i="10" s="1"/>
  <c r="BA52" i="10"/>
  <c r="BA67" i="10" s="1"/>
  <c r="BA71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D339" i="10"/>
  <c r="C482" i="10" s="1"/>
  <c r="B440" i="10"/>
  <c r="B473" i="10"/>
  <c r="H534" i="10"/>
  <c r="F534" i="10"/>
  <c r="D361" i="10"/>
  <c r="D438" i="10"/>
  <c r="F517" i="10"/>
  <c r="F523" i="10"/>
  <c r="F539" i="10"/>
  <c r="E213" i="10"/>
  <c r="E217" i="10" s="1"/>
  <c r="C478" i="10" s="1"/>
  <c r="F521" i="10"/>
  <c r="H521" i="10"/>
  <c r="F527" i="10"/>
  <c r="F538" i="10"/>
  <c r="F544" i="10"/>
  <c r="B565" i="1"/>
  <c r="B549" i="1"/>
  <c r="F493" i="1"/>
  <c r="D493" i="1"/>
  <c r="B493" i="1"/>
  <c r="AH71" i="10" l="1"/>
  <c r="B527" i="1" s="1"/>
  <c r="CB52" i="10"/>
  <c r="CB67" i="10" s="1"/>
  <c r="AJ52" i="10"/>
  <c r="AJ67" i="10" s="1"/>
  <c r="T52" i="10"/>
  <c r="T67" i="10" s="1"/>
  <c r="AZ52" i="10"/>
  <c r="AZ67" i="10" s="1"/>
  <c r="BP52" i="10"/>
  <c r="BP67" i="10" s="1"/>
  <c r="BR71" i="10"/>
  <c r="AY71" i="10"/>
  <c r="C544" i="10" s="1"/>
  <c r="G544" i="10" s="1"/>
  <c r="AZ71" i="10"/>
  <c r="C628" i="10" s="1"/>
  <c r="BM71" i="10"/>
  <c r="B558" i="1" s="1"/>
  <c r="AJ71" i="10"/>
  <c r="CB71" i="10"/>
  <c r="B573" i="1" s="1"/>
  <c r="BF71" i="10"/>
  <c r="AC71" i="10"/>
  <c r="B522" i="1" s="1"/>
  <c r="AX71" i="10"/>
  <c r="B543" i="1" s="1"/>
  <c r="R71" i="10"/>
  <c r="B511" i="1" s="1"/>
  <c r="BK71" i="10"/>
  <c r="BJ71" i="10"/>
  <c r="AG71" i="10"/>
  <c r="B526" i="1" s="1"/>
  <c r="BO71" i="10"/>
  <c r="BP71" i="10"/>
  <c r="CC71" i="10"/>
  <c r="B574" i="1" s="1"/>
  <c r="BB71" i="10"/>
  <c r="C547" i="10" s="1"/>
  <c r="T71" i="10"/>
  <c r="C513" i="10" s="1"/>
  <c r="G513" i="10" s="1"/>
  <c r="AA71" i="10"/>
  <c r="BE71" i="10"/>
  <c r="D52" i="10"/>
  <c r="D67" i="10" s="1"/>
  <c r="D71" i="10" s="1"/>
  <c r="C626" i="10"/>
  <c r="C563" i="10"/>
  <c r="B563" i="1"/>
  <c r="C567" i="10"/>
  <c r="C642" i="10"/>
  <c r="B567" i="1"/>
  <c r="C708" i="10"/>
  <c r="C536" i="10"/>
  <c r="G536" i="10" s="1"/>
  <c r="B536" i="1"/>
  <c r="C618" i="10"/>
  <c r="C552" i="10"/>
  <c r="B552" i="1"/>
  <c r="C629" i="10"/>
  <c r="C551" i="10"/>
  <c r="B551" i="1"/>
  <c r="C550" i="10"/>
  <c r="G550" i="10" s="1"/>
  <c r="C614" i="10"/>
  <c r="B550" i="1"/>
  <c r="C619" i="10"/>
  <c r="C559" i="10"/>
  <c r="B559" i="1"/>
  <c r="C500" i="10"/>
  <c r="G500" i="10" s="1"/>
  <c r="C672" i="10"/>
  <c r="B500" i="1"/>
  <c r="C621" i="10"/>
  <c r="C561" i="10"/>
  <c r="B561" i="1"/>
  <c r="C692" i="10"/>
  <c r="C520" i="10"/>
  <c r="G520" i="10" s="1"/>
  <c r="B520" i="1"/>
  <c r="C645" i="10"/>
  <c r="C570" i="10"/>
  <c r="B570" i="1"/>
  <c r="C508" i="10"/>
  <c r="G508" i="10" s="1"/>
  <c r="C680" i="10"/>
  <c r="B508" i="1"/>
  <c r="C712" i="10"/>
  <c r="C540" i="10"/>
  <c r="G540" i="10" s="1"/>
  <c r="B540" i="1"/>
  <c r="C630" i="10"/>
  <c r="C546" i="10"/>
  <c r="G546" i="10" s="1"/>
  <c r="B546" i="1"/>
  <c r="C516" i="10"/>
  <c r="G516" i="10" s="1"/>
  <c r="C688" i="10"/>
  <c r="B516" i="1"/>
  <c r="C676" i="10"/>
  <c r="C504" i="10"/>
  <c r="G504" i="10" s="1"/>
  <c r="B504" i="1"/>
  <c r="C634" i="10"/>
  <c r="C554" i="10"/>
  <c r="B554" i="1"/>
  <c r="C700" i="10"/>
  <c r="C528" i="10"/>
  <c r="G528" i="10" s="1"/>
  <c r="B528" i="1"/>
  <c r="C635" i="10"/>
  <c r="C556" i="10"/>
  <c r="B556" i="1"/>
  <c r="C617" i="10"/>
  <c r="C555" i="10"/>
  <c r="B555" i="1"/>
  <c r="C694" i="10"/>
  <c r="C522" i="10"/>
  <c r="G522" i="10" s="1"/>
  <c r="C627" i="10"/>
  <c r="C560" i="10"/>
  <c r="C638" i="10"/>
  <c r="C558" i="10"/>
  <c r="C684" i="10"/>
  <c r="C512" i="10"/>
  <c r="G512" i="10" s="1"/>
  <c r="C701" i="10"/>
  <c r="C529" i="10"/>
  <c r="G529" i="10" s="1"/>
  <c r="C685" i="10"/>
  <c r="C673" i="10"/>
  <c r="C501" i="10"/>
  <c r="G501" i="10" s="1"/>
  <c r="B575" i="1"/>
  <c r="B465" i="10"/>
  <c r="D368" i="10"/>
  <c r="D373" i="10" s="1"/>
  <c r="D391" i="10" s="1"/>
  <c r="D393" i="10" s="1"/>
  <c r="D396" i="10" s="1"/>
  <c r="AT71" i="10"/>
  <c r="AD71" i="10"/>
  <c r="N71" i="10"/>
  <c r="M744" i="10" s="1"/>
  <c r="AW71" i="10"/>
  <c r="U71" i="10"/>
  <c r="Y71" i="10"/>
  <c r="BC71" i="10"/>
  <c r="BS71" i="10"/>
  <c r="M801" i="10" s="1"/>
  <c r="C549" i="10"/>
  <c r="C624" i="10"/>
  <c r="C565" i="10"/>
  <c r="C640" i="10"/>
  <c r="BQ71" i="10"/>
  <c r="C473" i="10"/>
  <c r="E204" i="10"/>
  <c r="C476" i="10" s="1"/>
  <c r="AV71" i="10"/>
  <c r="AF71" i="10"/>
  <c r="P71" i="10"/>
  <c r="C698" i="10"/>
  <c r="C526" i="10"/>
  <c r="G526" i="10" s="1"/>
  <c r="C620" i="10"/>
  <c r="C574" i="10"/>
  <c r="C67" i="10"/>
  <c r="CE52" i="10"/>
  <c r="AP71" i="10"/>
  <c r="Z71" i="10"/>
  <c r="J71" i="10"/>
  <c r="AO71" i="10"/>
  <c r="M71" i="10"/>
  <c r="CE48" i="10"/>
  <c r="Q71" i="10"/>
  <c r="BW71" i="10"/>
  <c r="BH71" i="10"/>
  <c r="BX71" i="10"/>
  <c r="BU71" i="10"/>
  <c r="BZ71" i="10"/>
  <c r="AR71" i="10"/>
  <c r="AB71" i="10"/>
  <c r="L71" i="10"/>
  <c r="D242" i="10"/>
  <c r="B448" i="10" s="1"/>
  <c r="C704" i="10"/>
  <c r="C532" i="10"/>
  <c r="G532" i="10" s="1"/>
  <c r="C696" i="10"/>
  <c r="C524" i="10"/>
  <c r="G524" i="10" s="1"/>
  <c r="B512" i="1"/>
  <c r="B524" i="1"/>
  <c r="B532" i="1"/>
  <c r="B560" i="1"/>
  <c r="B501" i="1"/>
  <c r="B529" i="1"/>
  <c r="AL71" i="10"/>
  <c r="V71" i="10"/>
  <c r="F71" i="10"/>
  <c r="AK71" i="10"/>
  <c r="I71" i="10"/>
  <c r="CE62" i="10"/>
  <c r="AS71" i="10"/>
  <c r="E71" i="10"/>
  <c r="CA71" i="10"/>
  <c r="BL71" i="10"/>
  <c r="C622" i="10"/>
  <c r="C573" i="10"/>
  <c r="AN71" i="10"/>
  <c r="X71" i="10"/>
  <c r="O816" i="10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 s="1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429" i="1" s="1"/>
  <c r="CE66" i="1"/>
  <c r="CE68" i="1"/>
  <c r="I370" i="9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J726" i="1"/>
  <c r="AI726" i="1"/>
  <c r="AH726" i="1"/>
  <c r="AG726" i="1"/>
  <c r="AE726" i="1"/>
  <c r="AD726" i="1"/>
  <c r="AB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F8" i="4"/>
  <c r="F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C120" i="8" s="1"/>
  <c r="N766" i="1"/>
  <c r="N760" i="1"/>
  <c r="N743" i="1"/>
  <c r="N769" i="1"/>
  <c r="N753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29" i="9"/>
  <c r="C95" i="9"/>
  <c r="CE79" i="1"/>
  <c r="S748" i="1"/>
  <c r="E142" i="1"/>
  <c r="F10" i="4" s="1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K816" i="1"/>
  <c r="C615" i="1"/>
  <c r="B440" i="1"/>
  <c r="C48" i="1"/>
  <c r="C62" i="1" s="1"/>
  <c r="E734" i="1" s="1"/>
  <c r="V815" i="1"/>
  <c r="O816" i="1"/>
  <c r="E372" i="9"/>
  <c r="E792" i="1"/>
  <c r="CA48" i="1"/>
  <c r="CA62" i="1" s="1"/>
  <c r="BY48" i="1"/>
  <c r="BY62" i="1" s="1"/>
  <c r="BX48" i="1"/>
  <c r="BX62" i="1" s="1"/>
  <c r="E807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E791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I172" i="9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H300" i="9"/>
  <c r="I380" i="9"/>
  <c r="P816" i="1"/>
  <c r="B10" i="4"/>
  <c r="I372" i="9"/>
  <c r="M816" i="1"/>
  <c r="I366" i="9"/>
  <c r="C430" i="1"/>
  <c r="I381" i="9"/>
  <c r="CF77" i="1"/>
  <c r="Q816" i="1"/>
  <c r="G612" i="1"/>
  <c r="M734" i="10" l="1"/>
  <c r="B497" i="1"/>
  <c r="C669" i="10"/>
  <c r="C497" i="10"/>
  <c r="G497" i="10" s="1"/>
  <c r="N817" i="1"/>
  <c r="C511" i="10"/>
  <c r="G511" i="10" s="1"/>
  <c r="B547" i="1"/>
  <c r="B544" i="1"/>
  <c r="N757" i="1"/>
  <c r="D330" i="1"/>
  <c r="C86" i="8" s="1"/>
  <c r="F26" i="9"/>
  <c r="D186" i="9"/>
  <c r="B545" i="1"/>
  <c r="C683" i="10"/>
  <c r="C632" i="10"/>
  <c r="C625" i="10"/>
  <c r="C648" i="10" s="1"/>
  <c r="M716" i="10" s="1"/>
  <c r="C545" i="10"/>
  <c r="G545" i="10" s="1"/>
  <c r="C543" i="10"/>
  <c r="C527" i="10"/>
  <c r="G527" i="10" s="1"/>
  <c r="N747" i="1"/>
  <c r="C112" i="8"/>
  <c r="T814" i="10"/>
  <c r="H814" i="10"/>
  <c r="R814" i="10"/>
  <c r="B513" i="1"/>
  <c r="C616" i="10"/>
  <c r="C699" i="10"/>
  <c r="C141" i="8"/>
  <c r="F815" i="1"/>
  <c r="K814" i="10"/>
  <c r="D141" i="1"/>
  <c r="C141" i="1"/>
  <c r="B141" i="1"/>
  <c r="N758" i="1"/>
  <c r="D815" i="1"/>
  <c r="E752" i="1"/>
  <c r="E790" i="1"/>
  <c r="E44" i="9"/>
  <c r="C236" i="9"/>
  <c r="E783" i="1"/>
  <c r="D816" i="1"/>
  <c r="AS48" i="1"/>
  <c r="AS62" i="1" s="1"/>
  <c r="I300" i="9"/>
  <c r="D268" i="9"/>
  <c r="C12" i="9"/>
  <c r="E749" i="1"/>
  <c r="E757" i="1"/>
  <c r="E108" i="9"/>
  <c r="E737" i="1"/>
  <c r="E775" i="1"/>
  <c r="E300" i="9"/>
  <c r="E787" i="1"/>
  <c r="E800" i="1"/>
  <c r="F332" i="9"/>
  <c r="I140" i="9"/>
  <c r="E788" i="1"/>
  <c r="P814" i="10"/>
  <c r="C689" i="10"/>
  <c r="C517" i="10"/>
  <c r="G517" i="10" s="1"/>
  <c r="B517" i="1"/>
  <c r="C557" i="10"/>
  <c r="C637" i="10"/>
  <c r="B557" i="1"/>
  <c r="C687" i="10"/>
  <c r="C515" i="10"/>
  <c r="G515" i="10" s="1"/>
  <c r="B515" i="1"/>
  <c r="C678" i="10"/>
  <c r="C506" i="10"/>
  <c r="G506" i="10" s="1"/>
  <c r="B506" i="1"/>
  <c r="M754" i="10"/>
  <c r="C705" i="10"/>
  <c r="C533" i="10"/>
  <c r="G533" i="10" s="1"/>
  <c r="B533" i="1"/>
  <c r="C647" i="10"/>
  <c r="C572" i="10"/>
  <c r="B572" i="1"/>
  <c r="C674" i="10"/>
  <c r="C502" i="10"/>
  <c r="G502" i="10" s="1"/>
  <c r="B502" i="1"/>
  <c r="C703" i="10"/>
  <c r="C531" i="10"/>
  <c r="G531" i="10" s="1"/>
  <c r="B531" i="1"/>
  <c r="C646" i="10"/>
  <c r="C571" i="10"/>
  <c r="B571" i="1"/>
  <c r="C643" i="10"/>
  <c r="C568" i="10"/>
  <c r="B568" i="1"/>
  <c r="C706" i="10"/>
  <c r="C534" i="10"/>
  <c r="G534" i="10" s="1"/>
  <c r="B534" i="1"/>
  <c r="C681" i="10"/>
  <c r="C509" i="10"/>
  <c r="G509" i="10" s="1"/>
  <c r="B509" i="1"/>
  <c r="C690" i="10"/>
  <c r="C518" i="10"/>
  <c r="G518" i="10" s="1"/>
  <c r="B518" i="1"/>
  <c r="C695" i="10"/>
  <c r="C523" i="10"/>
  <c r="G523" i="10" s="1"/>
  <c r="B523" i="1"/>
  <c r="C428" i="10"/>
  <c r="C709" i="10"/>
  <c r="C537" i="10"/>
  <c r="G537" i="10" s="1"/>
  <c r="B537" i="1"/>
  <c r="C553" i="10"/>
  <c r="C636" i="10"/>
  <c r="B553" i="1"/>
  <c r="C707" i="10"/>
  <c r="C535" i="10"/>
  <c r="G535" i="10" s="1"/>
  <c r="B535" i="1"/>
  <c r="C548" i="10"/>
  <c r="C633" i="10"/>
  <c r="B548" i="1"/>
  <c r="C679" i="10"/>
  <c r="C507" i="10"/>
  <c r="G507" i="10" s="1"/>
  <c r="B507" i="1"/>
  <c r="M755" i="10"/>
  <c r="M760" i="10"/>
  <c r="M768" i="10"/>
  <c r="M772" i="10"/>
  <c r="M808" i="10"/>
  <c r="C670" i="10"/>
  <c r="C498" i="10"/>
  <c r="G498" i="10" s="1"/>
  <c r="B498" i="1"/>
  <c r="C702" i="10"/>
  <c r="C530" i="10"/>
  <c r="G530" i="10" s="1"/>
  <c r="B530" i="1"/>
  <c r="C677" i="10"/>
  <c r="C505" i="10"/>
  <c r="G505" i="10" s="1"/>
  <c r="B505" i="1"/>
  <c r="C641" i="10"/>
  <c r="C566" i="10"/>
  <c r="B566" i="1"/>
  <c r="C682" i="10"/>
  <c r="C510" i="10"/>
  <c r="G510" i="10" s="1"/>
  <c r="B510" i="1"/>
  <c r="C675" i="10"/>
  <c r="C503" i="10"/>
  <c r="G503" i="10" s="1"/>
  <c r="B503" i="1"/>
  <c r="CE67" i="10"/>
  <c r="C433" i="10" s="1"/>
  <c r="C71" i="10"/>
  <c r="C697" i="10"/>
  <c r="C525" i="10"/>
  <c r="G525" i="10" s="1"/>
  <c r="B525" i="1"/>
  <c r="C623" i="10"/>
  <c r="C562" i="10"/>
  <c r="B562" i="1"/>
  <c r="C686" i="10"/>
  <c r="C514" i="10"/>
  <c r="G514" i="10" s="1"/>
  <c r="B514" i="1"/>
  <c r="C711" i="10"/>
  <c r="C539" i="10"/>
  <c r="G539" i="10" s="1"/>
  <c r="B539" i="1"/>
  <c r="F814" i="10"/>
  <c r="M752" i="10"/>
  <c r="C710" i="10"/>
  <c r="C538" i="10"/>
  <c r="G538" i="10" s="1"/>
  <c r="B538" i="1"/>
  <c r="C671" i="10"/>
  <c r="C499" i="10"/>
  <c r="G499" i="10" s="1"/>
  <c r="B499" i="1"/>
  <c r="C693" i="10"/>
  <c r="C521" i="10"/>
  <c r="G521" i="10" s="1"/>
  <c r="B521" i="1"/>
  <c r="C569" i="10"/>
  <c r="C644" i="10"/>
  <c r="B569" i="1"/>
  <c r="C691" i="10"/>
  <c r="C519" i="10"/>
  <c r="G519" i="10" s="1"/>
  <c r="B519" i="1"/>
  <c r="C713" i="10"/>
  <c r="C541" i="10"/>
  <c r="B541" i="1"/>
  <c r="C639" i="10"/>
  <c r="C564" i="10"/>
  <c r="B564" i="1"/>
  <c r="C631" i="10"/>
  <c r="C542" i="10"/>
  <c r="B542" i="1"/>
  <c r="D615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AH52" i="1" s="1"/>
  <c r="A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AM52" i="1"/>
  <c r="AM67" i="1" s="1"/>
  <c r="BF52" i="1"/>
  <c r="BF67" i="1" s="1"/>
  <c r="BF71" i="1" s="1"/>
  <c r="AY52" i="1"/>
  <c r="AY67" i="1" s="1"/>
  <c r="AY71" i="1" s="1"/>
  <c r="BM52" i="1"/>
  <c r="BM67" i="1" s="1"/>
  <c r="BM71" i="1" s="1"/>
  <c r="C638" i="1" s="1"/>
  <c r="CB52" i="1"/>
  <c r="CB67" i="1" s="1"/>
  <c r="AW52" i="1"/>
  <c r="AW67" i="1" s="1"/>
  <c r="AW71" i="1" s="1"/>
  <c r="T52" i="1"/>
  <c r="T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141" i="1" l="1"/>
  <c r="AA726" i="1"/>
  <c r="E7" i="4"/>
  <c r="G7" i="4"/>
  <c r="E8" i="4"/>
  <c r="G8" i="4"/>
  <c r="AF726" i="1"/>
  <c r="E9" i="4"/>
  <c r="G9" i="4"/>
  <c r="AK726" i="1"/>
  <c r="P52" i="1"/>
  <c r="P67" i="1" s="1"/>
  <c r="AG52" i="1"/>
  <c r="AG67" i="1" s="1"/>
  <c r="AN52" i="1"/>
  <c r="AN67" i="1" s="1"/>
  <c r="J771" i="1" s="1"/>
  <c r="BO52" i="1"/>
  <c r="BO67" i="1" s="1"/>
  <c r="BO71" i="1" s="1"/>
  <c r="C560" i="1" s="1"/>
  <c r="AF52" i="1"/>
  <c r="AF67" i="1" s="1"/>
  <c r="AF71" i="1" s="1"/>
  <c r="BR52" i="1"/>
  <c r="BR67" i="1" s="1"/>
  <c r="BR71" i="1" s="1"/>
  <c r="C563" i="1" s="1"/>
  <c r="M52" i="1"/>
  <c r="M67" i="1" s="1"/>
  <c r="M71" i="1" s="1"/>
  <c r="F52" i="1"/>
  <c r="F67" i="1" s="1"/>
  <c r="F71" i="1" s="1"/>
  <c r="F21" i="9" s="1"/>
  <c r="AJ52" i="1"/>
  <c r="AJ67" i="1" s="1"/>
  <c r="AJ71" i="1" s="1"/>
  <c r="H149" i="9" s="1"/>
  <c r="BY52" i="1"/>
  <c r="BY67" i="1" s="1"/>
  <c r="BY71" i="1" s="1"/>
  <c r="C645" i="1" s="1"/>
  <c r="G52" i="1"/>
  <c r="G67" i="1" s="1"/>
  <c r="G71" i="1" s="1"/>
  <c r="C672" i="1" s="1"/>
  <c r="BN52" i="1"/>
  <c r="BN67" i="1" s="1"/>
  <c r="BN71" i="1" s="1"/>
  <c r="BQ52" i="1"/>
  <c r="BQ67" i="1" s="1"/>
  <c r="BQ71" i="1" s="1"/>
  <c r="C623" i="1" s="1"/>
  <c r="BP52" i="1"/>
  <c r="BP67" i="1" s="1"/>
  <c r="BP71" i="1" s="1"/>
  <c r="C561" i="1" s="1"/>
  <c r="C614" i="1"/>
  <c r="H245" i="9"/>
  <c r="C550" i="1"/>
  <c r="G550" i="1" s="1"/>
  <c r="F145" i="9"/>
  <c r="AH71" i="1"/>
  <c r="C527" i="1" s="1"/>
  <c r="G527" i="1" s="1"/>
  <c r="G213" i="9"/>
  <c r="C542" i="1"/>
  <c r="C631" i="1"/>
  <c r="V52" i="1"/>
  <c r="V67" i="1" s="1"/>
  <c r="H81" i="9" s="1"/>
  <c r="AG71" i="1"/>
  <c r="C698" i="1" s="1"/>
  <c r="BX52" i="1"/>
  <c r="BX67" i="1" s="1"/>
  <c r="BX71" i="1" s="1"/>
  <c r="C644" i="1" s="1"/>
  <c r="BT52" i="1"/>
  <c r="BT67" i="1" s="1"/>
  <c r="AB52" i="1"/>
  <c r="AB67" i="1" s="1"/>
  <c r="J759" i="1" s="1"/>
  <c r="H52" i="1"/>
  <c r="H67" i="1" s="1"/>
  <c r="H17" i="9" s="1"/>
  <c r="J52" i="1"/>
  <c r="J67" i="1" s="1"/>
  <c r="I149" i="9"/>
  <c r="E811" i="1"/>
  <c r="C702" i="1"/>
  <c r="E744" i="1"/>
  <c r="F44" i="9"/>
  <c r="I277" i="9"/>
  <c r="E756" i="1"/>
  <c r="C558" i="1"/>
  <c r="E776" i="1"/>
  <c r="C204" i="9"/>
  <c r="H62" i="1"/>
  <c r="E739" i="1" s="1"/>
  <c r="CE48" i="1"/>
  <c r="C562" i="1"/>
  <c r="I305" i="9"/>
  <c r="H172" i="9"/>
  <c r="C668" i="10"/>
  <c r="C715" i="10" s="1"/>
  <c r="C496" i="10"/>
  <c r="G496" i="10" s="1"/>
  <c r="B496" i="1"/>
  <c r="M733" i="10"/>
  <c r="M814" i="10" s="1"/>
  <c r="CE71" i="10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08" i="10"/>
  <c r="D700" i="10"/>
  <c r="D692" i="10"/>
  <c r="D682" i="10"/>
  <c r="D678" i="10"/>
  <c r="D674" i="10"/>
  <c r="D670" i="10"/>
  <c r="D709" i="10"/>
  <c r="D705" i="10"/>
  <c r="D704" i="10"/>
  <c r="D681" i="10"/>
  <c r="D680" i="10"/>
  <c r="D679" i="10"/>
  <c r="D669" i="10"/>
  <c r="D627" i="10"/>
  <c r="D693" i="10"/>
  <c r="D689" i="10"/>
  <c r="D688" i="10"/>
  <c r="D673" i="10"/>
  <c r="D672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6" i="10"/>
  <c r="D677" i="10"/>
  <c r="D676" i="10"/>
  <c r="D675" i="10"/>
  <c r="D647" i="10"/>
  <c r="D646" i="10"/>
  <c r="D645" i="10"/>
  <c r="D629" i="10"/>
  <c r="D626" i="10"/>
  <c r="D621" i="10"/>
  <c r="D617" i="10"/>
  <c r="D713" i="10"/>
  <c r="D620" i="10"/>
  <c r="D616" i="10"/>
  <c r="D623" i="10"/>
  <c r="D684" i="10"/>
  <c r="D622" i="10"/>
  <c r="D701" i="10"/>
  <c r="D697" i="10"/>
  <c r="D619" i="10"/>
  <c r="D712" i="10"/>
  <c r="D683" i="10"/>
  <c r="D668" i="10"/>
  <c r="D618" i="10"/>
  <c r="D628" i="10"/>
  <c r="D685" i="10"/>
  <c r="C441" i="10"/>
  <c r="F76" i="9"/>
  <c r="E751" i="1"/>
  <c r="T71" i="1"/>
  <c r="C549" i="1"/>
  <c r="G245" i="9"/>
  <c r="C624" i="1"/>
  <c r="I49" i="9"/>
  <c r="J747" i="1"/>
  <c r="J765" i="1"/>
  <c r="J806" i="10"/>
  <c r="J776" i="10"/>
  <c r="J755" i="10"/>
  <c r="N815" i="1"/>
  <c r="F511" i="1"/>
  <c r="H51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C707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C632" i="1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539" i="1" s="1"/>
  <c r="G539" i="1" s="1"/>
  <c r="E760" i="1"/>
  <c r="F236" i="9"/>
  <c r="E786" i="1"/>
  <c r="I44" i="9"/>
  <c r="E747" i="1"/>
  <c r="P71" i="1"/>
  <c r="G268" i="9"/>
  <c r="E794" i="1"/>
  <c r="J807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C545" i="1"/>
  <c r="G545" i="1" s="1"/>
  <c r="E177" i="9"/>
  <c r="CB71" i="1"/>
  <c r="C622" i="1" s="1"/>
  <c r="F505" i="1"/>
  <c r="H505" i="1"/>
  <c r="F499" i="1"/>
  <c r="H499" i="1"/>
  <c r="E52" i="1"/>
  <c r="E67" i="1" s="1"/>
  <c r="E71" i="1" s="1"/>
  <c r="C670" i="1" s="1"/>
  <c r="X52" i="1"/>
  <c r="X67" i="1" s="1"/>
  <c r="X71" i="1" s="1"/>
  <c r="BH52" i="1"/>
  <c r="BH67" i="1" s="1"/>
  <c r="BH71" i="1" s="1"/>
  <c r="C553" i="1" s="1"/>
  <c r="I52" i="1"/>
  <c r="I67" i="1" s="1"/>
  <c r="I71" i="1" s="1"/>
  <c r="C502" i="1" s="1"/>
  <c r="G502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D149" i="9"/>
  <c r="C525" i="1"/>
  <c r="G525" i="1" s="1"/>
  <c r="E758" i="10"/>
  <c r="E774" i="10"/>
  <c r="E798" i="10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C498" i="1"/>
  <c r="G498" i="1" s="1"/>
  <c r="E21" i="9"/>
  <c r="E760" i="10"/>
  <c r="E770" i="10"/>
  <c r="E786" i="10"/>
  <c r="E802" i="10"/>
  <c r="E810" i="10"/>
  <c r="H498" i="1"/>
  <c r="F498" i="1"/>
  <c r="J788" i="1"/>
  <c r="H241" i="9"/>
  <c r="J768" i="1"/>
  <c r="I145" i="9"/>
  <c r="G209" i="9"/>
  <c r="J780" i="1"/>
  <c r="J808" i="1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245" i="9"/>
  <c r="C642" i="1"/>
  <c r="D341" i="9"/>
  <c r="C567" i="1"/>
  <c r="I245" i="9"/>
  <c r="C629" i="1"/>
  <c r="C551" i="1"/>
  <c r="G341" i="9"/>
  <c r="C570" i="1"/>
  <c r="E782" i="10"/>
  <c r="E806" i="10"/>
  <c r="F516" i="1"/>
  <c r="H516" i="1"/>
  <c r="J735" i="1"/>
  <c r="D17" i="9"/>
  <c r="J800" i="1"/>
  <c r="F305" i="9"/>
  <c r="J771" i="10"/>
  <c r="C699" i="1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24" i="1"/>
  <c r="F524" i="1"/>
  <c r="F550" i="1"/>
  <c r="E815" i="10"/>
  <c r="F113" i="9"/>
  <c r="J758" i="1"/>
  <c r="F49" i="9"/>
  <c r="J744" i="1"/>
  <c r="C369" i="9"/>
  <c r="J811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628" i="1" l="1"/>
  <c r="E814" i="10"/>
  <c r="F309" i="9"/>
  <c r="C671" i="1"/>
  <c r="G10" i="4"/>
  <c r="E10" i="4"/>
  <c r="D463" i="1"/>
  <c r="D465" i="1" s="1"/>
  <c r="J739" i="1"/>
  <c r="C499" i="1"/>
  <c r="G499" i="1" s="1"/>
  <c r="C626" i="1"/>
  <c r="J737" i="1"/>
  <c r="J801" i="1"/>
  <c r="G309" i="9"/>
  <c r="C620" i="1"/>
  <c r="F17" i="9"/>
  <c r="G305" i="9"/>
  <c r="C506" i="1"/>
  <c r="G506" i="1" s="1"/>
  <c r="F53" i="9"/>
  <c r="C678" i="1"/>
  <c r="J798" i="1"/>
  <c r="J764" i="1"/>
  <c r="E145" i="9"/>
  <c r="C529" i="1"/>
  <c r="G529" i="1" s="1"/>
  <c r="G21" i="9"/>
  <c r="C701" i="1"/>
  <c r="D309" i="9"/>
  <c r="C500" i="1"/>
  <c r="G500" i="1" s="1"/>
  <c r="C536" i="1"/>
  <c r="G536" i="1" s="1"/>
  <c r="G17" i="9"/>
  <c r="J767" i="1"/>
  <c r="C627" i="1"/>
  <c r="C523" i="1"/>
  <c r="G523" i="1" s="1"/>
  <c r="H181" i="9"/>
  <c r="J799" i="1"/>
  <c r="E305" i="9"/>
  <c r="G337" i="9"/>
  <c r="J738" i="1"/>
  <c r="H145" i="9"/>
  <c r="E149" i="9"/>
  <c r="AN71" i="1"/>
  <c r="C533" i="1" s="1"/>
  <c r="G533" i="1" s="1"/>
  <c r="D305" i="9"/>
  <c r="H550" i="1"/>
  <c r="C535" i="1"/>
  <c r="G535" i="1" s="1"/>
  <c r="C373" i="9"/>
  <c r="C643" i="1"/>
  <c r="E341" i="9"/>
  <c r="C621" i="1"/>
  <c r="C688" i="1"/>
  <c r="D213" i="9"/>
  <c r="E309" i="9"/>
  <c r="C508" i="1"/>
  <c r="G508" i="1" s="1"/>
  <c r="C691" i="1"/>
  <c r="F277" i="9"/>
  <c r="C679" i="1"/>
  <c r="C507" i="1"/>
  <c r="G507" i="1" s="1"/>
  <c r="C680" i="1"/>
  <c r="C528" i="1"/>
  <c r="G528" i="1" s="1"/>
  <c r="I21" i="9"/>
  <c r="C555" i="1"/>
  <c r="E117" i="9"/>
  <c r="I117" i="9"/>
  <c r="I85" i="9"/>
  <c r="G181" i="9"/>
  <c r="C711" i="1"/>
  <c r="C700" i="1"/>
  <c r="C531" i="1"/>
  <c r="G531" i="1" s="1"/>
  <c r="C526" i="1"/>
  <c r="G526" i="1" s="1"/>
  <c r="D373" i="9"/>
  <c r="C541" i="1"/>
  <c r="C709" i="1"/>
  <c r="C703" i="1"/>
  <c r="D117" i="9"/>
  <c r="C690" i="1"/>
  <c r="C518" i="1"/>
  <c r="G518" i="1" s="1"/>
  <c r="C694" i="1"/>
  <c r="C674" i="1"/>
  <c r="C554" i="1"/>
  <c r="E277" i="9"/>
  <c r="C634" i="1"/>
  <c r="C639" i="1"/>
  <c r="C564" i="1"/>
  <c r="H309" i="9"/>
  <c r="F341" i="9"/>
  <c r="C676" i="1"/>
  <c r="C504" i="1"/>
  <c r="G504" i="1" s="1"/>
  <c r="D53" i="9"/>
  <c r="F181" i="9"/>
  <c r="C534" i="1"/>
  <c r="G534" i="1" s="1"/>
  <c r="C706" i="1"/>
  <c r="C511" i="1"/>
  <c r="G511" i="1" s="1"/>
  <c r="D85" i="9"/>
  <c r="C647" i="1"/>
  <c r="C569" i="1"/>
  <c r="F149" i="9"/>
  <c r="C547" i="1"/>
  <c r="F213" i="9"/>
  <c r="I341" i="9"/>
  <c r="C573" i="1"/>
  <c r="C636" i="1"/>
  <c r="D277" i="9"/>
  <c r="C49" i="9"/>
  <c r="J71" i="1"/>
  <c r="J753" i="1"/>
  <c r="V71" i="1"/>
  <c r="D615" i="1"/>
  <c r="C689" i="1"/>
  <c r="C117" i="9"/>
  <c r="C517" i="1"/>
  <c r="G517" i="1" s="1"/>
  <c r="C85" i="9"/>
  <c r="C682" i="1"/>
  <c r="C510" i="1"/>
  <c r="G510" i="1" s="1"/>
  <c r="G85" i="9"/>
  <c r="C686" i="1"/>
  <c r="C514" i="1"/>
  <c r="G514" i="1" s="1"/>
  <c r="C277" i="9"/>
  <c r="C552" i="1"/>
  <c r="C618" i="1"/>
  <c r="C546" i="1"/>
  <c r="G546" i="1" s="1"/>
  <c r="D245" i="9"/>
  <c r="C630" i="1"/>
  <c r="C540" i="1"/>
  <c r="G540" i="1" s="1"/>
  <c r="E213" i="9"/>
  <c r="C712" i="1"/>
  <c r="G113" i="9"/>
  <c r="AB71" i="1"/>
  <c r="C557" i="1"/>
  <c r="C637" i="1"/>
  <c r="H277" i="9"/>
  <c r="C524" i="1"/>
  <c r="G524" i="1" s="1"/>
  <c r="C696" i="1"/>
  <c r="C149" i="9"/>
  <c r="F337" i="9"/>
  <c r="C641" i="1"/>
  <c r="C341" i="9"/>
  <c r="C566" i="1"/>
  <c r="C505" i="1"/>
  <c r="G505" i="1" s="1"/>
  <c r="C677" i="1"/>
  <c r="E53" i="9"/>
  <c r="I181" i="9"/>
  <c r="J741" i="1"/>
  <c r="C683" i="1"/>
  <c r="J803" i="1"/>
  <c r="BT71" i="1"/>
  <c r="H12" i="9"/>
  <c r="E815" i="1"/>
  <c r="C522" i="1"/>
  <c r="G522" i="1" s="1"/>
  <c r="H71" i="1"/>
  <c r="CE62" i="1"/>
  <c r="C710" i="1"/>
  <c r="C213" i="9"/>
  <c r="C538" i="1"/>
  <c r="G538" i="1" s="1"/>
  <c r="H544" i="1"/>
  <c r="C716" i="10"/>
  <c r="M815" i="10"/>
  <c r="D715" i="10"/>
  <c r="E623" i="10"/>
  <c r="E612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C704" i="1"/>
  <c r="D181" i="9"/>
  <c r="F515" i="1"/>
  <c r="H515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705" i="1" l="1"/>
  <c r="E181" i="9"/>
  <c r="H546" i="1"/>
  <c r="H518" i="1"/>
  <c r="C640" i="1"/>
  <c r="C648" i="1" s="1"/>
  <c r="M716" i="1" s="1"/>
  <c r="Y816" i="1" s="1"/>
  <c r="C565" i="1"/>
  <c r="I309" i="9"/>
  <c r="D687" i="1"/>
  <c r="D692" i="1"/>
  <c r="D622" i="1"/>
  <c r="D700" i="1"/>
  <c r="D623" i="1"/>
  <c r="D686" i="1"/>
  <c r="D699" i="1"/>
  <c r="D675" i="1"/>
  <c r="D630" i="1"/>
  <c r="D682" i="1"/>
  <c r="D636" i="1"/>
  <c r="D713" i="1"/>
  <c r="D616" i="1"/>
  <c r="D684" i="1"/>
  <c r="D642" i="1"/>
  <c r="D674" i="1"/>
  <c r="D716" i="1"/>
  <c r="D709" i="1"/>
  <c r="D702" i="1"/>
  <c r="D698" i="1"/>
  <c r="D629" i="1"/>
  <c r="D620" i="1"/>
  <c r="D669" i="1"/>
  <c r="D691" i="1"/>
  <c r="D673" i="1"/>
  <c r="D677" i="1"/>
  <c r="D640" i="1"/>
  <c r="D689" i="1"/>
  <c r="D701" i="1"/>
  <c r="D696" i="1"/>
  <c r="D618" i="1"/>
  <c r="D710" i="1"/>
  <c r="D668" i="1"/>
  <c r="D680" i="1"/>
  <c r="D643" i="1"/>
  <c r="D619" i="1"/>
  <c r="D695" i="1"/>
  <c r="D683" i="1"/>
  <c r="D624" i="1"/>
  <c r="D625" i="1"/>
  <c r="D681" i="1"/>
  <c r="D672" i="1"/>
  <c r="D688" i="1"/>
  <c r="D644" i="1"/>
  <c r="D645" i="1"/>
  <c r="D704" i="1"/>
  <c r="D639" i="1"/>
  <c r="D628" i="1"/>
  <c r="D705" i="1"/>
  <c r="D711" i="1"/>
  <c r="D631" i="1"/>
  <c r="D706" i="1"/>
  <c r="D676" i="1"/>
  <c r="D626" i="1"/>
  <c r="D641" i="1"/>
  <c r="D633" i="1"/>
  <c r="D646" i="1"/>
  <c r="D679" i="1"/>
  <c r="D632" i="1"/>
  <c r="D617" i="1"/>
  <c r="D697" i="1"/>
  <c r="D685" i="1"/>
  <c r="D690" i="1"/>
  <c r="D707" i="1"/>
  <c r="D637" i="1"/>
  <c r="D694" i="1"/>
  <c r="D647" i="1"/>
  <c r="D635" i="1"/>
  <c r="D708" i="1"/>
  <c r="D671" i="1"/>
  <c r="D634" i="1"/>
  <c r="D638" i="1"/>
  <c r="D703" i="1"/>
  <c r="D670" i="1"/>
  <c r="D627" i="1"/>
  <c r="D621" i="1"/>
  <c r="D712" i="1"/>
  <c r="D678" i="1"/>
  <c r="D693" i="1"/>
  <c r="C521" i="1"/>
  <c r="G521" i="1" s="1"/>
  <c r="G117" i="9"/>
  <c r="C693" i="1"/>
  <c r="H514" i="1"/>
  <c r="C687" i="1"/>
  <c r="C515" i="1"/>
  <c r="G515" i="1" s="1"/>
  <c r="H85" i="9"/>
  <c r="C496" i="1"/>
  <c r="G496" i="1" s="1"/>
  <c r="C668" i="1"/>
  <c r="C21" i="9"/>
  <c r="C53" i="9"/>
  <c r="C675" i="1"/>
  <c r="C503" i="1"/>
  <c r="G503" i="1" s="1"/>
  <c r="I364" i="9"/>
  <c r="E816" i="1"/>
  <c r="C428" i="1"/>
  <c r="C501" i="1"/>
  <c r="C673" i="1"/>
  <c r="H21" i="9"/>
  <c r="G532" i="1"/>
  <c r="H532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5" i="10"/>
  <c r="E697" i="10"/>
  <c r="E689" i="10"/>
  <c r="E683" i="10"/>
  <c r="E679" i="10"/>
  <c r="E675" i="10"/>
  <c r="E671" i="10"/>
  <c r="E706" i="10"/>
  <c r="E702" i="10"/>
  <c r="E701" i="10"/>
  <c r="E678" i="10"/>
  <c r="E677" i="10"/>
  <c r="E676" i="10"/>
  <c r="E647" i="10"/>
  <c r="E646" i="10"/>
  <c r="E645" i="10"/>
  <c r="E629" i="10"/>
  <c r="E626" i="10"/>
  <c r="E690" i="10"/>
  <c r="E686" i="10"/>
  <c r="E685" i="10"/>
  <c r="E684" i="10"/>
  <c r="E670" i="10"/>
  <c r="E668" i="10"/>
  <c r="E628" i="10"/>
  <c r="E698" i="10"/>
  <c r="E694" i="10"/>
  <c r="E674" i="10"/>
  <c r="E673" i="10"/>
  <c r="E672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9" i="10"/>
  <c r="E669" i="10"/>
  <c r="E627" i="10"/>
  <c r="E710" i="10"/>
  <c r="E682" i="10"/>
  <c r="E680" i="10"/>
  <c r="E693" i="10"/>
  <c r="E625" i="10"/>
  <c r="E681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E612" i="1"/>
  <c r="D715" i="1"/>
  <c r="E623" i="1"/>
  <c r="G501" i="1"/>
  <c r="H501" i="1" s="1"/>
  <c r="C716" i="1"/>
  <c r="I373" i="9"/>
  <c r="E715" i="10"/>
  <c r="F624" i="10"/>
  <c r="C433" i="1"/>
  <c r="C441" i="1" s="1"/>
  <c r="J816" i="1"/>
  <c r="I369" i="9"/>
  <c r="J815" i="10"/>
  <c r="E673" i="1" l="1"/>
  <c r="E716" i="1"/>
  <c r="E669" i="1"/>
  <c r="E682" i="1"/>
  <c r="E709" i="1"/>
  <c r="E627" i="1"/>
  <c r="E700" i="1"/>
  <c r="E639" i="1"/>
  <c r="E693" i="1"/>
  <c r="E626" i="1"/>
  <c r="E678" i="1"/>
  <c r="E683" i="1"/>
  <c r="E686" i="1"/>
  <c r="E690" i="1"/>
  <c r="E643" i="1"/>
  <c r="E637" i="1"/>
  <c r="E692" i="1"/>
  <c r="E687" i="1"/>
  <c r="E633" i="1"/>
  <c r="E710" i="1"/>
  <c r="E681" i="1"/>
  <c r="E704" i="1"/>
  <c r="E708" i="1"/>
  <c r="E677" i="1"/>
  <c r="E711" i="1"/>
  <c r="E676" i="1"/>
  <c r="E703" i="1"/>
  <c r="E698" i="1"/>
  <c r="E646" i="1"/>
  <c r="E647" i="1"/>
  <c r="E706" i="1"/>
  <c r="E632" i="1"/>
  <c r="E630" i="1"/>
  <c r="E699" i="1"/>
  <c r="E695" i="1"/>
  <c r="E675" i="1"/>
  <c r="E707" i="1"/>
  <c r="E641" i="1"/>
  <c r="E702" i="1"/>
  <c r="E638" i="1"/>
  <c r="E680" i="1"/>
  <c r="E645" i="1"/>
  <c r="E689" i="1"/>
  <c r="E694" i="1"/>
  <c r="E688" i="1"/>
  <c r="E712" i="1"/>
  <c r="E640" i="1"/>
  <c r="E713" i="1"/>
  <c r="E696" i="1"/>
  <c r="E674" i="1"/>
  <c r="E670" i="1"/>
  <c r="E684" i="1"/>
  <c r="E697" i="1"/>
  <c r="E672" i="1"/>
  <c r="E629" i="1"/>
  <c r="E671" i="1"/>
  <c r="E624" i="1"/>
  <c r="F624" i="1" s="1"/>
  <c r="F688" i="1" s="1"/>
  <c r="E636" i="1"/>
  <c r="E679" i="1"/>
  <c r="E691" i="1"/>
  <c r="E685" i="1"/>
  <c r="E668" i="1"/>
  <c r="E635" i="1"/>
  <c r="E625" i="1"/>
  <c r="E628" i="1"/>
  <c r="E705" i="1"/>
  <c r="E642" i="1"/>
  <c r="E634" i="1"/>
  <c r="E644" i="1"/>
  <c r="E701" i="1"/>
  <c r="E631" i="1"/>
  <c r="F707" i="1"/>
  <c r="F647" i="1"/>
  <c r="F685" i="1"/>
  <c r="F711" i="1"/>
  <c r="F676" i="1"/>
  <c r="F691" i="1"/>
  <c r="F638" i="1"/>
  <c r="F682" i="1"/>
  <c r="F710" i="1"/>
  <c r="F641" i="1"/>
  <c r="F705" i="1"/>
  <c r="F716" i="1"/>
  <c r="F700" i="1"/>
  <c r="F713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2" i="10"/>
  <c r="F694" i="10"/>
  <c r="F686" i="10"/>
  <c r="F684" i="10"/>
  <c r="F680" i="10"/>
  <c r="F676" i="10"/>
  <c r="F672" i="10"/>
  <c r="F703" i="10"/>
  <c r="F699" i="10"/>
  <c r="F698" i="10"/>
  <c r="F675" i="10"/>
  <c r="F674" i="10"/>
  <c r="F673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16" i="10"/>
  <c r="F687" i="10"/>
  <c r="F683" i="10"/>
  <c r="F682" i="10"/>
  <c r="F681" i="10"/>
  <c r="F669" i="10"/>
  <c r="F627" i="10"/>
  <c r="F690" i="10"/>
  <c r="F671" i="10"/>
  <c r="F670" i="10"/>
  <c r="F711" i="10"/>
  <c r="F707" i="10"/>
  <c r="F695" i="10"/>
  <c r="F691" i="10"/>
  <c r="F706" i="10"/>
  <c r="F678" i="10"/>
  <c r="F647" i="10"/>
  <c r="F645" i="10"/>
  <c r="F629" i="10"/>
  <c r="F626" i="10"/>
  <c r="F668" i="10"/>
  <c r="F628" i="10"/>
  <c r="F646" i="10"/>
  <c r="F679" i="10"/>
  <c r="F677" i="10"/>
  <c r="F673" i="1" l="1"/>
  <c r="F692" i="1"/>
  <c r="F669" i="1"/>
  <c r="F645" i="1"/>
  <c r="F625" i="1"/>
  <c r="G625" i="1" s="1"/>
  <c r="F677" i="1"/>
  <c r="F699" i="1"/>
  <c r="F646" i="1"/>
  <c r="F633" i="1"/>
  <c r="F706" i="1"/>
  <c r="F675" i="1"/>
  <c r="F678" i="1"/>
  <c r="F702" i="1"/>
  <c r="F640" i="1"/>
  <c r="F696" i="1"/>
  <c r="F689" i="1"/>
  <c r="F644" i="1"/>
  <c r="F712" i="1"/>
  <c r="F704" i="1"/>
  <c r="F708" i="1"/>
  <c r="F690" i="1"/>
  <c r="F634" i="1"/>
  <c r="F674" i="1"/>
  <c r="F680" i="1"/>
  <c r="F637" i="1"/>
  <c r="F628" i="1"/>
  <c r="F672" i="1"/>
  <c r="F643" i="1"/>
  <c r="F636" i="1"/>
  <c r="F626" i="1"/>
  <c r="F686" i="1"/>
  <c r="F697" i="1"/>
  <c r="F703" i="1"/>
  <c r="F681" i="1"/>
  <c r="F642" i="1"/>
  <c r="F679" i="1"/>
  <c r="F635" i="1"/>
  <c r="F695" i="1"/>
  <c r="F639" i="1"/>
  <c r="F684" i="1"/>
  <c r="F671" i="1"/>
  <c r="F694" i="1"/>
  <c r="F668" i="1"/>
  <c r="F698" i="1"/>
  <c r="F631" i="1"/>
  <c r="F693" i="1"/>
  <c r="F630" i="1"/>
  <c r="F683" i="1"/>
  <c r="F687" i="1"/>
  <c r="F629" i="1"/>
  <c r="F701" i="1"/>
  <c r="F670" i="1"/>
  <c r="F709" i="1"/>
  <c r="F627" i="1"/>
  <c r="F632" i="1"/>
  <c r="E715" i="1"/>
  <c r="F715" i="10"/>
  <c r="G625" i="10"/>
  <c r="F715" i="1" l="1"/>
  <c r="G679" i="1"/>
  <c r="G687" i="1"/>
  <c r="G708" i="1"/>
  <c r="G702" i="1"/>
  <c r="G694" i="1"/>
  <c r="G629" i="1"/>
  <c r="G691" i="1"/>
  <c r="G672" i="1"/>
  <c r="G697" i="1"/>
  <c r="G680" i="1"/>
  <c r="G668" i="1"/>
  <c r="G688" i="1"/>
  <c r="G669" i="1"/>
  <c r="G628" i="1"/>
  <c r="G681" i="1"/>
  <c r="G673" i="1"/>
  <c r="G647" i="1"/>
  <c r="G699" i="1"/>
  <c r="G698" i="1"/>
  <c r="G704" i="1"/>
  <c r="G646" i="1"/>
  <c r="G640" i="1"/>
  <c r="G696" i="1"/>
  <c r="G700" i="1"/>
  <c r="G677" i="1"/>
  <c r="G637" i="1"/>
  <c r="G636" i="1"/>
  <c r="G631" i="1"/>
  <c r="G635" i="1"/>
  <c r="G676" i="1"/>
  <c r="G626" i="1"/>
  <c r="G632" i="1"/>
  <c r="G712" i="1"/>
  <c r="G683" i="1"/>
  <c r="G678" i="1"/>
  <c r="G675" i="1"/>
  <c r="G645" i="1"/>
  <c r="G634" i="1"/>
  <c r="G684" i="1"/>
  <c r="G711" i="1"/>
  <c r="G716" i="1"/>
  <c r="G705" i="1"/>
  <c r="G713" i="1"/>
  <c r="G689" i="1"/>
  <c r="G642" i="1"/>
  <c r="G685" i="1"/>
  <c r="G643" i="1"/>
  <c r="G693" i="1"/>
  <c r="G682" i="1"/>
  <c r="G709" i="1"/>
  <c r="G641" i="1"/>
  <c r="G706" i="1"/>
  <c r="G630" i="1"/>
  <c r="G633" i="1"/>
  <c r="G670" i="1"/>
  <c r="G695" i="1"/>
  <c r="G674" i="1"/>
  <c r="G692" i="1"/>
  <c r="G690" i="1"/>
  <c r="G703" i="1"/>
  <c r="G710" i="1"/>
  <c r="G639" i="1"/>
  <c r="G627" i="1"/>
  <c r="G686" i="1"/>
  <c r="G701" i="1"/>
  <c r="G671" i="1"/>
  <c r="G644" i="1"/>
  <c r="G638" i="1"/>
  <c r="G707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07" i="10"/>
  <c r="G699" i="10"/>
  <c r="G691" i="10"/>
  <c r="G681" i="10"/>
  <c r="G677" i="10"/>
  <c r="G673" i="10"/>
  <c r="G700" i="10"/>
  <c r="G696" i="10"/>
  <c r="G695" i="10"/>
  <c r="G672" i="10"/>
  <c r="G671" i="10"/>
  <c r="G670" i="10"/>
  <c r="G668" i="10"/>
  <c r="G628" i="10"/>
  <c r="G712" i="10"/>
  <c r="G711" i="10"/>
  <c r="G680" i="10"/>
  <c r="G679" i="10"/>
  <c r="G678" i="10"/>
  <c r="G647" i="10"/>
  <c r="G646" i="10"/>
  <c r="G645" i="10"/>
  <c r="G629" i="10"/>
  <c r="G626" i="10"/>
  <c r="G692" i="10"/>
  <c r="G688" i="10"/>
  <c r="G669" i="10"/>
  <c r="G627" i="10"/>
  <c r="G703" i="10"/>
  <c r="G687" i="10"/>
  <c r="G684" i="10"/>
  <c r="G682" i="10"/>
  <c r="G676" i="10"/>
  <c r="G674" i="10"/>
  <c r="G643" i="10"/>
  <c r="G641" i="10"/>
  <c r="G639" i="10"/>
  <c r="G637" i="10"/>
  <c r="G635" i="10"/>
  <c r="G633" i="10"/>
  <c r="G631" i="10"/>
  <c r="G683" i="10"/>
  <c r="G675" i="10"/>
  <c r="G640" i="10"/>
  <c r="G632" i="10"/>
  <c r="G708" i="10"/>
  <c r="G638" i="10"/>
  <c r="G630" i="10"/>
  <c r="G704" i="10"/>
  <c r="G644" i="10"/>
  <c r="G636" i="10"/>
  <c r="G642" i="10"/>
  <c r="G634" i="10"/>
  <c r="H628" i="1" l="1"/>
  <c r="H692" i="1"/>
  <c r="H633" i="1"/>
  <c r="H632" i="1"/>
  <c r="H711" i="1"/>
  <c r="H668" i="1"/>
  <c r="H676" i="1"/>
  <c r="H696" i="1"/>
  <c r="H689" i="1"/>
  <c r="H716" i="1"/>
  <c r="H680" i="1"/>
  <c r="H669" i="1"/>
  <c r="H631" i="1"/>
  <c r="H697" i="1"/>
  <c r="H630" i="1"/>
  <c r="H706" i="1"/>
  <c r="H700" i="1"/>
  <c r="H647" i="1"/>
  <c r="H642" i="1"/>
  <c r="H641" i="1"/>
  <c r="H699" i="1"/>
  <c r="H691" i="1"/>
  <c r="H636" i="1"/>
  <c r="H710" i="1"/>
  <c r="H705" i="1"/>
  <c r="H674" i="1"/>
  <c r="H643" i="1"/>
  <c r="H637" i="1"/>
  <c r="H685" i="1"/>
  <c r="H639" i="1"/>
  <c r="H646" i="1"/>
  <c r="H694" i="1"/>
  <c r="H638" i="1"/>
  <c r="H645" i="1"/>
  <c r="H695" i="1"/>
  <c r="H686" i="1"/>
  <c r="H679" i="1"/>
  <c r="H634" i="1"/>
  <c r="H683" i="1"/>
  <c r="H684" i="1"/>
  <c r="H681" i="1"/>
  <c r="H675" i="1"/>
  <c r="H688" i="1"/>
  <c r="H701" i="1"/>
  <c r="H687" i="1"/>
  <c r="H709" i="1"/>
  <c r="H708" i="1"/>
  <c r="H682" i="1"/>
  <c r="H702" i="1"/>
  <c r="H670" i="1"/>
  <c r="H644" i="1"/>
  <c r="H690" i="1"/>
  <c r="H693" i="1"/>
  <c r="H629" i="1"/>
  <c r="H677" i="1"/>
  <c r="H672" i="1"/>
  <c r="H678" i="1"/>
  <c r="H640" i="1"/>
  <c r="H673" i="1"/>
  <c r="H698" i="1"/>
  <c r="H704" i="1"/>
  <c r="H703" i="1"/>
  <c r="H712" i="1"/>
  <c r="H635" i="1"/>
  <c r="H707" i="1"/>
  <c r="H713" i="1"/>
  <c r="H671" i="1"/>
  <c r="G715" i="1"/>
  <c r="G715" i="10"/>
  <c r="H628" i="10"/>
  <c r="H715" i="1" l="1"/>
  <c r="I629" i="1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4" i="10"/>
  <c r="H696" i="10"/>
  <c r="H688" i="10"/>
  <c r="H682" i="10"/>
  <c r="H678" i="10"/>
  <c r="H674" i="10"/>
  <c r="H670" i="10"/>
  <c r="H697" i="10"/>
  <c r="H693" i="10"/>
  <c r="H692" i="10"/>
  <c r="H684" i="10"/>
  <c r="H683" i="10"/>
  <c r="H669" i="10"/>
  <c r="H713" i="10"/>
  <c r="H709" i="10"/>
  <c r="H708" i="10"/>
  <c r="H677" i="10"/>
  <c r="H676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5" i="10"/>
  <c r="H701" i="10"/>
  <c r="H668" i="10"/>
  <c r="H680" i="10"/>
  <c r="H647" i="10"/>
  <c r="H645" i="10"/>
  <c r="H629" i="10"/>
  <c r="H672" i="10"/>
  <c r="H689" i="10"/>
  <c r="H685" i="10"/>
  <c r="H681" i="10"/>
  <c r="H679" i="10"/>
  <c r="H646" i="10"/>
  <c r="H673" i="10"/>
  <c r="H671" i="10"/>
  <c r="H700" i="10"/>
  <c r="I686" i="1" l="1"/>
  <c r="I682" i="1"/>
  <c r="I681" i="1"/>
  <c r="I640" i="1"/>
  <c r="I705" i="1"/>
  <c r="I670" i="1"/>
  <c r="I635" i="1"/>
  <c r="I633" i="1"/>
  <c r="I638" i="1"/>
  <c r="I671" i="1"/>
  <c r="I637" i="1"/>
  <c r="I699" i="1"/>
  <c r="I641" i="1"/>
  <c r="I698" i="1"/>
  <c r="I680" i="1"/>
  <c r="I704" i="1"/>
  <c r="I646" i="1"/>
  <c r="I668" i="1"/>
  <c r="I634" i="1"/>
  <c r="I701" i="1"/>
  <c r="I673" i="1"/>
  <c r="I696" i="1"/>
  <c r="I683" i="1"/>
  <c r="I679" i="1"/>
  <c r="I675" i="1"/>
  <c r="I692" i="1"/>
  <c r="I677" i="1"/>
  <c r="I695" i="1"/>
  <c r="I685" i="1"/>
  <c r="I703" i="1"/>
  <c r="I697" i="1"/>
  <c r="I684" i="1"/>
  <c r="I644" i="1"/>
  <c r="I687" i="1"/>
  <c r="I700" i="1"/>
  <c r="I690" i="1"/>
  <c r="I710" i="1"/>
  <c r="I647" i="1"/>
  <c r="I669" i="1"/>
  <c r="I691" i="1"/>
  <c r="I713" i="1"/>
  <c r="I639" i="1"/>
  <c r="I706" i="1"/>
  <c r="I676" i="1"/>
  <c r="I674" i="1"/>
  <c r="I645" i="1"/>
  <c r="I643" i="1"/>
  <c r="I631" i="1"/>
  <c r="I630" i="1"/>
  <c r="I642" i="1"/>
  <c r="I689" i="1"/>
  <c r="I693" i="1"/>
  <c r="I712" i="1"/>
  <c r="I694" i="1"/>
  <c r="I636" i="1"/>
  <c r="I672" i="1"/>
  <c r="I678" i="1"/>
  <c r="I716" i="1"/>
  <c r="I632" i="1"/>
  <c r="I708" i="1"/>
  <c r="I707" i="1"/>
  <c r="I702" i="1"/>
  <c r="I688" i="1"/>
  <c r="I711" i="1"/>
  <c r="I709" i="1"/>
  <c r="H715" i="10"/>
  <c r="I629" i="10"/>
  <c r="I715" i="1" l="1"/>
  <c r="J630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09" i="10"/>
  <c r="I701" i="10"/>
  <c r="I693" i="10"/>
  <c r="I685" i="10"/>
  <c r="I683" i="10"/>
  <c r="I679" i="10"/>
  <c r="I675" i="10"/>
  <c r="I671" i="10"/>
  <c r="I694" i="10"/>
  <c r="I690" i="10"/>
  <c r="I689" i="10"/>
  <c r="I682" i="10"/>
  <c r="I681" i="10"/>
  <c r="I680" i="10"/>
  <c r="I647" i="10"/>
  <c r="I646" i="10"/>
  <c r="I645" i="10"/>
  <c r="I710" i="10"/>
  <c r="I706" i="10"/>
  <c r="I705" i="10"/>
  <c r="I674" i="10"/>
  <c r="I673" i="10"/>
  <c r="I672" i="10"/>
  <c r="I668" i="10"/>
  <c r="I713" i="10"/>
  <c r="I686" i="10"/>
  <c r="I697" i="10"/>
  <c r="I684" i="10"/>
  <c r="I678" i="10"/>
  <c r="I676" i="10"/>
  <c r="I643" i="10"/>
  <c r="I641" i="10"/>
  <c r="I639" i="10"/>
  <c r="I637" i="10"/>
  <c r="I635" i="10"/>
  <c r="I633" i="10"/>
  <c r="I631" i="10"/>
  <c r="I702" i="10"/>
  <c r="I698" i="10"/>
  <c r="I670" i="10"/>
  <c r="I677" i="10"/>
  <c r="I644" i="10"/>
  <c r="I642" i="10"/>
  <c r="I640" i="10"/>
  <c r="I638" i="10"/>
  <c r="I636" i="10"/>
  <c r="I634" i="10"/>
  <c r="I632" i="10"/>
  <c r="I630" i="10"/>
  <c r="I669" i="10"/>
  <c r="J680" i="1" l="1"/>
  <c r="J716" i="1"/>
  <c r="J690" i="1"/>
  <c r="J697" i="1"/>
  <c r="J633" i="1"/>
  <c r="J643" i="1"/>
  <c r="J636" i="1"/>
  <c r="J668" i="1"/>
  <c r="J705" i="1"/>
  <c r="J672" i="1"/>
  <c r="J711" i="1"/>
  <c r="J688" i="1"/>
  <c r="J692" i="1"/>
  <c r="J686" i="1"/>
  <c r="J637" i="1"/>
  <c r="J691" i="1"/>
  <c r="J683" i="1"/>
  <c r="J707" i="1"/>
  <c r="J632" i="1"/>
  <c r="J708" i="1"/>
  <c r="J646" i="1"/>
  <c r="J671" i="1"/>
  <c r="J640" i="1"/>
  <c r="J710" i="1"/>
  <c r="J709" i="1"/>
  <c r="J698" i="1"/>
  <c r="J685" i="1"/>
  <c r="J670" i="1"/>
  <c r="J704" i="1"/>
  <c r="J703" i="1"/>
  <c r="J673" i="1"/>
  <c r="J631" i="1"/>
  <c r="J715" i="1" s="1"/>
  <c r="J635" i="1"/>
  <c r="J681" i="1"/>
  <c r="J679" i="1"/>
  <c r="J713" i="1"/>
  <c r="J644" i="1"/>
  <c r="J696" i="1"/>
  <c r="J647" i="1"/>
  <c r="L647" i="1" s="1"/>
  <c r="J694" i="1"/>
  <c r="J699" i="1"/>
  <c r="J639" i="1"/>
  <c r="J684" i="1"/>
  <c r="J700" i="1"/>
  <c r="J695" i="1"/>
  <c r="J701" i="1"/>
  <c r="J642" i="1"/>
  <c r="J702" i="1"/>
  <c r="J678" i="1"/>
  <c r="J676" i="1"/>
  <c r="J687" i="1"/>
  <c r="J677" i="1"/>
  <c r="J693" i="1"/>
  <c r="J645" i="1"/>
  <c r="J641" i="1"/>
  <c r="J712" i="1"/>
  <c r="J706" i="1"/>
  <c r="J689" i="1"/>
  <c r="J682" i="1"/>
  <c r="J634" i="1"/>
  <c r="J675" i="1"/>
  <c r="J669" i="1"/>
  <c r="J638" i="1"/>
  <c r="J674" i="1"/>
  <c r="I715" i="10"/>
  <c r="J630" i="10"/>
  <c r="L703" i="1" l="1"/>
  <c r="L709" i="1"/>
  <c r="L716" i="1"/>
  <c r="L671" i="1"/>
  <c r="L699" i="1"/>
  <c r="L688" i="1"/>
  <c r="L686" i="1"/>
  <c r="L704" i="1"/>
  <c r="L680" i="1"/>
  <c r="L673" i="1"/>
  <c r="L687" i="1"/>
  <c r="L712" i="1"/>
  <c r="L710" i="1"/>
  <c r="L707" i="1"/>
  <c r="L711" i="1"/>
  <c r="L696" i="1"/>
  <c r="L702" i="1"/>
  <c r="L693" i="1"/>
  <c r="L676" i="1"/>
  <c r="L678" i="1"/>
  <c r="L675" i="1"/>
  <c r="L674" i="1"/>
  <c r="L681" i="1"/>
  <c r="L706" i="1"/>
  <c r="L708" i="1"/>
  <c r="L713" i="1"/>
  <c r="L692" i="1"/>
  <c r="L705" i="1"/>
  <c r="L691" i="1"/>
  <c r="L670" i="1"/>
  <c r="L689" i="1"/>
  <c r="L698" i="1"/>
  <c r="L669" i="1"/>
  <c r="L685" i="1"/>
  <c r="L701" i="1"/>
  <c r="L694" i="1"/>
  <c r="L697" i="1"/>
  <c r="L672" i="1"/>
  <c r="L684" i="1"/>
  <c r="L668" i="1"/>
  <c r="L679" i="1"/>
  <c r="L700" i="1"/>
  <c r="L690" i="1"/>
  <c r="L695" i="1"/>
  <c r="L682" i="1"/>
  <c r="L683" i="1"/>
  <c r="L677" i="1"/>
  <c r="K644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06" i="10"/>
  <c r="J698" i="10"/>
  <c r="J690" i="10"/>
  <c r="J684" i="10"/>
  <c r="J680" i="10"/>
  <c r="J676" i="10"/>
  <c r="J672" i="10"/>
  <c r="J691" i="10"/>
  <c r="J687" i="10"/>
  <c r="J686" i="10"/>
  <c r="J679" i="10"/>
  <c r="J678" i="10"/>
  <c r="J677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7" i="10"/>
  <c r="J703" i="10"/>
  <c r="J702" i="10"/>
  <c r="J671" i="10"/>
  <c r="J670" i="10"/>
  <c r="J669" i="10"/>
  <c r="J716" i="10"/>
  <c r="J711" i="10"/>
  <c r="J668" i="10"/>
  <c r="J699" i="10"/>
  <c r="J695" i="10"/>
  <c r="J683" i="10"/>
  <c r="J682" i="10"/>
  <c r="J681" i="10"/>
  <c r="J647" i="10"/>
  <c r="J646" i="10"/>
  <c r="J645" i="10"/>
  <c r="J710" i="10"/>
  <c r="J674" i="10"/>
  <c r="J694" i="10"/>
  <c r="J675" i="10"/>
  <c r="J673" i="10"/>
  <c r="K705" i="1" l="1"/>
  <c r="K673" i="1"/>
  <c r="K711" i="1"/>
  <c r="M711" i="1" s="1"/>
  <c r="K691" i="1"/>
  <c r="K678" i="1"/>
  <c r="K677" i="1"/>
  <c r="K698" i="1"/>
  <c r="M698" i="1" s="1"/>
  <c r="K710" i="1"/>
  <c r="M710" i="1" s="1"/>
  <c r="K709" i="1"/>
  <c r="K700" i="1"/>
  <c r="K692" i="1"/>
  <c r="K679" i="1"/>
  <c r="K683" i="1"/>
  <c r="K670" i="1"/>
  <c r="M670" i="1" s="1"/>
  <c r="K694" i="1"/>
  <c r="M694" i="1" s="1"/>
  <c r="K693" i="1"/>
  <c r="M693" i="1" s="1"/>
  <c r="K682" i="1"/>
  <c r="K684" i="1"/>
  <c r="K685" i="1"/>
  <c r="K699" i="1"/>
  <c r="K707" i="1"/>
  <c r="M707" i="1" s="1"/>
  <c r="K669" i="1"/>
  <c r="K706" i="1"/>
  <c r="M706" i="1" s="1"/>
  <c r="K704" i="1"/>
  <c r="M704" i="1" s="1"/>
  <c r="K668" i="1"/>
  <c r="K675" i="1"/>
  <c r="K701" i="1"/>
  <c r="K713" i="1"/>
  <c r="K674" i="1"/>
  <c r="M674" i="1" s="1"/>
  <c r="K686" i="1"/>
  <c r="M686" i="1" s="1"/>
  <c r="K689" i="1"/>
  <c r="M689" i="1" s="1"/>
  <c r="K671" i="1"/>
  <c r="M671" i="1" s="1"/>
  <c r="K702" i="1"/>
  <c r="K687" i="1"/>
  <c r="K716" i="1"/>
  <c r="K703" i="1"/>
  <c r="K712" i="1"/>
  <c r="M712" i="1" s="1"/>
  <c r="K676" i="1"/>
  <c r="M676" i="1" s="1"/>
  <c r="K708" i="1"/>
  <c r="M708" i="1" s="1"/>
  <c r="K680" i="1"/>
  <c r="M680" i="1" s="1"/>
  <c r="K696" i="1"/>
  <c r="K695" i="1"/>
  <c r="K690" i="1"/>
  <c r="M690" i="1" s="1"/>
  <c r="K672" i="1"/>
  <c r="M672" i="1" s="1"/>
  <c r="K681" i="1"/>
  <c r="K697" i="1"/>
  <c r="M697" i="1" s="1"/>
  <c r="K688" i="1"/>
  <c r="M688" i="1" s="1"/>
  <c r="M681" i="1"/>
  <c r="M696" i="1"/>
  <c r="M675" i="1"/>
  <c r="M699" i="1"/>
  <c r="M682" i="1"/>
  <c r="M695" i="1"/>
  <c r="M705" i="1"/>
  <c r="M678" i="1"/>
  <c r="M691" i="1"/>
  <c r="M701" i="1"/>
  <c r="M692" i="1"/>
  <c r="M687" i="1"/>
  <c r="L715" i="1"/>
  <c r="M668" i="1"/>
  <c r="M677" i="1"/>
  <c r="M685" i="1"/>
  <c r="M713" i="1"/>
  <c r="M673" i="1"/>
  <c r="M709" i="1"/>
  <c r="M684" i="1"/>
  <c r="M683" i="1"/>
  <c r="M700" i="1"/>
  <c r="M679" i="1"/>
  <c r="M669" i="1"/>
  <c r="M702" i="1"/>
  <c r="M703" i="1"/>
  <c r="J715" i="10"/>
  <c r="L647" i="10"/>
  <c r="K644" i="10"/>
  <c r="Y776" i="1" l="1"/>
  <c r="C215" i="9"/>
  <c r="Y759" i="1"/>
  <c r="G119" i="9"/>
  <c r="Y746" i="1"/>
  <c r="H55" i="9"/>
  <c r="D55" i="9"/>
  <c r="Y742" i="1"/>
  <c r="F23" i="9"/>
  <c r="Y737" i="1"/>
  <c r="I87" i="9"/>
  <c r="Y754" i="1"/>
  <c r="E151" i="9"/>
  <c r="Y764" i="1"/>
  <c r="Y740" i="1"/>
  <c r="I23" i="9"/>
  <c r="D183" i="9"/>
  <c r="Y770" i="1"/>
  <c r="Y774" i="1"/>
  <c r="H183" i="9"/>
  <c r="G87" i="9"/>
  <c r="Y752" i="1"/>
  <c r="Y755" i="1"/>
  <c r="C119" i="9"/>
  <c r="Y773" i="1"/>
  <c r="G183" i="9"/>
  <c r="Y778" i="1"/>
  <c r="E215" i="9"/>
  <c r="Y744" i="1"/>
  <c r="F55" i="9"/>
  <c r="C55" i="9"/>
  <c r="Y741" i="1"/>
  <c r="Y779" i="1"/>
  <c r="F215" i="9"/>
  <c r="C151" i="9"/>
  <c r="Y762" i="1"/>
  <c r="Y747" i="1"/>
  <c r="I55" i="9"/>
  <c r="D151" i="9"/>
  <c r="Y763" i="1"/>
  <c r="Y761" i="1"/>
  <c r="I119" i="9"/>
  <c r="Y758" i="1"/>
  <c r="F119" i="9"/>
  <c r="Y751" i="1"/>
  <c r="F87" i="9"/>
  <c r="Y749" i="1"/>
  <c r="D87" i="9"/>
  <c r="I151" i="9"/>
  <c r="Y768" i="1"/>
  <c r="F183" i="9"/>
  <c r="Y772" i="1"/>
  <c r="Y734" i="1"/>
  <c r="C23" i="9"/>
  <c r="M715" i="1"/>
  <c r="Y757" i="1"/>
  <c r="E119" i="9"/>
  <c r="Y748" i="1"/>
  <c r="C87" i="9"/>
  <c r="C183" i="9"/>
  <c r="Y769" i="1"/>
  <c r="Y771" i="1"/>
  <c r="E183" i="9"/>
  <c r="Y743" i="1"/>
  <c r="E55" i="9"/>
  <c r="Y775" i="1"/>
  <c r="I183" i="9"/>
  <c r="Y738" i="1"/>
  <c r="G23" i="9"/>
  <c r="D119" i="9"/>
  <c r="Y756" i="1"/>
  <c r="Y750" i="1"/>
  <c r="E87" i="9"/>
  <c r="Y735" i="1"/>
  <c r="D23" i="9"/>
  <c r="Y739" i="1"/>
  <c r="H23" i="9"/>
  <c r="Y753" i="1"/>
  <c r="H87" i="9"/>
  <c r="G151" i="9"/>
  <c r="Y766" i="1"/>
  <c r="Y767" i="1"/>
  <c r="H151" i="9"/>
  <c r="E23" i="9"/>
  <c r="Y736" i="1"/>
  <c r="H119" i="9"/>
  <c r="Y760" i="1"/>
  <c r="Y745" i="1"/>
  <c r="G55" i="9"/>
  <c r="Y765" i="1"/>
  <c r="F151" i="9"/>
  <c r="Y777" i="1"/>
  <c r="D215" i="9"/>
  <c r="K715" i="1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1" i="10"/>
  <c r="K703" i="10"/>
  <c r="K695" i="10"/>
  <c r="K687" i="10"/>
  <c r="K681" i="10"/>
  <c r="K677" i="10"/>
  <c r="K673" i="10"/>
  <c r="K669" i="10"/>
  <c r="K716" i="10"/>
  <c r="K688" i="10"/>
  <c r="K676" i="10"/>
  <c r="K675" i="10"/>
  <c r="K674" i="10"/>
  <c r="K668" i="10"/>
  <c r="K704" i="10"/>
  <c r="K700" i="10"/>
  <c r="K699" i="10"/>
  <c r="K684" i="10"/>
  <c r="K683" i="10"/>
  <c r="K682" i="10"/>
  <c r="K707" i="10"/>
  <c r="K691" i="10"/>
  <c r="K680" i="10"/>
  <c r="K679" i="10"/>
  <c r="K678" i="10"/>
  <c r="K672" i="10"/>
  <c r="K670" i="10"/>
  <c r="K712" i="10"/>
  <c r="K708" i="10"/>
  <c r="K671" i="10"/>
  <c r="K696" i="10"/>
  <c r="K692" i="10"/>
  <c r="L710" i="10"/>
  <c r="M710" i="10" s="1"/>
  <c r="Z776" i="10" s="1"/>
  <c r="L706" i="10"/>
  <c r="M706" i="10" s="1"/>
  <c r="Z772" i="10" s="1"/>
  <c r="L702" i="10"/>
  <c r="M702" i="10" s="1"/>
  <c r="Z768" i="10" s="1"/>
  <c r="L698" i="10"/>
  <c r="L694" i="10"/>
  <c r="M694" i="10" s="1"/>
  <c r="Z760" i="10" s="1"/>
  <c r="L690" i="10"/>
  <c r="M690" i="10" s="1"/>
  <c r="Z756" i="10" s="1"/>
  <c r="L686" i="10"/>
  <c r="M686" i="10" s="1"/>
  <c r="Z752" i="10" s="1"/>
  <c r="L716" i="10"/>
  <c r="L711" i="10"/>
  <c r="M711" i="10" s="1"/>
  <c r="Z777" i="10" s="1"/>
  <c r="L707" i="10"/>
  <c r="L703" i="10"/>
  <c r="M703" i="10" s="1"/>
  <c r="Z769" i="10" s="1"/>
  <c r="L699" i="10"/>
  <c r="L695" i="10"/>
  <c r="M695" i="10" s="1"/>
  <c r="Z761" i="10" s="1"/>
  <c r="L691" i="10"/>
  <c r="M691" i="10" s="1"/>
  <c r="Z757" i="10" s="1"/>
  <c r="L687" i="10"/>
  <c r="M687" i="10" s="1"/>
  <c r="Z753" i="10" s="1"/>
  <c r="L708" i="10"/>
  <c r="L700" i="10"/>
  <c r="M700" i="10" s="1"/>
  <c r="Z766" i="10" s="1"/>
  <c r="L692" i="10"/>
  <c r="M692" i="10" s="1"/>
  <c r="Z758" i="10" s="1"/>
  <c r="L682" i="10"/>
  <c r="M682" i="10" s="1"/>
  <c r="Z748" i="10" s="1"/>
  <c r="L678" i="10"/>
  <c r="L674" i="10"/>
  <c r="M674" i="10" s="1"/>
  <c r="Z740" i="10" s="1"/>
  <c r="L670" i="10"/>
  <c r="M670" i="10" s="1"/>
  <c r="Z736" i="10" s="1"/>
  <c r="L713" i="10"/>
  <c r="M713" i="10" s="1"/>
  <c r="L712" i="10"/>
  <c r="M712" i="10" s="1"/>
  <c r="Z778" i="10" s="1"/>
  <c r="L685" i="10"/>
  <c r="M685" i="10" s="1"/>
  <c r="Z751" i="10" s="1"/>
  <c r="L673" i="10"/>
  <c r="M673" i="10" s="1"/>
  <c r="Z739" i="10" s="1"/>
  <c r="L672" i="10"/>
  <c r="M672" i="10" s="1"/>
  <c r="Z738" i="10" s="1"/>
  <c r="L671" i="10"/>
  <c r="M671" i="10" s="1"/>
  <c r="Z737" i="10" s="1"/>
  <c r="L701" i="10"/>
  <c r="M701" i="10" s="1"/>
  <c r="Z767" i="10" s="1"/>
  <c r="L697" i="10"/>
  <c r="M697" i="10" s="1"/>
  <c r="Z763" i="10" s="1"/>
  <c r="L696" i="10"/>
  <c r="M696" i="10" s="1"/>
  <c r="Z762" i="10" s="1"/>
  <c r="L681" i="10"/>
  <c r="L680" i="10"/>
  <c r="M680" i="10" s="1"/>
  <c r="Z746" i="10" s="1"/>
  <c r="L679" i="10"/>
  <c r="M679" i="10" s="1"/>
  <c r="Z745" i="10" s="1"/>
  <c r="L709" i="10"/>
  <c r="M709" i="10" s="1"/>
  <c r="Z775" i="10" s="1"/>
  <c r="L705" i="10"/>
  <c r="M705" i="10" s="1"/>
  <c r="Z771" i="10" s="1"/>
  <c r="L684" i="10"/>
  <c r="M684" i="10" s="1"/>
  <c r="Z750" i="10" s="1"/>
  <c r="L683" i="10"/>
  <c r="M683" i="10" s="1"/>
  <c r="Z749" i="10" s="1"/>
  <c r="L693" i="10"/>
  <c r="M693" i="10" s="1"/>
  <c r="Z759" i="10" s="1"/>
  <c r="L689" i="10"/>
  <c r="M689" i="10" s="1"/>
  <c r="Z755" i="10" s="1"/>
  <c r="L677" i="10"/>
  <c r="M677" i="10" s="1"/>
  <c r="Z743" i="10" s="1"/>
  <c r="L676" i="10"/>
  <c r="M676" i="10" s="1"/>
  <c r="Z742" i="10" s="1"/>
  <c r="L675" i="10"/>
  <c r="M675" i="10" s="1"/>
  <c r="Z741" i="10" s="1"/>
  <c r="L668" i="10"/>
  <c r="L704" i="10"/>
  <c r="M704" i="10" s="1"/>
  <c r="Z770" i="10" s="1"/>
  <c r="L669" i="10"/>
  <c r="M669" i="10" s="1"/>
  <c r="Z735" i="10" s="1"/>
  <c r="L688" i="10"/>
  <c r="M688" i="10" s="1"/>
  <c r="Z754" i="10" s="1"/>
  <c r="Y815" i="1" l="1"/>
  <c r="L715" i="10"/>
  <c r="M668" i="10"/>
  <c r="M681" i="10"/>
  <c r="Z747" i="10" s="1"/>
  <c r="M678" i="10"/>
  <c r="Z744" i="10" s="1"/>
  <c r="M708" i="10"/>
  <c r="Z774" i="10" s="1"/>
  <c r="M699" i="10"/>
  <c r="Z765" i="10" s="1"/>
  <c r="M698" i="10"/>
  <c r="Z764" i="10" s="1"/>
  <c r="M707" i="10"/>
  <c r="Z773" i="10" s="1"/>
  <c r="K715" i="10"/>
  <c r="M715" i="10" l="1"/>
  <c r="Z815" i="10" s="1"/>
  <c r="Z734" i="10"/>
  <c r="Z814" i="10" s="1"/>
</calcChain>
</file>

<file path=xl/sharedStrings.xml><?xml version="1.0" encoding="utf-8"?>
<sst xmlns="http://schemas.openxmlformats.org/spreadsheetml/2006/main" count="4937" uniqueCount="1279">
  <si>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</si>
  <si>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</si>
  <si>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</si>
  <si>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</si>
  <si>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</si>
  <si>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</si>
  <si>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</si>
  <si>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</si>
  <si>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</si>
  <si>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</si>
  <si>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</si>
  <si>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</si>
  <si>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</si>
  <si>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</si>
  <si>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</si>
  <si>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</si>
  <si>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</si>
  <si>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</si>
  <si>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</si>
  <si>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</si>
  <si>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</si>
  <si>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</si>
  <si>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</si>
  <si>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</si>
  <si>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</si>
  <si>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</si>
  <si>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</si>
  <si>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</si>
  <si>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</si>
  <si>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</si>
  <si>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</si>
  <si>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</si>
  <si>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</si>
  <si>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</si>
  <si>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</si>
  <si>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</si>
  <si>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</si>
  <si>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</si>
  <si>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</si>
  <si>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</si>
  <si>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</si>
  <si>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</si>
  <si>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</si>
  <si>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</si>
  <si>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</si>
  <si>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</si>
  <si>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</si>
  <si>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</si>
  <si>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</si>
  <si>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</si>
  <si>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</si>
  <si>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</si>
  <si>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</si>
  <si>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</si>
  <si>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</si>
  <si>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</si>
  <si>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</si>
  <si>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</si>
  <si>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</si>
  <si>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</si>
  <si>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</si>
  <si>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</si>
  <si>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</si>
  <si>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</si>
  <si>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</si>
  <si>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</si>
  <si>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</si>
  <si>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</si>
  <si>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</si>
  <si>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</si>
  <si>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</si>
  <si>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</si>
  <si>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</si>
  <si>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</si>
  <si>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</si>
  <si>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</si>
  <si>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</si>
  <si>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</si>
  <si>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</si>
  <si>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</si>
  <si>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</si>
  <si>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</si>
  <si>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</si>
  <si>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</si>
  <si>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</si>
  <si>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</si>
  <si>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</si>
  <si>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</si>
  <si>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</si>
  <si>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</si>
  <si>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</si>
  <si>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</si>
  <si>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</si>
  <si>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</si>
  <si>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</si>
  <si>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</si>
  <si>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</si>
  <si>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</si>
  <si>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</si>
  <si>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</si>
  <si>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</si>
  <si>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</si>
  <si>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</si>
  <si>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</si>
  <si>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</si>
  <si>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</si>
  <si>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</si>
  <si>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</si>
  <si>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</si>
  <si>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</si>
  <si>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</si>
  <si>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</si>
  <si>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</si>
  <si>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</si>
  <si>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</si>
  <si>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</si>
  <si>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</si>
  <si>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</si>
  <si>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</si>
  <si>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</si>
  <si>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</si>
  <si>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</si>
  <si>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</si>
  <si>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</si>
  <si>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</si>
  <si>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</si>
  <si>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</si>
  <si>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</si>
  <si>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</si>
  <si>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</si>
  <si>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</si>
  <si>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</si>
  <si>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</si>
  <si>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</si>
  <si>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</si>
  <si>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</si>
  <si>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</si>
  <si>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</si>
  <si>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</si>
  <si>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</si>
  <si>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</si>
  <si>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</si>
  <si>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</si>
  <si>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</si>
  <si>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</si>
  <si>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</si>
  <si>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</si>
  <si>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</si>
  <si>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</si>
  <si>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</si>
  <si>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</si>
  <si>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</si>
  <si>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</si>
  <si>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</si>
  <si>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</si>
  <si>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</si>
  <si>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</si>
  <si>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</si>
  <si>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</si>
  <si>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</si>
  <si>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</si>
  <si>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</si>
  <si>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</si>
  <si>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</si>
  <si>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</si>
  <si>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</si>
  <si>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</si>
  <si>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</si>
  <si>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</si>
  <si>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</si>
  <si>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</si>
  <si>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</si>
  <si>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</si>
  <si>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</si>
  <si>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</si>
  <si>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</si>
  <si>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</si>
  <si>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</si>
  <si>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</si>
  <si>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</si>
  <si>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</si>
  <si>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</si>
  <si>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</si>
  <si>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</si>
  <si>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</si>
  <si>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</si>
  <si>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</si>
  <si>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</si>
  <si>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</si>
  <si>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</si>
  <si>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</si>
  <si>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</si>
  <si>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</si>
  <si>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</si>
  <si>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</si>
  <si>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</si>
  <si>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</si>
  <si>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</si>
  <si>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</si>
  <si>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</si>
  <si>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</si>
  <si>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</si>
  <si>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</si>
  <si>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</si>
  <si>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</si>
  <si>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</si>
  <si>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</si>
  <si>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</si>
  <si>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</si>
  <si>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</si>
  <si>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</si>
  <si>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</si>
  <si>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</si>
  <si>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</si>
  <si>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</si>
  <si>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</si>
  <si>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</si>
  <si>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</si>
  <si>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</si>
  <si>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</si>
  <si>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</si>
  <si>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</si>
  <si>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</si>
  <si>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</si>
  <si>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</si>
  <si>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</si>
  <si>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</si>
  <si>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</si>
  <si>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</si>
  <si>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</si>
  <si>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</si>
  <si>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</si>
  <si>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</si>
  <si>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</si>
  <si>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</si>
  <si>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</si>
  <si>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</si>
  <si>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</si>
  <si>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</si>
  <si>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</si>
  <si>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</si>
  <si>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</si>
  <si>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</si>
  <si>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</si>
  <si>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</si>
  <si>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</si>
  <si>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</si>
  <si>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</si>
  <si>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</si>
  <si>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</si>
  <si>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</si>
  <si>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</si>
  <si>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</si>
  <si>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</si>
  <si>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</si>
  <si>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</si>
  <si>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</si>
  <si>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</si>
  <si>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</si>
  <si>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</si>
  <si>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</si>
  <si>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</si>
  <si>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</si>
  <si>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</si>
  <si>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</si>
  <si>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</si>
  <si>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</si>
  <si>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</si>
  <si>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</si>
  <si>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</si>
  <si>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</si>
  <si>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</si>
  <si>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</si>
  <si>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</si>
  <si>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</si>
  <si>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</si>
  <si>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</si>
  <si>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</si>
  <si>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</si>
  <si>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</si>
  <si>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</si>
  <si>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</si>
  <si>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</si>
  <si>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</si>
  <si>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</si>
  <si>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</si>
  <si>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</si>
  <si>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</si>
  <si>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</si>
  <si>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</si>
  <si>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</si>
  <si>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</si>
  <si>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</si>
  <si>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</si>
  <si>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</si>
  <si>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</si>
  <si>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</si>
  <si>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</si>
  <si>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</si>
  <si>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</si>
  <si>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</si>
  <si>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</si>
  <si>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</si>
  <si>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</si>
  <si>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</si>
  <si>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</si>
  <si>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</si>
  <si>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</si>
  <si>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</si>
  <si>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</si>
  <si>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</si>
  <si>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</si>
  <si>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</si>
  <si>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</si>
  <si>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</si>
  <si>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</si>
  <si>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</si>
  <si>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</si>
  <si>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</si>
  <si>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</si>
  <si>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</si>
  <si>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</si>
  <si>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</si>
  <si>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</si>
  <si>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</si>
  <si>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</si>
  <si>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</si>
  <si>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</si>
  <si>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</si>
  <si>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</si>
  <si>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</si>
  <si>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</si>
  <si>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</si>
  <si>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</si>
  <si>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</si>
  <si>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</si>
  <si>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</si>
  <si>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</si>
  <si>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</si>
  <si>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</si>
  <si>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</si>
  <si>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</si>
  <si>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</si>
  <si>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</si>
  <si>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</si>
  <si>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</si>
  <si>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</si>
  <si>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</si>
  <si>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</si>
  <si>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</si>
  <si>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</si>
  <si>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</si>
  <si>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</si>
  <si>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</si>
  <si>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</si>
  <si>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</si>
  <si>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</si>
  <si>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</si>
  <si>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</si>
  <si>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</si>
  <si>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</si>
  <si>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</si>
  <si>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</si>
  <si>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</si>
  <si>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</si>
  <si>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</si>
  <si>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</si>
  <si>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</si>
  <si>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</si>
  <si>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</si>
  <si>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</si>
  <si>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</si>
  <si>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</si>
  <si>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</si>
  <si>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</si>
  <si>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</si>
  <si>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</si>
  <si>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</si>
  <si>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</si>
  <si>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</si>
  <si>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</si>
  <si>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</si>
  <si>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</si>
  <si>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</si>
  <si>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</si>
  <si>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</si>
  <si>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</si>
  <si>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</si>
  <si>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</si>
  <si>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</si>
  <si>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</si>
  <si>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</si>
  <si>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</si>
  <si>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</si>
  <si>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</si>
  <si>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</si>
  <si>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</si>
  <si>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</si>
  <si>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</si>
  <si>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</si>
  <si>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</si>
  <si>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</si>
  <si>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</si>
  <si>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</si>
  <si>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</si>
  <si>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</si>
  <si>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</si>
  <si>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</si>
  <si>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</si>
  <si>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</si>
  <si>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</si>
  <si>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</si>
  <si>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</si>
  <si>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</si>
  <si>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</si>
  <si>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</si>
  <si>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</si>
  <si>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</si>
  <si>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</si>
  <si>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</si>
  <si>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</si>
  <si>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</si>
  <si>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</si>
  <si>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</si>
  <si>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</si>
  <si>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</si>
  <si>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</si>
  <si>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</si>
  <si>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</si>
  <si>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</si>
  <si>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</si>
  <si>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</si>
  <si>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</si>
  <si>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</si>
  <si>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</si>
  <si>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</si>
  <si>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</si>
  <si>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</si>
  <si>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</si>
  <si>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</si>
  <si>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</si>
  <si>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</si>
  <si>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</si>
  <si>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</si>
  <si>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</si>
  <si>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</si>
  <si>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</si>
  <si>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</si>
  <si>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</si>
  <si>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</si>
  <si>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</si>
  <si>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</si>
  <si>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</si>
  <si>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</si>
  <si>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</si>
  <si>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</si>
  <si>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</si>
  <si>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</si>
  <si>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</si>
  <si>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</si>
  <si>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</si>
  <si>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</si>
  <si>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</si>
  <si>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</si>
  <si>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</si>
  <si>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</si>
  <si>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</si>
  <si>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</si>
  <si>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</si>
  <si>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</si>
  <si>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</si>
  <si>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</si>
  <si>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</si>
  <si>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</si>
  <si>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</si>
  <si>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</si>
  <si>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</si>
  <si>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</si>
  <si>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</si>
  <si>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</si>
  <si>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</si>
  <si>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</si>
  <si>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</si>
  <si>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</si>
  <si>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</si>
  <si>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</si>
  <si>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</si>
  <si>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</si>
  <si>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</si>
  <si>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</si>
  <si>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</si>
  <si>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</si>
  <si>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</si>
  <si>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</si>
  <si>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</si>
  <si>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</si>
  <si>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</si>
  <si>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</si>
  <si>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</si>
  <si>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</si>
  <si>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</si>
  <si>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</si>
  <si>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</si>
  <si>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</si>
  <si>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</si>
  <si>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</si>
  <si>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</si>
  <si>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</si>
  <si>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</si>
  <si>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</si>
  <si>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</si>
  <si>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</si>
  <si>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</si>
  <si>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</si>
  <si>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</si>
  <si>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</si>
  <si>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</si>
  <si>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</si>
  <si>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</si>
  <si>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</si>
  <si>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</si>
  <si>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</si>
  <si>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</si>
  <si>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</si>
  <si>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</si>
  <si>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</si>
  <si>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</si>
  <si>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</si>
  <si>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</si>
  <si>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</si>
  <si>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</si>
  <si>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</si>
  <si>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</si>
  <si>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</si>
  <si>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</si>
  <si>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</si>
  <si>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</si>
  <si>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</si>
  <si>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</si>
  <si>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</si>
  <si>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</si>
  <si>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</si>
  <si>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</si>
  <si>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</si>
  <si>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</si>
  <si>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</si>
  <si>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</si>
  <si>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</si>
  <si>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</si>
  <si>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</si>
  <si>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</si>
  <si>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</si>
  <si>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</si>
  <si>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</si>
  <si>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</si>
  <si>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</si>
  <si>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</si>
  <si>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</si>
  <si>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</si>
  <si>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</si>
  <si>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</si>
  <si>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</si>
  <si>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</si>
  <si>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</si>
  <si>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</si>
  <si>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</si>
  <si>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</si>
  <si>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</si>
  <si>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</si>
  <si>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</si>
  <si>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</si>
  <si>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</si>
  <si>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</si>
  <si>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</si>
  <si>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</si>
  <si>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</si>
  <si>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</si>
  <si>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</si>
  <si>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</si>
  <si>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</si>
  <si>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</si>
  <si>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</si>
  <si>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</si>
  <si>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</si>
  <si>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</si>
  <si>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</si>
  <si>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</si>
  <si>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</si>
  <si>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</si>
  <si>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</si>
  <si>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</si>
  <si>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</si>
  <si>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</si>
  <si>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</si>
  <si>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</si>
  <si>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</si>
  <si>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</si>
  <si>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</si>
  <si>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</si>
  <si>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</si>
  <si>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</si>
  <si>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</si>
  <si>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</si>
  <si>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</si>
  <si>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</si>
  <si>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</si>
  <si>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</si>
  <si>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</si>
  <si>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</si>
  <si>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</si>
  <si>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</si>
  <si>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</si>
  <si>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</si>
  <si>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</si>
  <si>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</si>
  <si>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</si>
  <si>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</si>
  <si>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</si>
  <si>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</si>
  <si>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</si>
  <si>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</si>
  <si>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</si>
  <si>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</si>
  <si>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</si>
  <si>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</si>
  <si>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</si>
  <si>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</si>
  <si>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</si>
  <si>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</si>
  <si>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</si>
  <si>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</si>
  <si>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</si>
  <si>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</si>
  <si>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</si>
  <si>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</si>
  <si>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</si>
  <si>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</si>
  <si>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</si>
  <si>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</si>
  <si>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</si>
  <si>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</si>
  <si>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</si>
  <si>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</si>
  <si>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</si>
  <si>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</si>
  <si>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</si>
  <si>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</si>
  <si>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</si>
  <si>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</si>
  <si>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</si>
  <si>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</si>
  <si>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</si>
  <si>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</si>
  <si>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</si>
  <si>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</si>
  <si>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</si>
  <si>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</si>
  <si>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</si>
  <si>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</si>
  <si>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</si>
  <si>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</si>
  <si>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</si>
  <si>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</si>
  <si>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</si>
  <si>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</si>
  <si>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</si>
  <si>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</si>
  <si>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</si>
  <si>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</si>
  <si>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</si>
  <si>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</si>
  <si>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</si>
  <si>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</si>
  <si>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</si>
  <si>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</si>
  <si>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</si>
  <si>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</si>
  <si>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</si>
  <si>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</si>
  <si>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</si>
  <si>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</si>
  <si>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</si>
  <si>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</si>
  <si>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</si>
  <si>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</si>
  <si>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</si>
  <si>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</si>
  <si>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</si>
  <si>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</si>
  <si>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</si>
  <si>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</si>
  <si>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</si>
  <si>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</si>
  <si>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</si>
  <si>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</si>
  <si>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</si>
  <si>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</si>
  <si>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</si>
  <si>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</si>
  <si>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</si>
  <si>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</si>
  <si>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</si>
  <si>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</si>
  <si>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</si>
  <si>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</si>
  <si>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</si>
  <si>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</si>
  <si>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</si>
  <si>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</si>
  <si>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</si>
  <si>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</si>
  <si>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</si>
  <si>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</si>
  <si>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</si>
  <si>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</si>
  <si>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</si>
  <si>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</si>
  <si>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</si>
  <si>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</si>
  <si>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</si>
  <si>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</si>
  <si>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</si>
  <si>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</si>
  <si>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</si>
  <si>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</si>
  <si>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</si>
  <si>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</si>
  <si>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</si>
  <si>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</si>
  <si>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</si>
  <si>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</si>
  <si>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</si>
  <si>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</si>
  <si>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</si>
  <si>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</si>
  <si>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</si>
  <si>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</si>
  <si>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</si>
  <si>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</si>
  <si>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</si>
  <si>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</si>
  <si>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</si>
  <si>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</si>
  <si>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</si>
  <si>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</si>
  <si>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</si>
  <si>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</si>
  <si>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</si>
  <si>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</si>
  <si>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</si>
  <si>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</si>
  <si>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</si>
  <si>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</si>
  <si>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</si>
  <si>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</si>
  <si>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</si>
  <si>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</si>
  <si>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</si>
  <si>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</si>
  <si>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</si>
  <si>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</si>
  <si>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</si>
  <si>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</si>
  <si>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</si>
  <si>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</si>
  <si>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</si>
  <si>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</si>
  <si>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</si>
  <si>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</si>
  <si>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</si>
  <si>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</si>
  <si>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</si>
  <si>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</si>
  <si>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</si>
  <si>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</si>
  <si>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</si>
  <si>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</si>
  <si>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</si>
  <si>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</si>
  <si>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</si>
  <si>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</si>
  <si>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</si>
  <si>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</si>
  <si>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</si>
  <si>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</si>
  <si>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</si>
  <si>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</si>
  <si>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</si>
  <si>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</si>
  <si>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</si>
  <si>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</si>
  <si>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</si>
  <si>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</si>
  <si>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</si>
  <si>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</si>
  <si>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</si>
  <si>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</si>
  <si>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</si>
  <si>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</si>
  <si>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</si>
  <si>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</si>
  <si>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</si>
  <si>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</si>
  <si>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</si>
  <si>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</si>
  <si>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</si>
  <si>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</si>
  <si>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</si>
  <si>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</si>
  <si>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</si>
  <si>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</si>
  <si>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</si>
  <si>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</si>
  <si>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</si>
  <si>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</si>
  <si>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</si>
  <si>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</si>
  <si>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</si>
  <si>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</si>
  <si>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</si>
  <si>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</si>
  <si>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</si>
  <si>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</si>
  <si>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</si>
  <si>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</si>
  <si>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</si>
  <si>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</si>
  <si>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</si>
  <si>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</si>
  <si>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</si>
  <si>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</si>
  <si>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</si>
  <si>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</si>
  <si>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</si>
  <si>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</si>
  <si>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</si>
  <si>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</si>
  <si>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</si>
  <si>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</si>
  <si>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</si>
  <si>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</si>
  <si>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</si>
  <si>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</si>
  <si>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</si>
  <si>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</si>
  <si>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</si>
  <si>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</si>
  <si>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</si>
  <si>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</si>
  <si>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</si>
  <si>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</si>
  <si>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</si>
  <si>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</si>
  <si>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</si>
  <si>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</si>
  <si>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</si>
  <si>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</si>
  <si>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</si>
  <si>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</si>
  <si>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</si>
  <si>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</si>
  <si>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</si>
  <si>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</si>
  <si>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</si>
  <si>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</si>
  <si>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</si>
  <si>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</si>
  <si>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</si>
  <si>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</si>
  <si>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</si>
  <si>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</si>
  <si>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</si>
  <si>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</si>
  <si>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</si>
  <si>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</si>
  <si>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</si>
  <si>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</si>
  <si>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</si>
  <si>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</si>
  <si>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</si>
  <si>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</si>
  <si>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</si>
  <si>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</si>
  <si>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</si>
  <si>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</si>
  <si>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</si>
  <si>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</si>
  <si>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</si>
  <si>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</si>
  <si>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</si>
  <si>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</si>
  <si>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</si>
  <si>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</si>
  <si>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</si>
  <si>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</si>
  <si>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</si>
  <si>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</si>
  <si>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</si>
  <si>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</si>
  <si>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</si>
  <si>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</si>
  <si>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</si>
  <si>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</si>
  <si>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</si>
  <si>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</si>
  <si>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</si>
  <si>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</si>
  <si>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</si>
  <si>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</si>
  <si>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</si>
  <si>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</si>
  <si>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</si>
  <si>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</si>
  <si>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</si>
  <si>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</si>
  <si>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</si>
  <si>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</si>
  <si>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</si>
  <si>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</si>
  <si>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</si>
  <si>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</si>
  <si>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</si>
  <si>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</si>
  <si>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</si>
  <si>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</si>
  <si>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</si>
  <si>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</si>
  <si>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</si>
  <si>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</si>
  <si>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</si>
  <si>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</si>
  <si>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</si>
  <si>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</si>
  <si>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</si>
  <si>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</si>
  <si>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</si>
  <si>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</si>
  <si>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</si>
  <si>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</si>
  <si>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</si>
  <si>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</si>
  <si>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</si>
  <si>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</si>
  <si>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</si>
  <si>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</si>
  <si>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</si>
  <si>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</si>
  <si>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</si>
  <si>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</si>
  <si>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</si>
  <si>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</si>
  <si>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</si>
  <si>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</si>
  <si>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</si>
  <si>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</si>
  <si>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</si>
  <si>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</si>
  <si>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</si>
  <si>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</si>
  <si>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</si>
  <si>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</si>
  <si>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</si>
  <si>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</si>
  <si>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</si>
  <si>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</si>
  <si>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</si>
  <si>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</si>
  <si>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</si>
  <si>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</si>
  <si>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</si>
  <si>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</si>
  <si>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</si>
  <si>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</si>
  <si>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</si>
  <si>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</si>
  <si>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</si>
  <si>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</si>
  <si>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</si>
  <si>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</si>
  <si>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</si>
  <si>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</si>
  <si>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</si>
  <si>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</si>
  <si>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</si>
  <si>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</si>
  <si>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</si>
  <si>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</si>
  <si>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</si>
  <si>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</si>
  <si>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</si>
  <si>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</si>
  <si>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</si>
  <si>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</si>
  <si>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</si>
  <si>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</si>
  <si>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</si>
  <si>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</si>
  <si>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</si>
  <si>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</si>
  <si>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</si>
  <si>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</si>
  <si>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</si>
  <si>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</si>
  <si>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</si>
  <si>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</si>
  <si>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</si>
  <si>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</si>
  <si>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</si>
  <si>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</si>
  <si>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</si>
  <si>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</si>
  <si>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</si>
  <si>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</si>
  <si>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</si>
  <si>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</si>
  <si>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</si>
  <si>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</si>
  <si>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</si>
  <si>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</si>
  <si>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</si>
  <si>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</si>
  <si>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</si>
  <si>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</si>
  <si>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</si>
  <si>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</si>
  <si>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</si>
  <si>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</si>
  <si>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</si>
  <si>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</si>
  <si>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</si>
  <si>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</si>
  <si>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</si>
  <si>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</si>
  <si>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</si>
  <si>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</si>
  <si>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</si>
  <si>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</si>
  <si>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</si>
  <si>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</si>
  <si>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</si>
  <si>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</si>
  <si>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</si>
  <si>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</si>
  <si>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</si>
  <si>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</si>
  <si>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</si>
  <si>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</si>
  <si>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</si>
  <si>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</si>
  <si>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</si>
  <si>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</si>
  <si>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</si>
  <si>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</si>
  <si>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</si>
  <si>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</si>
  <si>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</si>
  <si>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</si>
  <si>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</si>
  <si>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</si>
  <si>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</si>
  <si>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</si>
  <si>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</si>
  <si>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</si>
  <si>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</si>
  <si>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</si>
  <si>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</si>
  <si>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</si>
  <si>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</si>
  <si>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</si>
  <si>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</si>
  <si>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</si>
  <si>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</si>
  <si>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</si>
  <si>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</si>
  <si>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</si>
  <si>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</si>
  <si>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</si>
  <si>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</si>
  <si>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</si>
  <si>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</si>
  <si>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</si>
  <si>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</si>
  <si>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</si>
  <si>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</si>
  <si>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</si>
  <si>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</si>
  <si>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</si>
  <si>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</si>
  <si>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</si>
  <si>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</si>
  <si>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</si>
  <si>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</si>
  <si>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</si>
  <si>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</si>
  <si>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</si>
  <si>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</si>
  <si>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</si>
  <si>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</si>
  <si>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</si>
  <si>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</si>
  <si>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</si>
  <si>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</si>
  <si>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</si>
  <si>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</si>
  <si>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</si>
  <si>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</si>
  <si>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</si>
  <si>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</si>
  <si>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</si>
  <si>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</si>
  <si>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</si>
  <si>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</si>
  <si>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</si>
  <si>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</si>
  <si>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</si>
  <si>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</si>
  <si>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</si>
  <si>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</si>
  <si>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</si>
  <si>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</si>
  <si>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</si>
  <si>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</si>
  <si>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</si>
  <si>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</si>
  <si>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</si>
  <si>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</si>
  <si>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</si>
  <si>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</si>
  <si>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</si>
  <si>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</si>
  <si>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</si>
  <si>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</si>
  <si>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</si>
  <si>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</si>
  <si>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</si>
  <si>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</si>
  <si>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</si>
  <si>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</si>
  <si>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</si>
  <si>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</si>
  <si>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</si>
  <si>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</si>
  <si>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</si>
  <si>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</si>
  <si>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</si>
  <si>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</si>
  <si>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</si>
  <si>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</si>
  <si>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</si>
  <si>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</si>
  <si>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</si>
  <si>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</si>
  <si>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</si>
  <si>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</si>
  <si>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</si>
  <si>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</si>
  <si>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</si>
  <si>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</si>
  <si>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</si>
  <si>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</si>
  <si>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</si>
  <si>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</si>
  <si>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</si>
  <si>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</si>
  <si>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</si>
  <si>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</si>
  <si>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</si>
  <si>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</si>
  <si>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</si>
  <si>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</si>
  <si>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</si>
  <si>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</si>
  <si>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</si>
  <si>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</si>
  <si>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</si>
  <si>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</si>
  <si>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</si>
  <si>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</si>
  <si>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</si>
  <si>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</si>
  <si>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</si>
  <si>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</si>
  <si>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</si>
  <si>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</si>
  <si>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</si>
  <si>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</si>
  <si>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</si>
  <si>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</si>
  <si>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</si>
  <si>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</si>
  <si>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</si>
  <si>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</si>
  <si>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</si>
  <si>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</si>
  <si>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</si>
  <si>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</si>
  <si>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</si>
  <si>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</si>
  <si>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</si>
  <si>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</si>
  <si>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</si>
  <si>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</si>
  <si>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</si>
  <si>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</si>
  <si>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</si>
  <si>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</si>
  <si>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</si>
  <si>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</si>
  <si>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</si>
  <si>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</si>
  <si>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</si>
  <si>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</si>
  <si>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</si>
  <si>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</si>
  <si>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</si>
  <si>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</si>
  <si>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</si>
  <si>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</si>
  <si>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</si>
  <si>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</si>
  <si>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</si>
  <si>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</si>
  <si>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</si>
  <si>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</si>
  <si>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</si>
  <si>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</si>
  <si>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</si>
  <si>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</si>
  <si>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</si>
  <si>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</si>
  <si>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</si>
  <si>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</si>
  <si>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</si>
  <si>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</si>
  <si>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</si>
  <si>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</si>
  <si>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</si>
  <si>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</si>
  <si>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</si>
  <si>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</si>
  <si>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</si>
  <si>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</si>
  <si>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</si>
  <si>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</si>
  <si>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</si>
  <si>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</si>
  <si>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</si>
  <si>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</si>
  <si>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</si>
  <si>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</si>
  <si>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</si>
  <si>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</si>
  <si>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</si>
  <si>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</si>
  <si>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</si>
  <si>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</si>
  <si>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</si>
  <si>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</si>
  <si>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</si>
  <si>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</si>
  <si>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</si>
  <si>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</si>
  <si>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</si>
  <si>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</si>
  <si>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</si>
  <si>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</si>
  <si>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</si>
  <si>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928</t>
  </si>
  <si>
    <t>12/31/2020</t>
  </si>
  <si>
    <t>Vest Thurston, LLC</t>
  </si>
  <si>
    <t>605 Woodland Square Loop SE</t>
  </si>
  <si>
    <t>Lacey, WA  98503</t>
  </si>
  <si>
    <t>Thurston</t>
  </si>
  <si>
    <t>TJ Oreilly</t>
  </si>
  <si>
    <t>Bill Parkes</t>
  </si>
  <si>
    <t>Richard Kresch</t>
  </si>
  <si>
    <t>360-764-8400</t>
  </si>
  <si>
    <t>360-764-8421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</si>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</sst>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49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92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/>
          <cell r="AZ59"/>
          <cell r="BA59"/>
          <cell r="BE59"/>
        </row>
        <row r="71"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</row>
        <row r="83">
          <cell r="C83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6" transitionEvaluation="1" transitionEntry="1" codeName="Sheet1">
    <pageSetUpPr autoPageBreaks="0" fitToPage="1"/>
  </sheetPr>
  <dimension ref="A1:CF817"/>
  <sheetViews>
    <sheetView showGridLines="0" tabSelected="1" topLeftCell="A76" zoomScale="75" zoomScaleNormal="75" workbookViewId="0">
      <selection activeCell="H60" sqref="H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2"/>
      <c r="C15" s="235"/>
    </row>
    <row r="16" spans="1:6" ht="12.75" customHeight="1" x14ac:dyDescent="0.35">
      <c r="A16" s="293" t="s">
        <v>1266</v>
      </c>
      <c r="C16" s="235"/>
      <c r="F16" s="286"/>
    </row>
    <row r="17" spans="1:6" ht="12.75" customHeight="1" x14ac:dyDescent="0.35">
      <c r="A17" s="293" t="s">
        <v>1264</v>
      </c>
      <c r="C17" s="286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1105056</v>
      </c>
      <c r="C47" s="184"/>
      <c r="D47" s="184"/>
      <c r="E47" s="184"/>
      <c r="F47" s="184"/>
      <c r="G47" s="184"/>
      <c r="H47" s="184">
        <v>578753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>
        <v>12164</v>
      </c>
      <c r="AK47" s="184"/>
      <c r="AL47" s="184"/>
      <c r="AM47" s="184">
        <v>18958</v>
      </c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31442</v>
      </c>
      <c r="AZ47" s="184"/>
      <c r="BA47" s="184"/>
      <c r="BB47" s="184">
        <v>99488</v>
      </c>
      <c r="BC47" s="184"/>
      <c r="BD47" s="184"/>
      <c r="BE47" s="184">
        <v>16927</v>
      </c>
      <c r="BF47" s="184">
        <v>14606</v>
      </c>
      <c r="BG47" s="184">
        <v>8537</v>
      </c>
      <c r="BH47" s="184">
        <v>3407</v>
      </c>
      <c r="BI47" s="184"/>
      <c r="BJ47" s="184">
        <v>20132</v>
      </c>
      <c r="BK47" s="184">
        <v>23532</v>
      </c>
      <c r="BL47" s="184">
        <f>59080+4731</f>
        <v>63811</v>
      </c>
      <c r="BM47" s="184"/>
      <c r="BN47" s="184">
        <f>25252+3779</f>
        <v>29031</v>
      </c>
      <c r="BO47" s="184"/>
      <c r="BP47" s="184">
        <v>11992</v>
      </c>
      <c r="BQ47" s="184"/>
      <c r="BR47" s="184">
        <v>8084</v>
      </c>
      <c r="BS47" s="184"/>
      <c r="BT47" s="184"/>
      <c r="BU47" s="184"/>
      <c r="BV47" s="184">
        <v>19495</v>
      </c>
      <c r="BW47" s="184"/>
      <c r="BX47" s="184">
        <v>17059</v>
      </c>
      <c r="BY47" s="184">
        <v>73079</v>
      </c>
      <c r="BZ47" s="184"/>
      <c r="CA47" s="184">
        <v>51559</v>
      </c>
      <c r="CB47" s="184"/>
      <c r="CC47" s="184"/>
      <c r="CD47" s="195"/>
      <c r="CE47" s="195">
        <f>SUM(C47:CC47)</f>
        <v>1102056</v>
      </c>
    </row>
    <row r="48" spans="1:83" ht="12.65" customHeight="1" x14ac:dyDescent="0.35">
      <c r="A48" s="175" t="s">
        <v>205</v>
      </c>
      <c r="B48" s="183">
        <v>1225004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643428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14642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20860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34821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109179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18699</v>
      </c>
      <c r="BF48" s="195">
        <f>ROUND(((B48/CE61)*BF61),0)</f>
        <v>15339</v>
      </c>
      <c r="BG48" s="195">
        <f>ROUND(((B48/CE61)*BG61),0)</f>
        <v>9078</v>
      </c>
      <c r="BH48" s="195">
        <f>ROUND(((B48/CE61)*BH61),0)</f>
        <v>3849</v>
      </c>
      <c r="BI48" s="195">
        <f>ROUND(((B48/CE61)*BI61),0)</f>
        <v>0</v>
      </c>
      <c r="BJ48" s="195">
        <f>ROUND(((B48/CE61)*BJ61),0)</f>
        <v>20813</v>
      </c>
      <c r="BK48" s="195">
        <f>ROUND(((B48/CE61)*BK61),0)</f>
        <v>25371</v>
      </c>
      <c r="BL48" s="195">
        <f>ROUND(((B48/CE61)*BL61),0)</f>
        <v>69458</v>
      </c>
      <c r="BM48" s="195">
        <f>ROUND(((B48/CE61)*BM61),0)</f>
        <v>0</v>
      </c>
      <c r="BN48" s="195">
        <f>ROUND(((B48/CE61)*BN61),0)</f>
        <v>40327</v>
      </c>
      <c r="BO48" s="195">
        <f>ROUND(((B48/CE61)*BO61),0)</f>
        <v>0</v>
      </c>
      <c r="BP48" s="195">
        <f>ROUND(((B48/CE61)*BP61),0)</f>
        <v>14128</v>
      </c>
      <c r="BQ48" s="195">
        <f>ROUND(((B48/CE61)*BQ61),0)</f>
        <v>0</v>
      </c>
      <c r="BR48" s="195">
        <f>ROUND(((B48/CE61)*BR61),0)</f>
        <v>7457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21423</v>
      </c>
      <c r="BW48" s="195">
        <f>ROUND(((B48/CE61)*BW61),0)</f>
        <v>0</v>
      </c>
      <c r="BX48" s="195">
        <f>ROUND(((B48/CE61)*BX61),0)</f>
        <v>19021</v>
      </c>
      <c r="BY48" s="195">
        <f>ROUND(((B48/CE61)*BY61),0)</f>
        <v>84884</v>
      </c>
      <c r="BZ48" s="195">
        <f>ROUND(((B48/CE61)*BZ61),0)</f>
        <v>0</v>
      </c>
      <c r="CA48" s="195">
        <f>ROUND(((B48/CE61)*CA61),0)</f>
        <v>52227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1225004</v>
      </c>
    </row>
    <row r="49" spans="1:84" ht="12.65" customHeight="1" x14ac:dyDescent="0.35">
      <c r="A49" s="175" t="s">
        <v>206</v>
      </c>
      <c r="B49" s="195">
        <f>B47+B48</f>
        <v>2330060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f>315431+679878</f>
        <v>995309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641685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1267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4574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19810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28564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35673</v>
      </c>
      <c r="AZ52" s="195">
        <f>ROUND((B52/(CE76+CF76)*AZ76),0)</f>
        <v>0</v>
      </c>
      <c r="BA52" s="195">
        <f>ROUND((B52/(CE76+CF76)*BA76),0)</f>
        <v>4370</v>
      </c>
      <c r="BB52" s="195">
        <f>ROUND((B52/(CE76+CF76)*BB76),0)</f>
        <v>4865</v>
      </c>
      <c r="BC52" s="195">
        <f>ROUND((B52/(CE76+CF76)*BC76),0)</f>
        <v>0</v>
      </c>
      <c r="BD52" s="195">
        <f>ROUND((B52/(CE76+CF76)*BD76),0)</f>
        <v>2389</v>
      </c>
      <c r="BE52" s="195">
        <f>ROUND((B52/(CE76+CF76)*BE76),0)</f>
        <v>21587</v>
      </c>
      <c r="BF52" s="195">
        <f>ROUND((B52/(CE76+CF76)*BF76),0)</f>
        <v>8099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156077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17596</v>
      </c>
      <c r="BM52" s="195">
        <f>ROUND((B52/(CE76+CF76)*BM76),0)</f>
        <v>0</v>
      </c>
      <c r="BN52" s="195">
        <f>ROUND((B52/(CE76+CF76)*BN76),0)</f>
        <v>29934</v>
      </c>
      <c r="BO52" s="195">
        <f>ROUND((B52/(CE76+CF76)*BO76),0)</f>
        <v>0</v>
      </c>
      <c r="BP52" s="195">
        <f>ROUND((B52/(CE76+CF76)*BP76),0)</f>
        <v>2433</v>
      </c>
      <c r="BQ52" s="195">
        <f>ROUND((B52/(CE76+CF76)*BQ76),0)</f>
        <v>0</v>
      </c>
      <c r="BR52" s="195">
        <f>ROUND((B52/(CE76+CF76)*BR76),0)</f>
        <v>1923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7502</v>
      </c>
      <c r="BW52" s="195">
        <f>ROUND((B52/(CE76+CF76)*BW76),0)</f>
        <v>0</v>
      </c>
      <c r="BX52" s="195">
        <f>ROUND((B52/(CE76+CF76)*BX76),0)</f>
        <v>2185</v>
      </c>
      <c r="BY52" s="195">
        <f>ROUND((B52/(CE76+CF76)*BY76),0)</f>
        <v>4778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995311</v>
      </c>
    </row>
    <row r="53" spans="1:84" ht="12.65" customHeight="1" x14ac:dyDescent="0.35">
      <c r="A53" s="175" t="s">
        <v>206</v>
      </c>
      <c r="B53" s="195">
        <f>B51+B52</f>
        <v>995309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25040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77769</v>
      </c>
      <c r="AZ59" s="185"/>
      <c r="BA59" s="248"/>
      <c r="BB59" s="248"/>
      <c r="BC59" s="248"/>
      <c r="BD59" s="248"/>
      <c r="BE59" s="185">
        <v>68330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/>
      <c r="F60" s="223"/>
      <c r="G60" s="187"/>
      <c r="H60" s="187">
        <v>93.45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1.46</v>
      </c>
      <c r="AK60" s="221"/>
      <c r="AL60" s="221"/>
      <c r="AM60" s="221">
        <v>3.15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8.19</v>
      </c>
      <c r="AZ60" s="221"/>
      <c r="BA60" s="221"/>
      <c r="BB60" s="221">
        <f>14.22+1.51</f>
        <v>15.73</v>
      </c>
      <c r="BC60" s="221"/>
      <c r="BD60" s="221"/>
      <c r="BE60" s="221">
        <v>2.82</v>
      </c>
      <c r="BF60" s="221">
        <v>4.17</v>
      </c>
      <c r="BG60" s="221">
        <v>2.59</v>
      </c>
      <c r="BH60" s="221">
        <v>0.84</v>
      </c>
      <c r="BI60" s="221"/>
      <c r="BJ60" s="221">
        <v>1.83</v>
      </c>
      <c r="BK60" s="221">
        <f>3+1.92</f>
        <v>4.92</v>
      </c>
      <c r="BL60" s="221">
        <f>1.07+10.11</f>
        <v>11.18</v>
      </c>
      <c r="BM60" s="221"/>
      <c r="BN60" s="221">
        <f>1.99+0.43</f>
        <v>2.42</v>
      </c>
      <c r="BO60" s="221"/>
      <c r="BP60" s="221">
        <v>2.0099999999999998</v>
      </c>
      <c r="BQ60" s="221"/>
      <c r="BR60" s="221">
        <v>1.02</v>
      </c>
      <c r="BS60" s="221"/>
      <c r="BT60" s="221"/>
      <c r="BU60" s="221"/>
      <c r="BV60" s="221">
        <v>4.0199999999999996</v>
      </c>
      <c r="BW60" s="221">
        <v>5.46</v>
      </c>
      <c r="BX60" s="221">
        <v>2.82</v>
      </c>
      <c r="BY60" s="221">
        <f>3.94+3.44</f>
        <v>7.38</v>
      </c>
      <c r="BZ60" s="221"/>
      <c r="CA60" s="221">
        <f>2.82+4.42</f>
        <v>7.24</v>
      </c>
      <c r="CB60" s="221"/>
      <c r="CC60" s="221"/>
      <c r="CD60" s="249" t="s">
        <v>221</v>
      </c>
      <c r="CE60" s="251">
        <f t="shared" ref="CE60:CE70" si="0">SUM(C60:CD60)</f>
        <v>182.70000000000002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f>6491101+171553+51756</f>
        <v>6714410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f>146309+2487+4000</f>
        <v>152796</v>
      </c>
      <c r="AK61" s="185"/>
      <c r="AL61" s="185"/>
      <c r="AM61" s="185">
        <f>213365+813+3500</f>
        <v>217678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357118+756+5500</f>
        <v>363374</v>
      </c>
      <c r="AZ61" s="185"/>
      <c r="BA61" s="185"/>
      <c r="BB61" s="185">
        <f>1098649+13679+27000</f>
        <v>1139328</v>
      </c>
      <c r="BC61" s="185"/>
      <c r="BD61" s="185"/>
      <c r="BE61" s="185">
        <f>186384+245+8500</f>
        <v>195129</v>
      </c>
      <c r="BF61" s="185">
        <f>157595+474+2000</f>
        <v>160069</v>
      </c>
      <c r="BG61" s="185">
        <f>94802+176-250</f>
        <v>94728</v>
      </c>
      <c r="BH61" s="185">
        <f>40114+51</f>
        <v>40165</v>
      </c>
      <c r="BI61" s="185"/>
      <c r="BJ61" s="185">
        <f>202054+138+15000</f>
        <v>217192</v>
      </c>
      <c r="BK61" s="185">
        <f>263155+1601</f>
        <v>264756</v>
      </c>
      <c r="BL61" s="185">
        <f>666686+51135+276+6722</f>
        <v>724819</v>
      </c>
      <c r="BM61" s="185"/>
      <c r="BN61" s="185">
        <f>320369+43285+136+55000+2036</f>
        <v>420826</v>
      </c>
      <c r="BO61" s="185"/>
      <c r="BP61" s="185">
        <f>138762+173+8500</f>
        <v>147435</v>
      </c>
      <c r="BQ61" s="185"/>
      <c r="BR61" s="185">
        <f>69396+182924-180500+6000</f>
        <v>77820</v>
      </c>
      <c r="BS61" s="185"/>
      <c r="BT61" s="185"/>
      <c r="BU61" s="185"/>
      <c r="BV61" s="185">
        <f>214787+275+8500</f>
        <v>223562</v>
      </c>
      <c r="BW61" s="185">
        <v>0</v>
      </c>
      <c r="BX61" s="185">
        <f>186826+3167+8500</f>
        <v>198493</v>
      </c>
      <c r="BY61" s="185">
        <f>847186+10109+28500</f>
        <v>885795</v>
      </c>
      <c r="BZ61" s="185"/>
      <c r="CA61" s="185">
        <v>545004</v>
      </c>
      <c r="CB61" s="185"/>
      <c r="CC61" s="185"/>
      <c r="CD61" s="249" t="s">
        <v>221</v>
      </c>
      <c r="CE61" s="195">
        <f t="shared" si="0"/>
        <v>12783379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1222181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26806</v>
      </c>
      <c r="AK62" s="195">
        <f t="shared" si="1"/>
        <v>0</v>
      </c>
      <c r="AL62" s="195">
        <f t="shared" si="1"/>
        <v>0</v>
      </c>
      <c r="AM62" s="195">
        <f t="shared" si="1"/>
        <v>39818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66263</v>
      </c>
      <c r="AZ62" s="195">
        <f>ROUND(AZ47+AZ48,0)</f>
        <v>0</v>
      </c>
      <c r="BA62" s="195">
        <f>ROUND(BA47+BA48,0)</f>
        <v>0</v>
      </c>
      <c r="BB62" s="195">
        <f t="shared" si="1"/>
        <v>208667</v>
      </c>
      <c r="BC62" s="195">
        <f t="shared" si="1"/>
        <v>0</v>
      </c>
      <c r="BD62" s="195">
        <f t="shared" si="1"/>
        <v>0</v>
      </c>
      <c r="BE62" s="195">
        <f t="shared" si="1"/>
        <v>35626</v>
      </c>
      <c r="BF62" s="195">
        <f t="shared" si="1"/>
        <v>29945</v>
      </c>
      <c r="BG62" s="195">
        <f t="shared" si="1"/>
        <v>17615</v>
      </c>
      <c r="BH62" s="195">
        <f t="shared" si="1"/>
        <v>7256</v>
      </c>
      <c r="BI62" s="195">
        <f t="shared" si="1"/>
        <v>0</v>
      </c>
      <c r="BJ62" s="195">
        <f t="shared" si="1"/>
        <v>40945</v>
      </c>
      <c r="BK62" s="195">
        <f t="shared" si="1"/>
        <v>48903</v>
      </c>
      <c r="BL62" s="195">
        <f t="shared" si="1"/>
        <v>133269</v>
      </c>
      <c r="BM62" s="195">
        <f t="shared" si="1"/>
        <v>0</v>
      </c>
      <c r="BN62" s="195">
        <f t="shared" si="1"/>
        <v>69358</v>
      </c>
      <c r="BO62" s="195">
        <f t="shared" ref="BO62:CC62" si="2">ROUND(BO47+BO48,0)</f>
        <v>0</v>
      </c>
      <c r="BP62" s="195">
        <f t="shared" si="2"/>
        <v>26120</v>
      </c>
      <c r="BQ62" s="195">
        <f t="shared" si="2"/>
        <v>0</v>
      </c>
      <c r="BR62" s="195">
        <f t="shared" si="2"/>
        <v>15541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40918</v>
      </c>
      <c r="BW62" s="195">
        <f t="shared" si="2"/>
        <v>0</v>
      </c>
      <c r="BX62" s="195">
        <f t="shared" si="2"/>
        <v>36080</v>
      </c>
      <c r="BY62" s="195">
        <f t="shared" si="2"/>
        <v>157963</v>
      </c>
      <c r="BZ62" s="195">
        <f t="shared" si="2"/>
        <v>0</v>
      </c>
      <c r="CA62" s="195">
        <f t="shared" si="2"/>
        <v>103786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2327060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5559</v>
      </c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2322390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2327949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>
        <f>27665+250+5974+116805</f>
        <v>150694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17061+207772+1645</f>
        <v>226478</v>
      </c>
      <c r="AC64" s="185"/>
      <c r="AD64" s="185"/>
      <c r="AE64" s="185"/>
      <c r="AF64" s="185"/>
      <c r="AG64" s="185"/>
      <c r="AH64" s="185"/>
      <c r="AI64" s="185"/>
      <c r="AJ64" s="185">
        <f>20</f>
        <v>20</v>
      </c>
      <c r="AK64" s="185"/>
      <c r="AL64" s="185"/>
      <c r="AM64" s="185">
        <v>701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58412+289307</f>
        <v>347719</v>
      </c>
      <c r="AZ64" s="185"/>
      <c r="BA64" s="185"/>
      <c r="BB64" s="185">
        <f>2350+8574+60526</f>
        <v>71450</v>
      </c>
      <c r="BC64" s="185"/>
      <c r="BD64" s="185"/>
      <c r="BE64" s="185">
        <f>54485+7924</f>
        <v>62409</v>
      </c>
      <c r="BF64" s="185">
        <v>52335</v>
      </c>
      <c r="BG64" s="185"/>
      <c r="BH64" s="185">
        <f>7082+16923</f>
        <v>24005</v>
      </c>
      <c r="BI64" s="185"/>
      <c r="BJ64" s="185">
        <f>627+25+4810-61</f>
        <v>5401</v>
      </c>
      <c r="BK64" s="185"/>
      <c r="BL64" s="185">
        <f>7899+275</f>
        <v>8174</v>
      </c>
      <c r="BM64" s="185"/>
      <c r="BN64" s="185">
        <f>38305+35</f>
        <v>38340</v>
      </c>
      <c r="BO64" s="185"/>
      <c r="BP64" s="185">
        <f>2520+1870</f>
        <v>4390</v>
      </c>
      <c r="BQ64" s="185"/>
      <c r="BR64" s="185">
        <v>2986</v>
      </c>
      <c r="BS64" s="185"/>
      <c r="BT64" s="185"/>
      <c r="BU64" s="185"/>
      <c r="BV64" s="185">
        <v>11157</v>
      </c>
      <c r="BW64" s="185"/>
      <c r="BX64" s="185">
        <v>711</v>
      </c>
      <c r="BY64" s="185"/>
      <c r="BZ64" s="185"/>
      <c r="CA64" s="185">
        <f>5+100</f>
        <v>105</v>
      </c>
      <c r="CB64" s="185"/>
      <c r="CC64" s="185"/>
      <c r="CD64" s="249" t="s">
        <v>221</v>
      </c>
      <c r="CE64" s="195">
        <f t="shared" si="0"/>
        <v>1007075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328527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328527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f>634123</f>
        <v>634123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99202</v>
      </c>
      <c r="V66" s="185"/>
      <c r="W66" s="185"/>
      <c r="X66" s="185"/>
      <c r="Y66" s="185">
        <f>19848</f>
        <v>19848</v>
      </c>
      <c r="Z66" s="185"/>
      <c r="AA66" s="185"/>
      <c r="AB66" s="185">
        <f>563569+3083</f>
        <v>566652</v>
      </c>
      <c r="AC66" s="185"/>
      <c r="AD66" s="185"/>
      <c r="AE66" s="185"/>
      <c r="AF66" s="185"/>
      <c r="AG66" s="185"/>
      <c r="AH66" s="185">
        <v>142729</v>
      </c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1724</v>
      </c>
      <c r="AZ66" s="185"/>
      <c r="BA66" s="185">
        <v>83106</v>
      </c>
      <c r="BB66" s="185">
        <f>1272+4565</f>
        <v>5837</v>
      </c>
      <c r="BC66" s="185"/>
      <c r="BD66" s="185"/>
      <c r="BE66" s="185">
        <f>119+31708</f>
        <v>31827</v>
      </c>
      <c r="BF66" s="185"/>
      <c r="BG66" s="185"/>
      <c r="BH66" s="185">
        <f>159667+37400</f>
        <v>197067</v>
      </c>
      <c r="BI66" s="185"/>
      <c r="BJ66" s="185">
        <f>128002+27135</f>
        <v>155137</v>
      </c>
      <c r="BK66" s="185">
        <f>32157+64030</f>
        <v>96187</v>
      </c>
      <c r="BL66" s="185">
        <f>101+2088</f>
        <v>2189</v>
      </c>
      <c r="BM66" s="185"/>
      <c r="BN66" s="185">
        <f>28840+19864</f>
        <v>48704</v>
      </c>
      <c r="BO66" s="185"/>
      <c r="BP66" s="185">
        <v>5082</v>
      </c>
      <c r="BQ66" s="185"/>
      <c r="BR66" s="185"/>
      <c r="BS66" s="185"/>
      <c r="BT66" s="185"/>
      <c r="BU66" s="185"/>
      <c r="BV66" s="185">
        <f>5034+327</f>
        <v>5361</v>
      </c>
      <c r="BW66" s="185"/>
      <c r="BX66" s="185"/>
      <c r="BY66" s="185">
        <v>10542</v>
      </c>
      <c r="BZ66" s="185"/>
      <c r="CA66" s="185"/>
      <c r="CB66" s="185"/>
      <c r="CC66" s="185"/>
      <c r="CD66" s="249" t="s">
        <v>221</v>
      </c>
      <c r="CE66" s="195">
        <f t="shared" si="0"/>
        <v>2105317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641685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1267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4574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19810</v>
      </c>
      <c r="AK67" s="195">
        <f t="shared" si="3"/>
        <v>0</v>
      </c>
      <c r="AL67" s="195">
        <f t="shared" si="3"/>
        <v>0</v>
      </c>
      <c r="AM67" s="195">
        <f t="shared" si="3"/>
        <v>28564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35673</v>
      </c>
      <c r="AZ67" s="195">
        <f>ROUND(AZ51+AZ52,0)</f>
        <v>0</v>
      </c>
      <c r="BA67" s="195">
        <f>ROUND(BA51+BA52,0)</f>
        <v>4370</v>
      </c>
      <c r="BB67" s="195">
        <f t="shared" si="3"/>
        <v>4865</v>
      </c>
      <c r="BC67" s="195">
        <f t="shared" si="3"/>
        <v>0</v>
      </c>
      <c r="BD67" s="195">
        <f t="shared" si="3"/>
        <v>2389</v>
      </c>
      <c r="BE67" s="195">
        <f t="shared" si="3"/>
        <v>21587</v>
      </c>
      <c r="BF67" s="195">
        <f t="shared" si="3"/>
        <v>8099</v>
      </c>
      <c r="BG67" s="195">
        <f t="shared" si="3"/>
        <v>0</v>
      </c>
      <c r="BH67" s="195">
        <f t="shared" si="3"/>
        <v>0</v>
      </c>
      <c r="BI67" s="195">
        <f t="shared" si="3"/>
        <v>156077</v>
      </c>
      <c r="BJ67" s="195">
        <f t="shared" si="3"/>
        <v>0</v>
      </c>
      <c r="BK67" s="195">
        <f t="shared" si="3"/>
        <v>0</v>
      </c>
      <c r="BL67" s="195">
        <f t="shared" si="3"/>
        <v>17596</v>
      </c>
      <c r="BM67" s="195">
        <f t="shared" si="3"/>
        <v>0</v>
      </c>
      <c r="BN67" s="195">
        <f t="shared" si="3"/>
        <v>29934</v>
      </c>
      <c r="BO67" s="195">
        <f t="shared" si="3"/>
        <v>0</v>
      </c>
      <c r="BP67" s="195">
        <f t="shared" si="3"/>
        <v>2433</v>
      </c>
      <c r="BQ67" s="195">
        <f t="shared" ref="BQ67:CC67" si="4">ROUND(BQ51+BQ52,0)</f>
        <v>0</v>
      </c>
      <c r="BR67" s="195">
        <f t="shared" si="4"/>
        <v>1923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7502</v>
      </c>
      <c r="BW67" s="195">
        <f t="shared" si="4"/>
        <v>0</v>
      </c>
      <c r="BX67" s="195">
        <f t="shared" si="4"/>
        <v>2185</v>
      </c>
      <c r="BY67" s="195">
        <f t="shared" si="4"/>
        <v>4778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995311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1389122</v>
      </c>
      <c r="BF68" s="185"/>
      <c r="BG68" s="185"/>
      <c r="BH68" s="185"/>
      <c r="BI68" s="185"/>
      <c r="BJ68" s="185"/>
      <c r="BK68" s="185"/>
      <c r="BL68" s="185"/>
      <c r="BM68" s="185"/>
      <c r="BN68" s="185">
        <v>40828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1429950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v>2186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1447</v>
      </c>
      <c r="AZ69" s="185"/>
      <c r="BA69" s="185"/>
      <c r="BB69" s="185">
        <f>1347+77</f>
        <v>1424</v>
      </c>
      <c r="BC69" s="185"/>
      <c r="BD69" s="185"/>
      <c r="BE69" s="185">
        <f>99932+128+44</f>
        <v>100104</v>
      </c>
      <c r="BF69" s="185">
        <v>77</v>
      </c>
      <c r="BG69" s="185"/>
      <c r="BH69" s="224">
        <v>356</v>
      </c>
      <c r="BI69" s="185"/>
      <c r="BJ69" s="185">
        <v>2090</v>
      </c>
      <c r="BK69" s="185"/>
      <c r="BL69" s="185">
        <f>1407+432+866</f>
        <v>2705</v>
      </c>
      <c r="BM69" s="185"/>
      <c r="BN69" s="185">
        <f>9735+3262+1801+23604-8884+300</f>
        <v>29818</v>
      </c>
      <c r="BO69" s="185"/>
      <c r="BP69" s="185">
        <f>240+1598+12316+1750</f>
        <v>15904</v>
      </c>
      <c r="BQ69" s="185"/>
      <c r="BR69" s="185">
        <f>419315+253-8+17375</f>
        <v>436935</v>
      </c>
      <c r="BS69" s="185"/>
      <c r="BT69" s="185"/>
      <c r="BU69" s="185"/>
      <c r="BV69" s="185"/>
      <c r="BW69" s="185"/>
      <c r="BX69" s="185">
        <f>3258+1029</f>
        <v>4287</v>
      </c>
      <c r="BY69" s="185">
        <v>714</v>
      </c>
      <c r="BZ69" s="185"/>
      <c r="CA69" s="185">
        <f>850+1500+1952+56+4983+153+1271+333-425+10563+490</f>
        <v>21726</v>
      </c>
      <c r="CB69" s="185"/>
      <c r="CC69" s="185"/>
      <c r="CD69" s="188">
        <f>702184+654263</f>
        <v>1356447</v>
      </c>
      <c r="CE69" s="195">
        <f t="shared" si="0"/>
        <v>1976220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1332498</v>
      </c>
      <c r="CE70" s="195">
        <f t="shared" si="0"/>
        <v>1332498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9365279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100469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19848</v>
      </c>
      <c r="Z71" s="195">
        <f t="shared" si="5"/>
        <v>0</v>
      </c>
      <c r="AA71" s="195">
        <f t="shared" si="5"/>
        <v>0</v>
      </c>
      <c r="AB71" s="195">
        <f t="shared" si="5"/>
        <v>797704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142729</v>
      </c>
      <c r="AI71" s="195">
        <f t="shared" si="5"/>
        <v>0</v>
      </c>
      <c r="AJ71" s="195">
        <f t="shared" ref="AJ71:BO71" si="6">SUM(AJ61:AJ69)-AJ70</f>
        <v>199432</v>
      </c>
      <c r="AK71" s="195">
        <f t="shared" si="6"/>
        <v>0</v>
      </c>
      <c r="AL71" s="195">
        <f t="shared" si="6"/>
        <v>0</v>
      </c>
      <c r="AM71" s="195">
        <f t="shared" si="6"/>
        <v>286761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816200</v>
      </c>
      <c r="AZ71" s="195">
        <f t="shared" si="6"/>
        <v>0</v>
      </c>
      <c r="BA71" s="195">
        <f t="shared" si="6"/>
        <v>87476</v>
      </c>
      <c r="BB71" s="195">
        <f t="shared" si="6"/>
        <v>1431571</v>
      </c>
      <c r="BC71" s="195">
        <f t="shared" si="6"/>
        <v>0</v>
      </c>
      <c r="BD71" s="195">
        <f t="shared" si="6"/>
        <v>2389</v>
      </c>
      <c r="BE71" s="195">
        <f t="shared" si="6"/>
        <v>2164331</v>
      </c>
      <c r="BF71" s="195">
        <f t="shared" si="6"/>
        <v>250525</v>
      </c>
      <c r="BG71" s="195">
        <f t="shared" si="6"/>
        <v>112343</v>
      </c>
      <c r="BH71" s="195">
        <f t="shared" si="6"/>
        <v>268849</v>
      </c>
      <c r="BI71" s="195">
        <f t="shared" si="6"/>
        <v>156077</v>
      </c>
      <c r="BJ71" s="195">
        <f t="shared" si="6"/>
        <v>426324</v>
      </c>
      <c r="BK71" s="195">
        <f t="shared" si="6"/>
        <v>409846</v>
      </c>
      <c r="BL71" s="195">
        <f t="shared" si="6"/>
        <v>888752</v>
      </c>
      <c r="BM71" s="195">
        <f t="shared" si="6"/>
        <v>0</v>
      </c>
      <c r="BN71" s="195">
        <f t="shared" si="6"/>
        <v>677808</v>
      </c>
      <c r="BO71" s="195">
        <f t="shared" si="6"/>
        <v>0</v>
      </c>
      <c r="BP71" s="195">
        <f t="shared" ref="BP71:CC71" si="7">SUM(BP61:BP69)-BP70</f>
        <v>201364</v>
      </c>
      <c r="BQ71" s="195">
        <f t="shared" si="7"/>
        <v>0</v>
      </c>
      <c r="BR71" s="195">
        <f t="shared" si="7"/>
        <v>535205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288500</v>
      </c>
      <c r="BW71" s="195">
        <f t="shared" si="7"/>
        <v>2322390</v>
      </c>
      <c r="BX71" s="195">
        <f t="shared" si="7"/>
        <v>241756</v>
      </c>
      <c r="BY71" s="195">
        <f t="shared" si="7"/>
        <v>1059792</v>
      </c>
      <c r="BZ71" s="195">
        <f t="shared" si="7"/>
        <v>0</v>
      </c>
      <c r="CA71" s="195">
        <f t="shared" si="7"/>
        <v>670621</v>
      </c>
      <c r="CB71" s="195">
        <f t="shared" si="7"/>
        <v>0</v>
      </c>
      <c r="CC71" s="195">
        <f t="shared" si="7"/>
        <v>0</v>
      </c>
      <c r="CD71" s="245">
        <f>CD69-CD70</f>
        <v>23949</v>
      </c>
      <c r="CE71" s="195">
        <f>SUM(CE61:CE69)-CE70</f>
        <v>23948290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f>78876000+3382753</f>
        <v>82258753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82258753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1831500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1831500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82258753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1831500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84090253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f>3173+9781+10644+9781+10674</f>
        <v>44053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87</v>
      </c>
      <c r="V76" s="185"/>
      <c r="W76" s="185"/>
      <c r="X76" s="185"/>
      <c r="Y76" s="185"/>
      <c r="Z76" s="185"/>
      <c r="AA76" s="185"/>
      <c r="AB76" s="185">
        <v>314</v>
      </c>
      <c r="AC76" s="185"/>
      <c r="AD76" s="185"/>
      <c r="AE76" s="185"/>
      <c r="AF76" s="185"/>
      <c r="AG76" s="185"/>
      <c r="AH76" s="185"/>
      <c r="AI76" s="185"/>
      <c r="AJ76" s="185">
        <v>1360</v>
      </c>
      <c r="AK76" s="185"/>
      <c r="AL76" s="185"/>
      <c r="AM76" s="185">
        <v>1961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2449</v>
      </c>
      <c r="AZ76" s="185"/>
      <c r="BA76" s="185">
        <v>300</v>
      </c>
      <c r="BB76" s="185">
        <v>334</v>
      </c>
      <c r="BC76" s="185"/>
      <c r="BD76" s="185">
        <v>164</v>
      </c>
      <c r="BE76" s="185">
        <v>1482</v>
      </c>
      <c r="BF76" s="185">
        <v>556</v>
      </c>
      <c r="BG76" s="185"/>
      <c r="BH76" s="185"/>
      <c r="BI76" s="185">
        <f>9625+1090</f>
        <v>10715</v>
      </c>
      <c r="BJ76" s="185"/>
      <c r="BK76" s="185"/>
      <c r="BL76" s="185">
        <v>1208</v>
      </c>
      <c r="BM76" s="185"/>
      <c r="BN76" s="185">
        <f>1966+89</f>
        <v>2055</v>
      </c>
      <c r="BO76" s="185"/>
      <c r="BP76" s="185">
        <v>167</v>
      </c>
      <c r="BQ76" s="185"/>
      <c r="BR76" s="185">
        <v>132</v>
      </c>
      <c r="BS76" s="185"/>
      <c r="BT76" s="185"/>
      <c r="BU76" s="185"/>
      <c r="BV76" s="185">
        <v>515</v>
      </c>
      <c r="BW76" s="185"/>
      <c r="BX76" s="185">
        <v>150</v>
      </c>
      <c r="BY76" s="185">
        <v>328</v>
      </c>
      <c r="BZ76" s="185"/>
      <c r="CA76" s="185"/>
      <c r="CB76" s="185"/>
      <c r="CC76" s="185"/>
      <c r="CD76" s="249" t="s">
        <v>221</v>
      </c>
      <c r="CE76" s="195">
        <f t="shared" si="8"/>
        <v>68330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v>77769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77769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>
        <v>8677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8677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106828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106828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v>93.45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93.45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40" t="s">
        <v>1278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41" t="s">
        <v>1267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0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315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1963</v>
      </c>
      <c r="D111" s="174">
        <v>25040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98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98</v>
      </c>
    </row>
    <row r="128" spans="1:5" ht="12.65" customHeight="1" x14ac:dyDescent="0.35">
      <c r="A128" s="173" t="s">
        <v>292</v>
      </c>
      <c r="B128" s="172" t="s">
        <v>256</v>
      </c>
      <c r="C128" s="189">
        <v>108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354</v>
      </c>
      <c r="C138" s="189">
        <v>1148</v>
      </c>
      <c r="D138" s="174">
        <v>461</v>
      </c>
      <c r="E138" s="175">
        <f>SUM(B138:D138)</f>
        <v>1963</v>
      </c>
    </row>
    <row r="139" spans="1:6" ht="12.65" customHeight="1" x14ac:dyDescent="0.35">
      <c r="A139" s="173" t="s">
        <v>215</v>
      </c>
      <c r="B139" s="174">
        <v>6438</v>
      </c>
      <c r="C139" s="189">
        <v>13505</v>
      </c>
      <c r="D139" s="174">
        <v>5097</v>
      </c>
      <c r="E139" s="175">
        <f>SUM(B139:D139)</f>
        <v>25040</v>
      </c>
    </row>
    <row r="140" spans="1:6" ht="12.65" customHeight="1" x14ac:dyDescent="0.35">
      <c r="A140" s="173" t="s">
        <v>298</v>
      </c>
      <c r="B140" s="174">
        <v>353</v>
      </c>
      <c r="C140" s="174">
        <v>202</v>
      </c>
      <c r="D140" s="174">
        <v>2204</v>
      </c>
      <c r="E140" s="175">
        <f>SUM(B140:D140)</f>
        <v>2759</v>
      </c>
    </row>
    <row r="141" spans="1:6" ht="12.65" customHeight="1" x14ac:dyDescent="0.35">
      <c r="A141" s="173" t="s">
        <v>245</v>
      </c>
      <c r="B141" s="174">
        <f>20279700+(B157*B139/E139)</f>
        <v>21149434.976597443</v>
      </c>
      <c r="C141" s="174">
        <f>42534100+(B157*C139/E139)</f>
        <v>44358544.060103834</v>
      </c>
      <c r="D141" s="174">
        <f>16062200+(B157*D139/E139)</f>
        <v>16750773.963298721</v>
      </c>
      <c r="E141" s="175">
        <f>SUM(B141:D141)</f>
        <v>82258753</v>
      </c>
      <c r="F141" s="199"/>
    </row>
    <row r="142" spans="1:6" ht="12.65" customHeight="1" x14ac:dyDescent="0.35">
      <c r="A142" s="173" t="s">
        <v>246</v>
      </c>
      <c r="B142" s="174">
        <v>207100</v>
      </c>
      <c r="C142" s="189">
        <v>108000</v>
      </c>
      <c r="D142" s="174">
        <v>1516400</v>
      </c>
      <c r="E142" s="175">
        <f>SUM(B142:D142)</f>
        <v>1831500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3382753</v>
      </c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947414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154641.60000000001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85182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955039-5757+4937</f>
        <v>954219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53277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83218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19881+26989+2238</f>
        <v>49108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2327059.6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1389122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40828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1429950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577317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76946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654263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28949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563875+138309-28949+300</f>
        <v>673535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702484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28660744</v>
      </c>
      <c r="C197" s="189"/>
      <c r="D197" s="174">
        <v>874423</v>
      </c>
      <c r="E197" s="175">
        <f t="shared" si="10"/>
        <v>27786321</v>
      </c>
    </row>
    <row r="198" spans="1:8" ht="12.65" customHeight="1" x14ac:dyDescent="0.35">
      <c r="A198" s="173" t="s">
        <v>335</v>
      </c>
      <c r="B198" s="174">
        <v>98994</v>
      </c>
      <c r="C198" s="189">
        <v>0</v>
      </c>
      <c r="D198" s="174"/>
      <c r="E198" s="175">
        <f t="shared" si="10"/>
        <v>98994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1358866</v>
      </c>
      <c r="C200" s="189">
        <v>248203</v>
      </c>
      <c r="D200" s="174"/>
      <c r="E200" s="175">
        <f t="shared" si="10"/>
        <v>1607069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/>
      <c r="C203" s="189">
        <v>1620</v>
      </c>
      <c r="D203" s="174"/>
      <c r="E203" s="175">
        <f t="shared" si="10"/>
        <v>1620</v>
      </c>
    </row>
    <row r="204" spans="1:8" ht="12.65" customHeight="1" x14ac:dyDescent="0.35">
      <c r="A204" s="173" t="s">
        <v>203</v>
      </c>
      <c r="B204" s="175">
        <f>SUM(B195:B203)</f>
        <v>30118604</v>
      </c>
      <c r="C204" s="191">
        <f>SUM(C195:C203)</f>
        <v>249823</v>
      </c>
      <c r="D204" s="175">
        <f>SUM(D195:D203)</f>
        <v>874423</v>
      </c>
      <c r="E204" s="175">
        <f>SUM(E195:E203)</f>
        <v>29494004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1098860</v>
      </c>
      <c r="C210" s="189">
        <v>679878</v>
      </c>
      <c r="D210" s="174"/>
      <c r="E210" s="175">
        <f t="shared" si="11"/>
        <v>1778738</v>
      </c>
      <c r="H210" s="259"/>
    </row>
    <row r="211" spans="1:8" ht="12.65" customHeight="1" x14ac:dyDescent="0.35">
      <c r="A211" s="173" t="s">
        <v>335</v>
      </c>
      <c r="B211" s="174">
        <v>9900</v>
      </c>
      <c r="C211" s="189">
        <v>6599</v>
      </c>
      <c r="D211" s="174"/>
      <c r="E211" s="175">
        <f t="shared" si="11"/>
        <v>16499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269203</v>
      </c>
      <c r="C213" s="189">
        <v>308834</v>
      </c>
      <c r="D213" s="174"/>
      <c r="E213" s="175">
        <f t="shared" si="11"/>
        <v>578037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1377963</v>
      </c>
      <c r="C217" s="191">
        <f>SUM(C208:C216)</f>
        <v>995311</v>
      </c>
      <c r="D217" s="175">
        <f>SUM(D208:D216)</f>
        <v>0</v>
      </c>
      <c r="E217" s="175">
        <f>SUM(E208:E216)</f>
        <v>2373274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1" t="s">
        <v>1254</v>
      </c>
      <c r="B221" s="208"/>
      <c r="C221" s="189">
        <f>97220+27529</f>
        <v>124749</v>
      </c>
      <c r="D221" s="172">
        <f>C221</f>
        <v>124749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f>-157854+4784734+1547-143058+3113885+59910+59818</f>
        <v>7718982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682804+15317962+4379-97080+20982712+62245</f>
        <v>36953022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1893658+295799</f>
        <v>2189457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2716175+839914+3050213+82506+160528+6474+398395-18858</f>
        <v>7235347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69903+2658621+5+1296</f>
        <v>2729825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56826633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5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36732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6218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42950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f>4337+386</f>
        <v>4723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f>131139+5804</f>
        <v>136943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141666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57135998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f>1000+375283</f>
        <v>376283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f>8683193-870715</f>
        <v>7812478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f>153280+714068</f>
        <v>867348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56234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67457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f>200264+216722+630</f>
        <v>417616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7862720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27786321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98994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910121+142638+322871+231439</f>
        <v>1607069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1620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29494004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1778737+419814+113005+61717</f>
        <v>2373273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27120731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34983451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165493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898792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389171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1453456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379588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f>256540-957454</f>
        <v>-700914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-321326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-321326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43565732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-2060416+5066382-5552060-7168317</f>
        <v>-9714411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34983451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34983451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78876000+3382753</f>
        <v>82258753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1831500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84090253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f>97220+27529</f>
        <v>124749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53142400+2658621+5+1025607</f>
        <v>56826633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36732+6218</f>
        <v>42950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4337+131139+386+5804</f>
        <v>141666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57135998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26954255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f>10883+1295210+26405</f>
        <v>1332498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1332498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28286753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12334082+449297</f>
        <v>12783379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2327060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2322390+5559</f>
        <v>2327949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821874+185201</f>
        <v>1007075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328527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1471194+634123</f>
        <v>2105317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>315433+679878</f>
        <v>995311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>1389122+40828</f>
        <v>1429950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654263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702184+300</f>
        <v>702484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67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99932+419315+28020+12316+68774-8884</f>
        <v>619473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25280788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3005965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3005965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3005965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Vest Thurston, LLC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1963</v>
      </c>
      <c r="C414" s="194">
        <f>E138</f>
        <v>1963</v>
      </c>
      <c r="D414" s="179"/>
    </row>
    <row r="415" spans="1:5" ht="12.65" customHeight="1" x14ac:dyDescent="0.35">
      <c r="A415" s="179" t="s">
        <v>464</v>
      </c>
      <c r="B415" s="179">
        <f>D111</f>
        <v>25040</v>
      </c>
      <c r="C415" s="179">
        <f>E139</f>
        <v>25040</v>
      </c>
      <c r="D415" s="194">
        <f>SUM(C59:H59)+N59</f>
        <v>25040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12783379</v>
      </c>
      <c r="C427" s="179">
        <f t="shared" ref="C427:C434" si="13">CE61</f>
        <v>12783379</v>
      </c>
      <c r="D427" s="179"/>
    </row>
    <row r="428" spans="1:7" ht="12.65" customHeight="1" x14ac:dyDescent="0.35">
      <c r="A428" s="179" t="s">
        <v>3</v>
      </c>
      <c r="B428" s="179">
        <f t="shared" si="12"/>
        <v>2327060</v>
      </c>
      <c r="C428" s="179">
        <f t="shared" si="13"/>
        <v>2327060</v>
      </c>
      <c r="D428" s="179">
        <f>D173</f>
        <v>2327059.6</v>
      </c>
    </row>
    <row r="429" spans="1:7" ht="12.65" customHeight="1" x14ac:dyDescent="0.35">
      <c r="A429" s="179" t="s">
        <v>236</v>
      </c>
      <c r="B429" s="179">
        <f t="shared" si="12"/>
        <v>2327949</v>
      </c>
      <c r="C429" s="179">
        <f t="shared" si="13"/>
        <v>2327949</v>
      </c>
      <c r="D429" s="179"/>
    </row>
    <row r="430" spans="1:7" ht="12.65" customHeight="1" x14ac:dyDescent="0.35">
      <c r="A430" s="179" t="s">
        <v>237</v>
      </c>
      <c r="B430" s="179">
        <f t="shared" si="12"/>
        <v>1007075</v>
      </c>
      <c r="C430" s="179">
        <f t="shared" si="13"/>
        <v>1007075</v>
      </c>
      <c r="D430" s="179"/>
    </row>
    <row r="431" spans="1:7" ht="12.65" customHeight="1" x14ac:dyDescent="0.35">
      <c r="A431" s="179" t="s">
        <v>444</v>
      </c>
      <c r="B431" s="179">
        <f t="shared" si="12"/>
        <v>328527</v>
      </c>
      <c r="C431" s="179">
        <f t="shared" si="13"/>
        <v>328527</v>
      </c>
      <c r="D431" s="179"/>
    </row>
    <row r="432" spans="1:7" ht="12.65" customHeight="1" x14ac:dyDescent="0.35">
      <c r="A432" s="179" t="s">
        <v>445</v>
      </c>
      <c r="B432" s="179">
        <f t="shared" si="12"/>
        <v>2105317</v>
      </c>
      <c r="C432" s="179">
        <f t="shared" si="13"/>
        <v>2105317</v>
      </c>
      <c r="D432" s="179"/>
    </row>
    <row r="433" spans="1:7" ht="12.65" customHeight="1" x14ac:dyDescent="0.35">
      <c r="A433" s="179" t="s">
        <v>6</v>
      </c>
      <c r="B433" s="179">
        <f t="shared" si="12"/>
        <v>995311</v>
      </c>
      <c r="C433" s="179">
        <f t="shared" si="13"/>
        <v>995311</v>
      </c>
      <c r="D433" s="179">
        <f>C217</f>
        <v>995311</v>
      </c>
    </row>
    <row r="434" spans="1:7" ht="12.65" customHeight="1" x14ac:dyDescent="0.35">
      <c r="A434" s="179" t="s">
        <v>474</v>
      </c>
      <c r="B434" s="179">
        <f t="shared" si="12"/>
        <v>1429950</v>
      </c>
      <c r="C434" s="179">
        <f t="shared" si="13"/>
        <v>1429950</v>
      </c>
      <c r="D434" s="179">
        <f>D177</f>
        <v>1429950</v>
      </c>
    </row>
    <row r="435" spans="1:7" ht="12.65" customHeight="1" x14ac:dyDescent="0.35">
      <c r="A435" s="179" t="s">
        <v>447</v>
      </c>
      <c r="B435" s="179">
        <f t="shared" si="12"/>
        <v>654263</v>
      </c>
      <c r="C435" s="179"/>
      <c r="D435" s="179">
        <f>D181</f>
        <v>654263</v>
      </c>
    </row>
    <row r="436" spans="1:7" ht="12.65" customHeight="1" x14ac:dyDescent="0.35">
      <c r="A436" s="179" t="s">
        <v>475</v>
      </c>
      <c r="B436" s="179">
        <f t="shared" si="12"/>
        <v>702484</v>
      </c>
      <c r="C436" s="179"/>
      <c r="D436" s="179">
        <f>D186</f>
        <v>702484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1356747</v>
      </c>
      <c r="C438" s="194">
        <f>CD69</f>
        <v>1356447</v>
      </c>
      <c r="D438" s="194">
        <f>D181+D186+D190</f>
        <v>1356747</v>
      </c>
    </row>
    <row r="439" spans="1:7" ht="12.65" customHeight="1" x14ac:dyDescent="0.35">
      <c r="A439" s="179" t="s">
        <v>451</v>
      </c>
      <c r="B439" s="194">
        <f>C389</f>
        <v>619473</v>
      </c>
      <c r="C439" s="194">
        <f>SUM(C69:CC69)</f>
        <v>619773</v>
      </c>
      <c r="D439" s="179"/>
    </row>
    <row r="440" spans="1:7" ht="12.65" customHeight="1" x14ac:dyDescent="0.35">
      <c r="A440" s="179" t="s">
        <v>477</v>
      </c>
      <c r="B440" s="194">
        <f>B438+B439</f>
        <v>1976220</v>
      </c>
      <c r="C440" s="194">
        <f>CE69</f>
        <v>1976220</v>
      </c>
      <c r="D440" s="179"/>
    </row>
    <row r="441" spans="1:7" ht="12.65" customHeight="1" x14ac:dyDescent="0.35">
      <c r="A441" s="179" t="s">
        <v>478</v>
      </c>
      <c r="B441" s="179">
        <f>D390</f>
        <v>25280788</v>
      </c>
      <c r="C441" s="179">
        <f>SUM(C427:C437)+C440</f>
        <v>25280788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124749</v>
      </c>
      <c r="C444" s="179">
        <f>C363</f>
        <v>124749</v>
      </c>
      <c r="D444" s="179"/>
    </row>
    <row r="445" spans="1:7" ht="12.65" customHeight="1" x14ac:dyDescent="0.35">
      <c r="A445" s="179" t="s">
        <v>343</v>
      </c>
      <c r="B445" s="179">
        <f>D229</f>
        <v>56826633</v>
      </c>
      <c r="C445" s="179">
        <f>C364</f>
        <v>56826633</v>
      </c>
      <c r="D445" s="179"/>
    </row>
    <row r="446" spans="1:7" ht="12.65" customHeight="1" x14ac:dyDescent="0.35">
      <c r="A446" s="179" t="s">
        <v>351</v>
      </c>
      <c r="B446" s="179">
        <f>D236</f>
        <v>42950</v>
      </c>
      <c r="C446" s="179">
        <f>C365</f>
        <v>42950</v>
      </c>
      <c r="D446" s="179"/>
    </row>
    <row r="447" spans="1:7" ht="12.65" customHeight="1" x14ac:dyDescent="0.35">
      <c r="A447" s="179" t="s">
        <v>356</v>
      </c>
      <c r="B447" s="179">
        <f>D240</f>
        <v>141666</v>
      </c>
      <c r="C447" s="179">
        <f>C366</f>
        <v>141666</v>
      </c>
      <c r="D447" s="179"/>
    </row>
    <row r="448" spans="1:7" ht="12.65" customHeight="1" x14ac:dyDescent="0.35">
      <c r="A448" s="179" t="s">
        <v>358</v>
      </c>
      <c r="B448" s="179">
        <f>D242</f>
        <v>57135998</v>
      </c>
      <c r="C448" s="179">
        <f>D367</f>
        <v>57135998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</v>
      </c>
    </row>
    <row r="454" spans="1:7" ht="12.65" customHeight="1" x14ac:dyDescent="0.35">
      <c r="A454" s="179" t="s">
        <v>168</v>
      </c>
      <c r="B454" s="179">
        <f>C233</f>
        <v>36732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6218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1332498</v>
      </c>
      <c r="C458" s="194">
        <f>CE70</f>
        <v>1332498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82258753</v>
      </c>
      <c r="C463" s="194">
        <f>CE73</f>
        <v>82258753</v>
      </c>
      <c r="D463" s="194">
        <f>E141+E147+E153</f>
        <v>82258753</v>
      </c>
    </row>
    <row r="464" spans="1:7" ht="12.65" customHeight="1" x14ac:dyDescent="0.35">
      <c r="A464" s="179" t="s">
        <v>246</v>
      </c>
      <c r="B464" s="194">
        <f>C360</f>
        <v>1831500</v>
      </c>
      <c r="C464" s="194">
        <f>CE74</f>
        <v>1831500</v>
      </c>
      <c r="D464" s="194">
        <f>E142+E148+E154</f>
        <v>1831500</v>
      </c>
    </row>
    <row r="465" spans="1:7" ht="12.65" customHeight="1" x14ac:dyDescent="0.35">
      <c r="A465" s="179" t="s">
        <v>247</v>
      </c>
      <c r="B465" s="194">
        <f>D361</f>
        <v>84090253</v>
      </c>
      <c r="C465" s="194">
        <f>CE75</f>
        <v>84090253</v>
      </c>
      <c r="D465" s="194">
        <f>D463+D464</f>
        <v>84090253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27786321</v>
      </c>
      <c r="C470" s="179">
        <f>E197</f>
        <v>27786321</v>
      </c>
      <c r="D470" s="179"/>
    </row>
    <row r="471" spans="1:7" ht="12.65" customHeight="1" x14ac:dyDescent="0.35">
      <c r="A471" s="179" t="s">
        <v>494</v>
      </c>
      <c r="B471" s="179">
        <f t="shared" si="14"/>
        <v>98994</v>
      </c>
      <c r="C471" s="179">
        <f>E198</f>
        <v>98994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1607069</v>
      </c>
      <c r="C473" s="179">
        <f>SUM(E200:E201)</f>
        <v>1607069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1620</v>
      </c>
      <c r="C475" s="179">
        <f>E203</f>
        <v>1620</v>
      </c>
      <c r="D475" s="179"/>
    </row>
    <row r="476" spans="1:7" ht="12.65" customHeight="1" x14ac:dyDescent="0.35">
      <c r="A476" s="179" t="s">
        <v>203</v>
      </c>
      <c r="B476" s="179">
        <f>D275</f>
        <v>29494004</v>
      </c>
      <c r="C476" s="179">
        <f>E204</f>
        <v>29494004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2373273</v>
      </c>
      <c r="C478" s="179">
        <f>E217</f>
        <v>2373274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34983451</v>
      </c>
    </row>
    <row r="482" spans="1:12" ht="12.65" customHeight="1" x14ac:dyDescent="0.35">
      <c r="A482" s="180" t="s">
        <v>499</v>
      </c>
      <c r="C482" s="180">
        <f>D339</f>
        <v>34983451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928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6248744</v>
      </c>
      <c r="C501" s="240">
        <f>H71</f>
        <v>9365279</v>
      </c>
      <c r="D501" s="240">
        <f>'Prior Year'!H59</f>
        <v>16586</v>
      </c>
      <c r="E501" s="180">
        <f>H59</f>
        <v>25040</v>
      </c>
      <c r="F501" s="263">
        <f t="shared" si="15"/>
        <v>376.7481008079103</v>
      </c>
      <c r="G501" s="263">
        <f t="shared" si="15"/>
        <v>374.01273961661343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35254</v>
      </c>
      <c r="C514" s="240">
        <f>U71</f>
        <v>100469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13767</v>
      </c>
      <c r="C518" s="240">
        <f>Y71</f>
        <v>19848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697223</v>
      </c>
      <c r="C521" s="240">
        <f>AB71</f>
        <v>797704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142729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116711</v>
      </c>
      <c r="C529" s="240">
        <f>AJ71</f>
        <v>199432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232302</v>
      </c>
      <c r="C532" s="240">
        <f>AM71</f>
        <v>286761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650657</v>
      </c>
      <c r="C544" s="240">
        <f>AY71</f>
        <v>816200</v>
      </c>
      <c r="D544" s="240">
        <f>'Prior Year'!AY59</f>
        <v>50769</v>
      </c>
      <c r="E544" s="180">
        <f>AY59</f>
        <v>77769</v>
      </c>
      <c r="F544" s="263">
        <f t="shared" ref="F544:G550" si="19">IF(B544=0,"",IF(D544=0,"",B544/D544))</f>
        <v>12.816029466800607</v>
      </c>
      <c r="G544" s="263">
        <f t="shared" si="19"/>
        <v>10.495184456531522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57606</v>
      </c>
      <c r="C546" s="240">
        <f>BA71</f>
        <v>87476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1092832</v>
      </c>
      <c r="C547" s="240">
        <f>BB71</f>
        <v>1431571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2259</v>
      </c>
      <c r="C549" s="240">
        <f>BD71</f>
        <v>2389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1976356</v>
      </c>
      <c r="C550" s="240">
        <f>BE71</f>
        <v>2164331</v>
      </c>
      <c r="D550" s="240">
        <f>'Prior Year'!BE59</f>
        <v>68330</v>
      </c>
      <c r="E550" s="180">
        <f>BE59</f>
        <v>68330</v>
      </c>
      <c r="F550" s="263">
        <f t="shared" si="19"/>
        <v>28.923693838723839</v>
      </c>
      <c r="G550" s="263">
        <f t="shared" si="19"/>
        <v>31.674681691789843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204817</v>
      </c>
      <c r="C551" s="240">
        <f>BF71</f>
        <v>250525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113894</v>
      </c>
      <c r="C552" s="240">
        <f>BG71</f>
        <v>112343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270459</v>
      </c>
      <c r="C553" s="240">
        <f>BH71</f>
        <v>268849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147575</v>
      </c>
      <c r="C554" s="240">
        <f>BI71</f>
        <v>156077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423606</v>
      </c>
      <c r="C555" s="240">
        <f>BJ71</f>
        <v>426324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315642</v>
      </c>
      <c r="C556" s="240">
        <f>BK71</f>
        <v>409846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812293</v>
      </c>
      <c r="C557" s="240">
        <f>BL71</f>
        <v>888752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690882</v>
      </c>
      <c r="C559" s="240">
        <f>BN71</f>
        <v>677808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193281</v>
      </c>
      <c r="C561" s="240">
        <f>BP71</f>
        <v>201364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393503</v>
      </c>
      <c r="C563" s="240">
        <f>BR71</f>
        <v>535205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198963</v>
      </c>
      <c r="C567" s="240">
        <f>BV71</f>
        <v>288500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1823669</v>
      </c>
      <c r="C568" s="240">
        <f>BW71</f>
        <v>2322390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262320</v>
      </c>
      <c r="C569" s="240">
        <f>BX71</f>
        <v>241756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811216</v>
      </c>
      <c r="C570" s="240">
        <f>BY71</f>
        <v>1059792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585501</v>
      </c>
      <c r="C572" s="240">
        <f>CA71</f>
        <v>670621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1226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576508</v>
      </c>
      <c r="C575" s="240">
        <f>CD71</f>
        <v>23949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66848</v>
      </c>
      <c r="E612" s="180">
        <f>SUM(C624:D647)+SUM(C668:D713)</f>
        <v>22457713.473671615</v>
      </c>
      <c r="F612" s="180">
        <f>CE64-(AX64+BD64+BE64+BG64+BJ64+BN64+BP64+BQ64+CB64+CC64+CD64)</f>
        <v>896535</v>
      </c>
      <c r="G612" s="180">
        <f>CE77-(AX77+AY77+BD77+BE77+BG77+BJ77+BN77+BP77+BQ77+CB77+CC77+CD77)</f>
        <v>77769</v>
      </c>
      <c r="H612" s="197">
        <f>CE60-(AX60+AY60+AZ60+BD60+BE60+BG60+BJ60+BN60+BO60+BP60+BQ60+BR60+CB60+CC60+CD60)</f>
        <v>161.82000000000002</v>
      </c>
      <c r="I612" s="180">
        <f>CE78-(AX78+AY78+AZ78+BD78+BE78+BF78+BG78+BJ78+BN78+BO78+BP78+BQ78+BR78+CB78+CC78+CD78)</f>
        <v>8677</v>
      </c>
      <c r="J612" s="180">
        <f>CE79-(AX79+AY79+AZ79+BA79+BD79+BE79+BF79+BG79+BJ79+BN79+BO79+BP79+BQ79+BR79+CB79+CC79+CD79)</f>
        <v>106828</v>
      </c>
      <c r="K612" s="180">
        <f>CE75-(AW75+AX75+AY75+AZ75+BA75+BB75+BC75+BD75+BE75+BF75+BG75+BH75+BI75+BJ75+BK75+BL75+BM75+BN75+BO75+BP75+BQ75+BR75+BS75+BT75+BU75+BV75+BW75+BX75+CB75+CC75+CD75)</f>
        <v>84090253</v>
      </c>
      <c r="L612" s="197">
        <f>CE80-(AW80+AX80+AY80+AZ80+BA80+BB80+BC80+BD80+BE80+BF80+BG80+BH80+BI80+BJ80+BK80+BL80+BM80+BN80+BO80+BP80+BQ80+BR80+BS80+BT80+BU80+BV80+BW80+BX80+BY80+BZ80+CA80+CB80+CC80+CD80)</f>
        <v>93.45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2164331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23949</v>
      </c>
      <c r="D615" s="266">
        <f>SUM(C614:C615)</f>
        <v>2188280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426324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112343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677808</v>
      </c>
      <c r="D619" s="180">
        <f>(D615/D612)*BN76</f>
        <v>67270.754547630451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201364</v>
      </c>
      <c r="D621" s="180">
        <f>(D615/D612)*BP76</f>
        <v>5466.7717807563431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1490576.5263283867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2389</v>
      </c>
      <c r="D624" s="180">
        <f>(D615/D612)*BD76</f>
        <v>5368.5662996649116</v>
      </c>
      <c r="E624" s="180">
        <f>(E623/E612)*SUM(C624:D624)</f>
        <v>514.88973894305389</v>
      </c>
      <c r="F624" s="180">
        <f>SUM(C624:E624)</f>
        <v>8272.4560386079647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816200</v>
      </c>
      <c r="D625" s="180">
        <f>(D615/D612)*AY76</f>
        <v>80168.407730971754</v>
      </c>
      <c r="E625" s="180">
        <f>(E623/E612)*SUM(C625:D625)</f>
        <v>59494.289526515131</v>
      </c>
      <c r="F625" s="180">
        <f>(F624/F612)*AY64</f>
        <v>3208.4526998820156</v>
      </c>
      <c r="G625" s="180">
        <f>SUM(C625:F625)</f>
        <v>959071.14995736885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535205</v>
      </c>
      <c r="D626" s="180">
        <f>(D615/D612)*BR76</f>
        <v>4321.0411680229772</v>
      </c>
      <c r="E626" s="180">
        <f>(E623/E612)*SUM(C626:D626)</f>
        <v>35809.738745253409</v>
      </c>
      <c r="F626" s="180">
        <f>(F624/F612)*BR64</f>
        <v>27.552246963345976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575363.33216023981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250525</v>
      </c>
      <c r="D629" s="180">
        <f>(D615/D612)*BF76</f>
        <v>18200.749162278604</v>
      </c>
      <c r="E629" s="180">
        <f>(E623/E612)*SUM(C629:D629)</f>
        <v>17836.022985639047</v>
      </c>
      <c r="F629" s="180">
        <f>(F624/F612)*BF64</f>
        <v>482.90249324404272</v>
      </c>
      <c r="G629" s="180">
        <f>(G625/G612)*BF77</f>
        <v>0</v>
      </c>
      <c r="H629" s="180">
        <f>(H628/H612)*BF60</f>
        <v>14826.752534348039</v>
      </c>
      <c r="I629" s="180">
        <f>SUM(C629:H629)</f>
        <v>301871.42717550974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87476</v>
      </c>
      <c r="D630" s="180">
        <f>(D615/D612)*BA76</f>
        <v>9820.5481091431302</v>
      </c>
      <c r="E630" s="180">
        <f>(E623/E612)*SUM(C630:D630)</f>
        <v>6457.8235390835043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103754.37164822663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1431571</v>
      </c>
      <c r="D632" s="180">
        <f>(D615/D612)*BB76</f>
        <v>10933.543561512686</v>
      </c>
      <c r="E632" s="180">
        <f>(E623/E612)*SUM(C632:D632)</f>
        <v>95742.757350412663</v>
      </c>
      <c r="F632" s="180">
        <f>(F624/F612)*BB64</f>
        <v>659.27931866412257</v>
      </c>
      <c r="G632" s="180">
        <f>(G625/G612)*BB77</f>
        <v>0</v>
      </c>
      <c r="H632" s="180">
        <f>(H628/H612)*BB60</f>
        <v>55929.212797432774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156077</v>
      </c>
      <c r="D634" s="180">
        <f>(D615/D612)*BI76</f>
        <v>350757.24329822883</v>
      </c>
      <c r="E634" s="180">
        <f>(E623/E612)*SUM(C634:D634)</f>
        <v>33639.89956882452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409846</v>
      </c>
      <c r="D635" s="180">
        <f>(D615/D612)*BK76</f>
        <v>0</v>
      </c>
      <c r="E635" s="180">
        <f>(E623/E612)*SUM(C635:D635)</f>
        <v>27202.539017419691</v>
      </c>
      <c r="F635" s="180">
        <f>(F624/F612)*BK64</f>
        <v>0</v>
      </c>
      <c r="G635" s="180">
        <f>(G625/G612)*BK77</f>
        <v>0</v>
      </c>
      <c r="H635" s="180">
        <f>(H628/H612)*BK60</f>
        <v>17493.434644842291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268849</v>
      </c>
      <c r="D636" s="180">
        <f>(D615/D612)*BH76</f>
        <v>0</v>
      </c>
      <c r="E636" s="180">
        <f>(E623/E612)*SUM(C636:D636)</f>
        <v>17844.203462506081</v>
      </c>
      <c r="F636" s="180">
        <f>(F624/F612)*BH64</f>
        <v>221.49755135804426</v>
      </c>
      <c r="G636" s="180">
        <f>(G625/G612)*BH77</f>
        <v>0</v>
      </c>
      <c r="H636" s="180">
        <f>(H628/H612)*BH60</f>
        <v>2986.6839637535618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888752</v>
      </c>
      <c r="D637" s="180">
        <f>(D615/D612)*BL76</f>
        <v>39544.073719483007</v>
      </c>
      <c r="E637" s="180">
        <f>(E623/E612)*SUM(C637:D637)</f>
        <v>61613.411293685291</v>
      </c>
      <c r="F637" s="180">
        <f>(F624/F612)*BL64</f>
        <v>75.422661312253851</v>
      </c>
      <c r="G637" s="180">
        <f>(G625/G612)*BL77</f>
        <v>0</v>
      </c>
      <c r="H637" s="180">
        <f>(H628/H612)*BL60</f>
        <v>39751.341327100978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288500</v>
      </c>
      <c r="D642" s="180">
        <f>(D615/D612)*BV76</f>
        <v>16858.607587362374</v>
      </c>
      <c r="E642" s="180">
        <f>(E623/E612)*SUM(C642:D642)</f>
        <v>20267.440544009634</v>
      </c>
      <c r="F642" s="180">
        <f>(F624/F612)*BV64</f>
        <v>102.94722684864402</v>
      </c>
      <c r="G642" s="180">
        <f>(G625/G612)*BV77</f>
        <v>0</v>
      </c>
      <c r="H642" s="180">
        <f>(H628/H612)*BV60</f>
        <v>14293.416112249188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2322390</v>
      </c>
      <c r="D643" s="180">
        <f>(D615/D612)*BW76</f>
        <v>0</v>
      </c>
      <c r="E643" s="180">
        <f>(E623/E612)*SUM(C643:D643)</f>
        <v>154143.03076927754</v>
      </c>
      <c r="F643" s="180">
        <f>(F624/F612)*BW64</f>
        <v>0</v>
      </c>
      <c r="G643" s="180">
        <f>(G625/G612)*BW77</f>
        <v>0</v>
      </c>
      <c r="H643" s="180">
        <f>(H628/H612)*BW60</f>
        <v>19413.445764398151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241756</v>
      </c>
      <c r="D644" s="180">
        <f>(D615/D612)*BX76</f>
        <v>4910.2740545715651</v>
      </c>
      <c r="E644" s="180">
        <f>(E623/E612)*SUM(C644:D644)</f>
        <v>16371.878569635965</v>
      </c>
      <c r="F644" s="180">
        <f>(F624/F612)*BX64</f>
        <v>6.5604981885261182</v>
      </c>
      <c r="G644" s="180">
        <f>(G625/G612)*BX77</f>
        <v>0</v>
      </c>
      <c r="H644" s="180">
        <f>(H628/H612)*BX60</f>
        <v>10026.724735458385</v>
      </c>
      <c r="I644" s="180">
        <f>(I629/I612)*BX78</f>
        <v>0</v>
      </c>
      <c r="J644" s="180">
        <f>(J630/J612)*BX79</f>
        <v>0</v>
      </c>
      <c r="K644" s="180">
        <f>SUM(C631:J644)</f>
        <v>7018529.8693985362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1059792</v>
      </c>
      <c r="D645" s="180">
        <f>(D615/D612)*BY76</f>
        <v>10737.132599329823</v>
      </c>
      <c r="E645" s="180">
        <f>(E623/E612)*SUM(C645:D645)</f>
        <v>71053.787273311755</v>
      </c>
      <c r="F645" s="180">
        <f>(F624/F612)*BY64</f>
        <v>0</v>
      </c>
      <c r="G645" s="180">
        <f>(G625/G612)*BY77</f>
        <v>0</v>
      </c>
      <c r="H645" s="180">
        <f>(H628/H612)*BY60</f>
        <v>26240.151967263435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670621</v>
      </c>
      <c r="D647" s="180">
        <f>(D615/D612)*CA76</f>
        <v>0</v>
      </c>
      <c r="E647" s="180">
        <f>(E623/E612)*SUM(C647:D647)</f>
        <v>44510.850217889187</v>
      </c>
      <c r="F647" s="180">
        <f>(F624/F612)*CA64</f>
        <v>0.96884994345322417</v>
      </c>
      <c r="G647" s="180">
        <f>(G625/G612)*CA77</f>
        <v>0</v>
      </c>
      <c r="H647" s="180">
        <f>(H628/H612)*CA60</f>
        <v>25742.371306637844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1908698.2622143757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13036068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9365279</v>
      </c>
      <c r="D673" s="180">
        <f>(D615/D612)*H76</f>
        <v>1442082.0195069411</v>
      </c>
      <c r="E673" s="180">
        <f>(E623/E612)*SUM(C673:D673)</f>
        <v>717312.50227763155</v>
      </c>
      <c r="F673" s="180">
        <f>(F624/F612)*H64</f>
        <v>1390.4749845594301</v>
      </c>
      <c r="G673" s="180">
        <f>(G625/G612)*H77</f>
        <v>959071.14995736885</v>
      </c>
      <c r="H673" s="180">
        <f>(H628/H612)*H60</f>
        <v>332268.59096758376</v>
      </c>
      <c r="I673" s="180">
        <f>(I629/I612)*H78</f>
        <v>301871.42717550974</v>
      </c>
      <c r="J673" s="180">
        <f>(J630/J612)*H79</f>
        <v>103754.37164822663</v>
      </c>
      <c r="K673" s="180">
        <f>(K644/K612)*H75</f>
        <v>6865665.0961672869</v>
      </c>
      <c r="L673" s="180">
        <f>(L647/L612)*H80</f>
        <v>1908698.2622143757</v>
      </c>
      <c r="M673" s="180">
        <f t="shared" si="20"/>
        <v>12632114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100469</v>
      </c>
      <c r="D686" s="180">
        <f>(D615/D612)*U76</f>
        <v>2847.958951651508</v>
      </c>
      <c r="E686" s="180">
        <f>(E623/E612)*SUM(C686:D686)</f>
        <v>6857.4137774760493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9705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19848</v>
      </c>
      <c r="D690" s="180">
        <f>(D615/D612)*Y76</f>
        <v>0</v>
      </c>
      <c r="E690" s="180">
        <f>(E623/E612)*SUM(C690:D690)</f>
        <v>1317.363093497914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1317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797704</v>
      </c>
      <c r="D693" s="180">
        <f>(D615/D612)*AB76</f>
        <v>10278.840354236478</v>
      </c>
      <c r="E693" s="180">
        <f>(E623/E612)*SUM(C693:D693)</f>
        <v>53627.910825387342</v>
      </c>
      <c r="F693" s="180">
        <f>(F624/F612)*AB64</f>
        <v>2089.7447380323742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65996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142729</v>
      </c>
      <c r="D699" s="180">
        <f>(D615/D612)*AH76</f>
        <v>0</v>
      </c>
      <c r="E699" s="180">
        <f>(E623/E612)*SUM(C699:D699)</f>
        <v>9473.2928744389228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9473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199432</v>
      </c>
      <c r="D701" s="180">
        <f>(D615/D612)*AJ76</f>
        <v>44519.818094782197</v>
      </c>
      <c r="E701" s="180">
        <f>(E623/E612)*SUM(C701:D701)</f>
        <v>16191.713107103114</v>
      </c>
      <c r="F701" s="180">
        <f>(F624/F612)*AJ64</f>
        <v>0.18454284637204271</v>
      </c>
      <c r="G701" s="180">
        <f>(G625/G612)*AJ77</f>
        <v>0</v>
      </c>
      <c r="H701" s="180">
        <f>(H628/H612)*AJ60</f>
        <v>5191.1411750954767</v>
      </c>
      <c r="I701" s="180">
        <f>(I629/I612)*AJ78</f>
        <v>0</v>
      </c>
      <c r="J701" s="180">
        <f>(J630/J612)*AJ79</f>
        <v>0</v>
      </c>
      <c r="K701" s="180">
        <f>(K644/K612)*AJ75</f>
        <v>152864.77323124974</v>
      </c>
      <c r="L701" s="180">
        <f>(L647/L612)*AJ80</f>
        <v>0</v>
      </c>
      <c r="M701" s="180">
        <f t="shared" si="20"/>
        <v>218768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286761</v>
      </c>
      <c r="D704" s="180">
        <f>(D615/D612)*AM76</f>
        <v>64193.649473432262</v>
      </c>
      <c r="E704" s="180">
        <f>(E623/E612)*SUM(C704:D704)</f>
        <v>23293.767770445222</v>
      </c>
      <c r="F704" s="180">
        <f>(F624/F612)*AM64</f>
        <v>6.4682267653400967</v>
      </c>
      <c r="G704" s="180">
        <f>(G625/G612)*AM77</f>
        <v>0</v>
      </c>
      <c r="H704" s="180">
        <f>(H628/H612)*AM60</f>
        <v>11200.064864075857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98694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23948290</v>
      </c>
      <c r="D715" s="180">
        <f>SUM(D616:D647)+SUM(D668:D713)</f>
        <v>2188280</v>
      </c>
      <c r="E715" s="180">
        <f>SUM(E624:E647)+SUM(E668:E713)</f>
        <v>1490576.5263283865</v>
      </c>
      <c r="F715" s="180">
        <f>SUM(F625:F648)+SUM(F668:F713)</f>
        <v>8272.4560386079647</v>
      </c>
      <c r="G715" s="180">
        <f>SUM(G626:G647)+SUM(G668:G713)</f>
        <v>959071.14995736885</v>
      </c>
      <c r="H715" s="180">
        <f>SUM(H629:H647)+SUM(H668:H713)</f>
        <v>575363.33216023969</v>
      </c>
      <c r="I715" s="180">
        <f>SUM(I630:I647)+SUM(I668:I713)</f>
        <v>301871.42717550974</v>
      </c>
      <c r="J715" s="180">
        <f>SUM(J631:J647)+SUM(J668:J713)</f>
        <v>103754.37164822663</v>
      </c>
      <c r="K715" s="180">
        <f>SUM(K668:K713)</f>
        <v>7018529.8693985362</v>
      </c>
      <c r="L715" s="180">
        <f>SUM(L668:L713)</f>
        <v>1908698.2622143757</v>
      </c>
      <c r="M715" s="180">
        <f>SUM(M668:M713)</f>
        <v>13036067</v>
      </c>
      <c r="N715" s="198" t="s">
        <v>742</v>
      </c>
    </row>
    <row r="716" spans="1:83" ht="12.65" customHeight="1" x14ac:dyDescent="0.35">
      <c r="C716" s="180">
        <f>CE71</f>
        <v>23948290</v>
      </c>
      <c r="D716" s="180">
        <f>D615</f>
        <v>2188280</v>
      </c>
      <c r="E716" s="180">
        <f>E623</f>
        <v>1490576.5263283867</v>
      </c>
      <c r="F716" s="180">
        <f>F624</f>
        <v>8272.4560386079647</v>
      </c>
      <c r="G716" s="180">
        <f>G625</f>
        <v>959071.14995736885</v>
      </c>
      <c r="H716" s="180">
        <f>H628</f>
        <v>575363.33216023981</v>
      </c>
      <c r="I716" s="180">
        <f>I629</f>
        <v>301871.42717550974</v>
      </c>
      <c r="J716" s="180">
        <f>J630</f>
        <v>103754.37164822663</v>
      </c>
      <c r="K716" s="180">
        <f>K644</f>
        <v>7018529.8693985362</v>
      </c>
      <c r="L716" s="180">
        <f>L647</f>
        <v>1908698.2622143757</v>
      </c>
      <c r="M716" s="180">
        <f>C648</f>
        <v>13036068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928*2021*A</v>
      </c>
      <c r="B722" s="275">
        <f>ROUND(C165,0)</f>
        <v>947414</v>
      </c>
      <c r="C722" s="275">
        <f>ROUND(C166,0)</f>
        <v>154642</v>
      </c>
      <c r="D722" s="275">
        <f>ROUND(C167,0)</f>
        <v>85182</v>
      </c>
      <c r="E722" s="275">
        <f>ROUND(C168,0)</f>
        <v>954219</v>
      </c>
      <c r="F722" s="275">
        <f>ROUND(C169,0)</f>
        <v>53277</v>
      </c>
      <c r="G722" s="275">
        <f>ROUND(C170,0)</f>
        <v>83218</v>
      </c>
      <c r="H722" s="275">
        <f>ROUND(C171+C172,0)</f>
        <v>49108</v>
      </c>
      <c r="I722" s="275">
        <f>ROUND(C175,0)</f>
        <v>1389122</v>
      </c>
      <c r="J722" s="275">
        <f>ROUND(C176,0)</f>
        <v>40828</v>
      </c>
      <c r="K722" s="275">
        <f>ROUND(C179,0)</f>
        <v>577317</v>
      </c>
      <c r="L722" s="275">
        <f>ROUND(C180,0)</f>
        <v>76946</v>
      </c>
      <c r="M722" s="275">
        <f>ROUND(C183,0)</f>
        <v>28949</v>
      </c>
      <c r="N722" s="275">
        <f>ROUND(C184,0)</f>
        <v>673535</v>
      </c>
      <c r="O722" s="275">
        <f>ROUND(C185,0)</f>
        <v>0</v>
      </c>
      <c r="P722" s="275">
        <f>ROUND(C188,0)</f>
        <v>0</v>
      </c>
      <c r="Q722" s="275">
        <f>ROUND(C189,0)</f>
        <v>0</v>
      </c>
      <c r="R722" s="275">
        <f>ROUND(B195,0)</f>
        <v>0</v>
      </c>
      <c r="S722" s="275">
        <f>ROUND(C195,0)</f>
        <v>0</v>
      </c>
      <c r="T722" s="275">
        <f>ROUND(D195,0)</f>
        <v>0</v>
      </c>
      <c r="U722" s="275">
        <f>ROUND(B196,0)</f>
        <v>0</v>
      </c>
      <c r="V722" s="275">
        <f>ROUND(C196,0)</f>
        <v>0</v>
      </c>
      <c r="W722" s="275">
        <f>ROUND(D196,0)</f>
        <v>0</v>
      </c>
      <c r="X722" s="275">
        <f>ROUND(B197,0)</f>
        <v>28660744</v>
      </c>
      <c r="Y722" s="275">
        <f>ROUND(C197,0)</f>
        <v>0</v>
      </c>
      <c r="Z722" s="275">
        <f>ROUND(D197,0)</f>
        <v>874423</v>
      </c>
      <c r="AA722" s="275">
        <f>ROUND(B198,0)</f>
        <v>98994</v>
      </c>
      <c r="AB722" s="275">
        <f>ROUND(C198,0)</f>
        <v>0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1358866</v>
      </c>
      <c r="AH722" s="275">
        <f>ROUND(C200,0)</f>
        <v>248203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1620</v>
      </c>
      <c r="AR722" s="275">
        <f>ROUND(D203,0)</f>
        <v>0</v>
      </c>
      <c r="AS722" s="275"/>
      <c r="AT722" s="275"/>
      <c r="AU722" s="275"/>
      <c r="AV722" s="275">
        <f>ROUND(B209,0)</f>
        <v>0</v>
      </c>
      <c r="AW722" s="275">
        <f>ROUND(C209,0)</f>
        <v>0</v>
      </c>
      <c r="AX722" s="275">
        <f>ROUND(D209,0)</f>
        <v>0</v>
      </c>
      <c r="AY722" s="275">
        <f>ROUND(B210,0)</f>
        <v>1098860</v>
      </c>
      <c r="AZ722" s="275">
        <f>ROUND(C210,0)</f>
        <v>679878</v>
      </c>
      <c r="BA722" s="275">
        <f>ROUND(D210,0)</f>
        <v>0</v>
      </c>
      <c r="BB722" s="275">
        <f>ROUND(B211,0)</f>
        <v>9900</v>
      </c>
      <c r="BC722" s="275">
        <f>ROUND(C211,0)</f>
        <v>6599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269203</v>
      </c>
      <c r="BI722" s="275">
        <f>ROUND(C213,0)</f>
        <v>308834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7718982</v>
      </c>
      <c r="BU722" s="275">
        <f>ROUND(C224,0)</f>
        <v>36953022</v>
      </c>
      <c r="BV722" s="275">
        <f>ROUND(C225,0)</f>
        <v>0</v>
      </c>
      <c r="BW722" s="275">
        <f>ROUND(C226,0)</f>
        <v>2189457</v>
      </c>
      <c r="BX722" s="275">
        <f>ROUND(C227,0)</f>
        <v>7235347</v>
      </c>
      <c r="BY722" s="275">
        <f>ROUND(C228,0)</f>
        <v>2729825</v>
      </c>
      <c r="BZ722" s="275">
        <f>ROUND(C231,0)</f>
        <v>5</v>
      </c>
      <c r="CA722" s="275">
        <f>ROUND(C233,0)</f>
        <v>36732</v>
      </c>
      <c r="CB722" s="275">
        <f>ROUND(C234,0)</f>
        <v>6218</v>
      </c>
      <c r="CC722" s="275">
        <f>ROUND(C238+C239,0)</f>
        <v>141666</v>
      </c>
      <c r="CD722" s="275">
        <f>D221</f>
        <v>124749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928*2021*A</v>
      </c>
      <c r="B726" s="275">
        <f>ROUND(C111,0)</f>
        <v>1963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25040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98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108</v>
      </c>
      <c r="W726" s="275">
        <f>ROUND(C129,0)</f>
        <v>0</v>
      </c>
      <c r="X726" s="275">
        <f>ROUND(B138,0)</f>
        <v>354</v>
      </c>
      <c r="Y726" s="275">
        <f>ROUND(B139,0)</f>
        <v>6438</v>
      </c>
      <c r="Z726" s="275">
        <f>ROUND(B140,0)</f>
        <v>353</v>
      </c>
      <c r="AA726" s="275">
        <f>ROUND(B141,0)</f>
        <v>21149435</v>
      </c>
      <c r="AB726" s="275">
        <f>ROUND(B142,0)</f>
        <v>207100</v>
      </c>
      <c r="AC726" s="275">
        <f>ROUND(C138,0)</f>
        <v>1148</v>
      </c>
      <c r="AD726" s="275">
        <f>ROUND(C139,0)</f>
        <v>13505</v>
      </c>
      <c r="AE726" s="275">
        <f>ROUND(C140,0)</f>
        <v>202</v>
      </c>
      <c r="AF726" s="275">
        <f>ROUND(C141,0)</f>
        <v>44358544</v>
      </c>
      <c r="AG726" s="275">
        <f>ROUND(C142,0)</f>
        <v>108000</v>
      </c>
      <c r="AH726" s="275">
        <f>ROUND(D138,0)</f>
        <v>461</v>
      </c>
      <c r="AI726" s="275">
        <f>ROUND(D139,0)</f>
        <v>5097</v>
      </c>
      <c r="AJ726" s="275">
        <f>ROUND(D140,0)</f>
        <v>2204</v>
      </c>
      <c r="AK726" s="275">
        <f>ROUND(D141,0)</f>
        <v>16750774</v>
      </c>
      <c r="AL726" s="275">
        <f>ROUND(D142,0)</f>
        <v>1516400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3382753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928*2021*A</v>
      </c>
      <c r="B730" s="275">
        <f>ROUND(C250,0)</f>
        <v>376283</v>
      </c>
      <c r="C730" s="275">
        <f>ROUND(C251,0)</f>
        <v>0</v>
      </c>
      <c r="D730" s="275">
        <f>ROUND(C252,0)</f>
        <v>7812478</v>
      </c>
      <c r="E730" s="275">
        <f>ROUND(C253,0)</f>
        <v>867348</v>
      </c>
      <c r="F730" s="275">
        <f>ROUND(C254,0)</f>
        <v>0</v>
      </c>
      <c r="G730" s="275">
        <f>ROUND(C255,0)</f>
        <v>56234</v>
      </c>
      <c r="H730" s="275">
        <f>ROUND(C256,0)</f>
        <v>0</v>
      </c>
      <c r="I730" s="275">
        <f>ROUND(C257,0)</f>
        <v>67457</v>
      </c>
      <c r="J730" s="275">
        <f>ROUND(C258,0)</f>
        <v>417616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0</v>
      </c>
      <c r="P730" s="275">
        <f>ROUND(C268,0)</f>
        <v>0</v>
      </c>
      <c r="Q730" s="275">
        <f>ROUND(C269,0)</f>
        <v>27786321</v>
      </c>
      <c r="R730" s="275">
        <f>ROUND(C270,0)</f>
        <v>98994</v>
      </c>
      <c r="S730" s="275">
        <f>ROUND(C271,0)</f>
        <v>0</v>
      </c>
      <c r="T730" s="275">
        <f>ROUND(C272,0)</f>
        <v>1607069</v>
      </c>
      <c r="U730" s="275">
        <f>ROUND(C273,0)</f>
        <v>0</v>
      </c>
      <c r="V730" s="275">
        <f>ROUND(C274,0)</f>
        <v>1620</v>
      </c>
      <c r="W730" s="275">
        <f>ROUND(C275,0)</f>
        <v>0</v>
      </c>
      <c r="X730" s="275">
        <f>ROUND(C276,0)</f>
        <v>2373273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165493</v>
      </c>
      <c r="AI730" s="275">
        <f>ROUND(C306,0)</f>
        <v>898792</v>
      </c>
      <c r="AJ730" s="275">
        <f>ROUND(C307,0)</f>
        <v>389171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379588</v>
      </c>
      <c r="AX730" s="275">
        <f>ROUND(C325,0)</f>
        <v>0</v>
      </c>
      <c r="AY730" s="275">
        <f>ROUND(C326,0)</f>
        <v>0</v>
      </c>
      <c r="AZ730" s="275">
        <f>ROUND(C327,0)</f>
        <v>-700914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-9714411</v>
      </c>
      <c r="BF730" s="275">
        <f>ROUND(C336,0)</f>
        <v>43565732</v>
      </c>
      <c r="BG730" s="275"/>
      <c r="BH730" s="275"/>
      <c r="BI730" s="275">
        <f>ROUND(CE60,2)</f>
        <v>182.7</v>
      </c>
      <c r="BJ730" s="275">
        <f>ROUND(C359,0)</f>
        <v>82258753</v>
      </c>
      <c r="BK730" s="275">
        <f>ROUND(C360,0)</f>
        <v>1831500</v>
      </c>
      <c r="BL730" s="275">
        <f>ROUND(C364,0)</f>
        <v>56826633</v>
      </c>
      <c r="BM730" s="275">
        <f>ROUND(C365,0)</f>
        <v>42950</v>
      </c>
      <c r="BN730" s="275">
        <f>ROUND(C366,0)</f>
        <v>141666</v>
      </c>
      <c r="BO730" s="275">
        <f>ROUND(C370,0)</f>
        <v>1332498</v>
      </c>
      <c r="BP730" s="275">
        <f>ROUND(C371,0)</f>
        <v>0</v>
      </c>
      <c r="BQ730" s="275">
        <f>ROUND(C378,0)</f>
        <v>12783379</v>
      </c>
      <c r="BR730" s="275">
        <f>ROUND(C379,0)</f>
        <v>2327060</v>
      </c>
      <c r="BS730" s="275">
        <f>ROUND(C380,0)</f>
        <v>2327949</v>
      </c>
      <c r="BT730" s="275">
        <f>ROUND(C381,0)</f>
        <v>1007075</v>
      </c>
      <c r="BU730" s="275">
        <f>ROUND(C382,0)</f>
        <v>328527</v>
      </c>
      <c r="BV730" s="275">
        <f>ROUND(C383,0)</f>
        <v>2105317</v>
      </c>
      <c r="BW730" s="275">
        <f>ROUND(C384,0)</f>
        <v>995311</v>
      </c>
      <c r="BX730" s="275">
        <f>ROUND(C385,0)</f>
        <v>1429950</v>
      </c>
      <c r="BY730" s="275">
        <f>ROUND(C386,0)</f>
        <v>654263</v>
      </c>
      <c r="BZ730" s="275">
        <f>ROUND(C387,0)</f>
        <v>702484</v>
      </c>
      <c r="CA730" s="275">
        <f>ROUND(C388,0)</f>
        <v>0</v>
      </c>
      <c r="CB730" s="275">
        <f>C363</f>
        <v>124749</v>
      </c>
      <c r="CC730" s="275">
        <f>ROUND(C389,0)</f>
        <v>619473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928*2021*6010*A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928*2021*6030*A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928*2021*6070*A</v>
      </c>
      <c r="B736" s="275">
        <f>ROUND(E59,0)</f>
        <v>0</v>
      </c>
      <c r="C736" s="277">
        <f>ROUND(E60,2)</f>
        <v>0</v>
      </c>
      <c r="D736" s="275">
        <f>ROUND(E61,0)</f>
        <v>0</v>
      </c>
      <c r="E736" s="275">
        <f>ROUND(E62,0)</f>
        <v>0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0</v>
      </c>
      <c r="O736" s="275">
        <f>ROUND(E73,0)</f>
        <v>0</v>
      </c>
      <c r="P736" s="275">
        <f>IF(E76&gt;0,ROUND(E76,0),0)</f>
        <v>0</v>
      </c>
      <c r="Q736" s="275">
        <f>IF(E77&gt;0,ROUND(E77,0),0)</f>
        <v>0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0</v>
      </c>
      <c r="U736" s="275"/>
      <c r="V736" s="276"/>
      <c r="W736" s="275"/>
      <c r="X736" s="275"/>
      <c r="Y736" s="275">
        <f t="shared" si="21"/>
        <v>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928*2021*6100*A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928*2021*6120*A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928*2021*6140*A</v>
      </c>
      <c r="B739" s="275">
        <f>ROUND(H59,0)</f>
        <v>25040</v>
      </c>
      <c r="C739" s="277">
        <f>ROUND(H60,2)</f>
        <v>93.45</v>
      </c>
      <c r="D739" s="275">
        <f>ROUND(H61,0)</f>
        <v>6714410</v>
      </c>
      <c r="E739" s="275">
        <f>ROUND(H62,0)</f>
        <v>1222181</v>
      </c>
      <c r="F739" s="275">
        <f>ROUND(H63,0)</f>
        <v>0</v>
      </c>
      <c r="G739" s="275">
        <f>ROUND(H64,0)</f>
        <v>150694</v>
      </c>
      <c r="H739" s="275">
        <f>ROUND(H65,0)</f>
        <v>0</v>
      </c>
      <c r="I739" s="275">
        <f>ROUND(H66,0)</f>
        <v>634123</v>
      </c>
      <c r="J739" s="275">
        <f>ROUND(H67,0)</f>
        <v>641685</v>
      </c>
      <c r="K739" s="275">
        <f>ROUND(H68,0)</f>
        <v>0</v>
      </c>
      <c r="L739" s="275">
        <f>ROUND(H69,0)</f>
        <v>2186</v>
      </c>
      <c r="M739" s="275">
        <f>ROUND(H70,0)</f>
        <v>0</v>
      </c>
      <c r="N739" s="275">
        <f>ROUND(H75,0)</f>
        <v>82258753</v>
      </c>
      <c r="O739" s="275">
        <f>ROUND(H73,0)</f>
        <v>82258753</v>
      </c>
      <c r="P739" s="275">
        <f>IF(H76&gt;0,ROUND(H76,0),0)</f>
        <v>44053</v>
      </c>
      <c r="Q739" s="275">
        <f>IF(H77&gt;0,ROUND(H77,0),0)</f>
        <v>77769</v>
      </c>
      <c r="R739" s="275">
        <f>IF(H78&gt;0,ROUND(H78,0),0)</f>
        <v>8677</v>
      </c>
      <c r="S739" s="275">
        <f>IF(H79&gt;0,ROUND(H79,0),0)</f>
        <v>106828</v>
      </c>
      <c r="T739" s="277">
        <f>IF(H80&gt;0,ROUND(H80,2),0)</f>
        <v>93.45</v>
      </c>
      <c r="U739" s="275"/>
      <c r="V739" s="276"/>
      <c r="W739" s="275"/>
      <c r="X739" s="275"/>
      <c r="Y739" s="275">
        <f t="shared" si="21"/>
        <v>12632114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928*2021*6150*A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928*2021*6170*A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928*2021*6200*A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928*2021*6210*A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928*2021*6330*A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928*2021*6400*A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928*2021*7010*A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928*2021*7020*A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>
        <f t="shared" si="21"/>
        <v>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928*2021*7030*A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928*2021*7040*A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928*2021*7050*A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928*2021*7060*A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928*2021*7070*A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99202</v>
      </c>
      <c r="J752" s="275">
        <f>ROUND(U67,0)</f>
        <v>1267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0</v>
      </c>
      <c r="O752" s="275">
        <f>ROUND(U73,0)</f>
        <v>0</v>
      </c>
      <c r="P752" s="275">
        <f>IF(U76&gt;0,ROUND(U76,0),0)</f>
        <v>87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9705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928*2021*7110*A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928*2021*7120*A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928*2021*7130*A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928*2021*7140*A</v>
      </c>
      <c r="B756" s="275">
        <f>ROUND(Y59,0)</f>
        <v>0</v>
      </c>
      <c r="C756" s="277">
        <f>ROUND(Y60,2)</f>
        <v>0</v>
      </c>
      <c r="D756" s="275">
        <f>ROUND(Y61,0)</f>
        <v>0</v>
      </c>
      <c r="E756" s="275">
        <f>ROUND(Y62,0)</f>
        <v>0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19848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0</v>
      </c>
      <c r="O756" s="275">
        <f>ROUND(Y73,0)</f>
        <v>0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1317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928*2021*7150*A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928*2021*7160*A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928*2021*7170*A</v>
      </c>
      <c r="B759" s="275"/>
      <c r="C759" s="277">
        <f>ROUND(AB60,2)</f>
        <v>0</v>
      </c>
      <c r="D759" s="275">
        <f>ROUND(AB61,0)</f>
        <v>0</v>
      </c>
      <c r="E759" s="275">
        <f>ROUND(AB62,0)</f>
        <v>0</v>
      </c>
      <c r="F759" s="275">
        <f>ROUND(AB63,0)</f>
        <v>0</v>
      </c>
      <c r="G759" s="275">
        <f>ROUND(AB64,0)</f>
        <v>226478</v>
      </c>
      <c r="H759" s="275">
        <f>ROUND(AB65,0)</f>
        <v>0</v>
      </c>
      <c r="I759" s="275">
        <f>ROUND(AB66,0)</f>
        <v>566652</v>
      </c>
      <c r="J759" s="275">
        <f>ROUND(AB67,0)</f>
        <v>4574</v>
      </c>
      <c r="K759" s="275">
        <f>ROUND(AB68,0)</f>
        <v>0</v>
      </c>
      <c r="L759" s="275">
        <f>ROUND(AB69,0)</f>
        <v>0</v>
      </c>
      <c r="M759" s="275">
        <f>ROUND(AB70,0)</f>
        <v>0</v>
      </c>
      <c r="N759" s="275">
        <f>ROUND(AB75,0)</f>
        <v>0</v>
      </c>
      <c r="O759" s="275">
        <f>ROUND(AB73,0)</f>
        <v>0</v>
      </c>
      <c r="P759" s="275">
        <f>IF(AB76&gt;0,ROUND(AB76,0),0)</f>
        <v>314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65996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928*2021*7180*A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928*2021*7190*A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928*2021*7200*A</v>
      </c>
      <c r="B762" s="275">
        <f>ROUND(AE59,0)</f>
        <v>0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0</v>
      </c>
      <c r="O762" s="275">
        <f>ROUND(AE73,0)</f>
        <v>0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0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928*2021*7220*A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928*2021*7230*A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928*2021*7240*A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142729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9473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928*2021*7250*A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928*2021*7260*A</v>
      </c>
      <c r="B767" s="275">
        <f>ROUND(AJ59,0)</f>
        <v>0</v>
      </c>
      <c r="C767" s="277">
        <f>ROUND(AJ60,2)</f>
        <v>1.46</v>
      </c>
      <c r="D767" s="275">
        <f>ROUND(AJ61,0)</f>
        <v>152796</v>
      </c>
      <c r="E767" s="275">
        <f>ROUND(AJ62,0)</f>
        <v>26806</v>
      </c>
      <c r="F767" s="275">
        <f>ROUND(AJ63,0)</f>
        <v>0</v>
      </c>
      <c r="G767" s="275">
        <f>ROUND(AJ64,0)</f>
        <v>20</v>
      </c>
      <c r="H767" s="275">
        <f>ROUND(AJ65,0)</f>
        <v>0</v>
      </c>
      <c r="I767" s="275">
        <f>ROUND(AJ66,0)</f>
        <v>0</v>
      </c>
      <c r="J767" s="275">
        <f>ROUND(AJ67,0)</f>
        <v>19810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1831500</v>
      </c>
      <c r="O767" s="275">
        <f>ROUND(AJ73,0)</f>
        <v>0</v>
      </c>
      <c r="P767" s="275">
        <f>IF(AJ76&gt;0,ROUND(AJ76,0),0)</f>
        <v>1360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218768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928*2021*7310*A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928*2021*7320*A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928*2021*7330*A</v>
      </c>
      <c r="B770" s="275">
        <f>ROUND(AM59,0)</f>
        <v>0</v>
      </c>
      <c r="C770" s="277">
        <f>ROUND(AM60,2)</f>
        <v>3.15</v>
      </c>
      <c r="D770" s="275">
        <f>ROUND(AM61,0)</f>
        <v>217678</v>
      </c>
      <c r="E770" s="275">
        <f>ROUND(AM62,0)</f>
        <v>39818</v>
      </c>
      <c r="F770" s="275">
        <f>ROUND(AM63,0)</f>
        <v>0</v>
      </c>
      <c r="G770" s="275">
        <f>ROUND(AM64,0)</f>
        <v>701</v>
      </c>
      <c r="H770" s="275">
        <f>ROUND(AM65,0)</f>
        <v>0</v>
      </c>
      <c r="I770" s="275">
        <f>ROUND(AM66,0)</f>
        <v>0</v>
      </c>
      <c r="J770" s="275">
        <f>ROUND(AM67,0)</f>
        <v>28564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1961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98694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928*2021*7340*A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928*2021*7350*A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928*2021*7380*A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928*2021*7390*A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928*2021*7400*A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928*2021*7410*A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928*2021*7420*A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928*2021*7430*A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928*2021*7490*A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928*2021*8200*A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928*2021*8310*A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928*2021*8320*A</v>
      </c>
      <c r="B782" s="275">
        <f>ROUND(AY59,0)</f>
        <v>77769</v>
      </c>
      <c r="C782" s="277">
        <f>ROUND(AY60,2)</f>
        <v>8.19</v>
      </c>
      <c r="D782" s="275">
        <f>ROUND(AY61,0)</f>
        <v>363374</v>
      </c>
      <c r="E782" s="275">
        <f>ROUND(AY62,0)</f>
        <v>66263</v>
      </c>
      <c r="F782" s="275">
        <f>ROUND(AY63,0)</f>
        <v>0</v>
      </c>
      <c r="G782" s="275">
        <f>ROUND(AY64,0)</f>
        <v>347719</v>
      </c>
      <c r="H782" s="275">
        <f>ROUND(AY65,0)</f>
        <v>0</v>
      </c>
      <c r="I782" s="275">
        <f>ROUND(AY66,0)</f>
        <v>1724</v>
      </c>
      <c r="J782" s="275">
        <f>ROUND(AY67,0)</f>
        <v>35673</v>
      </c>
      <c r="K782" s="275">
        <f>ROUND(AY68,0)</f>
        <v>0</v>
      </c>
      <c r="L782" s="275">
        <f>ROUND(AY69,0)</f>
        <v>1447</v>
      </c>
      <c r="M782" s="275">
        <f>ROUND(AY70,0)</f>
        <v>0</v>
      </c>
      <c r="N782" s="275"/>
      <c r="O782" s="275"/>
      <c r="P782" s="275">
        <f>IF(AY76&gt;0,ROUND(AY76,0),0)</f>
        <v>2449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928*2021*8330*A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928*2021*8350*A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83106</v>
      </c>
      <c r="J784" s="275">
        <f>ROUND(BA67,0)</f>
        <v>4370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300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928*2021*8360*A</v>
      </c>
      <c r="B785" s="275"/>
      <c r="C785" s="277">
        <f>ROUND(BB60,2)</f>
        <v>15.73</v>
      </c>
      <c r="D785" s="275">
        <f>ROUND(BB61,0)</f>
        <v>1139328</v>
      </c>
      <c r="E785" s="275">
        <f>ROUND(BB62,0)</f>
        <v>208667</v>
      </c>
      <c r="F785" s="275">
        <f>ROUND(BB63,0)</f>
        <v>0</v>
      </c>
      <c r="G785" s="275">
        <f>ROUND(BB64,0)</f>
        <v>71450</v>
      </c>
      <c r="H785" s="275">
        <f>ROUND(BB65,0)</f>
        <v>0</v>
      </c>
      <c r="I785" s="275">
        <f>ROUND(BB66,0)</f>
        <v>5837</v>
      </c>
      <c r="J785" s="275">
        <f>ROUND(BB67,0)</f>
        <v>4865</v>
      </c>
      <c r="K785" s="275">
        <f>ROUND(BB68,0)</f>
        <v>0</v>
      </c>
      <c r="L785" s="275">
        <f>ROUND(BB69,0)</f>
        <v>1424</v>
      </c>
      <c r="M785" s="275">
        <f>ROUND(BB70,0)</f>
        <v>0</v>
      </c>
      <c r="N785" s="275"/>
      <c r="O785" s="275"/>
      <c r="P785" s="275">
        <f>IF(BB76&gt;0,ROUND(BB76,0),0)</f>
        <v>334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928*2021*8370*A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928*2021*8420*A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2389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164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928*2021*8430*A</v>
      </c>
      <c r="B788" s="275">
        <f>ROUND(BE59,0)</f>
        <v>68330</v>
      </c>
      <c r="C788" s="277">
        <f>ROUND(BE60,2)</f>
        <v>2.82</v>
      </c>
      <c r="D788" s="275">
        <f>ROUND(BE61,0)</f>
        <v>195129</v>
      </c>
      <c r="E788" s="275">
        <f>ROUND(BE62,0)</f>
        <v>35626</v>
      </c>
      <c r="F788" s="275">
        <f>ROUND(BE63,0)</f>
        <v>0</v>
      </c>
      <c r="G788" s="275">
        <f>ROUND(BE64,0)</f>
        <v>62409</v>
      </c>
      <c r="H788" s="275">
        <f>ROUND(BE65,0)</f>
        <v>328527</v>
      </c>
      <c r="I788" s="275">
        <f>ROUND(BE66,0)</f>
        <v>31827</v>
      </c>
      <c r="J788" s="275">
        <f>ROUND(BE67,0)</f>
        <v>21587</v>
      </c>
      <c r="K788" s="275">
        <f>ROUND(BE68,0)</f>
        <v>1389122</v>
      </c>
      <c r="L788" s="275">
        <f>ROUND(BE69,0)</f>
        <v>100104</v>
      </c>
      <c r="M788" s="275">
        <f>ROUND(BE70,0)</f>
        <v>0</v>
      </c>
      <c r="N788" s="275"/>
      <c r="O788" s="275"/>
      <c r="P788" s="275">
        <f>IF(BE76&gt;0,ROUND(BE76,0),0)</f>
        <v>1482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928*2021*8460*A</v>
      </c>
      <c r="B789" s="275"/>
      <c r="C789" s="277">
        <f>ROUND(BF60,2)</f>
        <v>4.17</v>
      </c>
      <c r="D789" s="275">
        <f>ROUND(BF61,0)</f>
        <v>160069</v>
      </c>
      <c r="E789" s="275">
        <f>ROUND(BF62,0)</f>
        <v>29945</v>
      </c>
      <c r="F789" s="275">
        <f>ROUND(BF63,0)</f>
        <v>0</v>
      </c>
      <c r="G789" s="275">
        <f>ROUND(BF64,0)</f>
        <v>52335</v>
      </c>
      <c r="H789" s="275">
        <f>ROUND(BF65,0)</f>
        <v>0</v>
      </c>
      <c r="I789" s="275">
        <f>ROUND(BF66,0)</f>
        <v>0</v>
      </c>
      <c r="J789" s="275">
        <f>ROUND(BF67,0)</f>
        <v>8099</v>
      </c>
      <c r="K789" s="275">
        <f>ROUND(BF68,0)</f>
        <v>0</v>
      </c>
      <c r="L789" s="275">
        <f>ROUND(BF69,0)</f>
        <v>77</v>
      </c>
      <c r="M789" s="275">
        <f>ROUND(BF70,0)</f>
        <v>0</v>
      </c>
      <c r="N789" s="275"/>
      <c r="O789" s="275"/>
      <c r="P789" s="275">
        <f>IF(BF76&gt;0,ROUND(BF76,0),0)</f>
        <v>556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928*2021*8470*A</v>
      </c>
      <c r="B790" s="275"/>
      <c r="C790" s="277">
        <f>ROUND(BG60,2)</f>
        <v>2.59</v>
      </c>
      <c r="D790" s="275">
        <f>ROUND(BG61,0)</f>
        <v>94728</v>
      </c>
      <c r="E790" s="275">
        <f>ROUND(BG62,0)</f>
        <v>17615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928*2021*8480*A</v>
      </c>
      <c r="B791" s="275"/>
      <c r="C791" s="277">
        <f>ROUND(BH60,2)</f>
        <v>0.84</v>
      </c>
      <c r="D791" s="275">
        <f>ROUND(BH61,0)</f>
        <v>40165</v>
      </c>
      <c r="E791" s="275">
        <f>ROUND(BH62,0)</f>
        <v>7256</v>
      </c>
      <c r="F791" s="275">
        <f>ROUND(BH63,0)</f>
        <v>0</v>
      </c>
      <c r="G791" s="275">
        <f>ROUND(BH64,0)</f>
        <v>24005</v>
      </c>
      <c r="H791" s="275">
        <f>ROUND(BH65,0)</f>
        <v>0</v>
      </c>
      <c r="I791" s="275">
        <f>ROUND(BH66,0)</f>
        <v>197067</v>
      </c>
      <c r="J791" s="275">
        <f>ROUND(BH67,0)</f>
        <v>0</v>
      </c>
      <c r="K791" s="275">
        <f>ROUND(BH68,0)</f>
        <v>0</v>
      </c>
      <c r="L791" s="275">
        <f>ROUND(BH69,0)</f>
        <v>356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928*2021*8490*A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156077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10715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928*2021*8510*A</v>
      </c>
      <c r="B793" s="275"/>
      <c r="C793" s="277">
        <f>ROUND(BJ60,2)</f>
        <v>1.83</v>
      </c>
      <c r="D793" s="275">
        <f>ROUND(BJ61,0)</f>
        <v>217192</v>
      </c>
      <c r="E793" s="275">
        <f>ROUND(BJ62,0)</f>
        <v>40945</v>
      </c>
      <c r="F793" s="275">
        <f>ROUND(BJ63,0)</f>
        <v>5559</v>
      </c>
      <c r="G793" s="275">
        <f>ROUND(BJ64,0)</f>
        <v>5401</v>
      </c>
      <c r="H793" s="275">
        <f>ROUND(BJ65,0)</f>
        <v>0</v>
      </c>
      <c r="I793" s="275">
        <f>ROUND(BJ66,0)</f>
        <v>155137</v>
      </c>
      <c r="J793" s="275">
        <f>ROUND(BJ67,0)</f>
        <v>0</v>
      </c>
      <c r="K793" s="275">
        <f>ROUND(BJ68,0)</f>
        <v>0</v>
      </c>
      <c r="L793" s="275">
        <f>ROUND(BJ69,0)</f>
        <v>2090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928*2021*8530*A</v>
      </c>
      <c r="B794" s="275"/>
      <c r="C794" s="277">
        <f>ROUND(BK60,2)</f>
        <v>4.92</v>
      </c>
      <c r="D794" s="275">
        <f>ROUND(BK61,0)</f>
        <v>264756</v>
      </c>
      <c r="E794" s="275">
        <f>ROUND(BK62,0)</f>
        <v>48903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96187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928*2021*8560*A</v>
      </c>
      <c r="B795" s="275"/>
      <c r="C795" s="277">
        <f>ROUND(BL60,2)</f>
        <v>11.18</v>
      </c>
      <c r="D795" s="275">
        <f>ROUND(BL61,0)</f>
        <v>724819</v>
      </c>
      <c r="E795" s="275">
        <f>ROUND(BL62,0)</f>
        <v>133269</v>
      </c>
      <c r="F795" s="275">
        <f>ROUND(BL63,0)</f>
        <v>0</v>
      </c>
      <c r="G795" s="275">
        <f>ROUND(BL64,0)</f>
        <v>8174</v>
      </c>
      <c r="H795" s="275">
        <f>ROUND(BL65,0)</f>
        <v>0</v>
      </c>
      <c r="I795" s="275">
        <f>ROUND(BL66,0)</f>
        <v>2189</v>
      </c>
      <c r="J795" s="275">
        <f>ROUND(BL67,0)</f>
        <v>17596</v>
      </c>
      <c r="K795" s="275">
        <f>ROUND(BL68,0)</f>
        <v>0</v>
      </c>
      <c r="L795" s="275">
        <f>ROUND(BL69,0)</f>
        <v>2705</v>
      </c>
      <c r="M795" s="275">
        <f>ROUND(BL70,0)</f>
        <v>0</v>
      </c>
      <c r="N795" s="275"/>
      <c r="O795" s="275"/>
      <c r="P795" s="275">
        <f>IF(BL76&gt;0,ROUND(BL76,0),0)</f>
        <v>1208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928*2021*8590*A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928*2021*8610*A</v>
      </c>
      <c r="B797" s="275"/>
      <c r="C797" s="277">
        <f>ROUND(BN60,2)</f>
        <v>2.42</v>
      </c>
      <c r="D797" s="275">
        <f>ROUND(BN61,0)</f>
        <v>420826</v>
      </c>
      <c r="E797" s="275">
        <f>ROUND(BN62,0)</f>
        <v>69358</v>
      </c>
      <c r="F797" s="275">
        <f>ROUND(BN63,0)</f>
        <v>0</v>
      </c>
      <c r="G797" s="275">
        <f>ROUND(BN64,0)</f>
        <v>38340</v>
      </c>
      <c r="H797" s="275">
        <f>ROUND(BN65,0)</f>
        <v>0</v>
      </c>
      <c r="I797" s="275">
        <f>ROUND(BN66,0)</f>
        <v>48704</v>
      </c>
      <c r="J797" s="275">
        <f>ROUND(BN67,0)</f>
        <v>29934</v>
      </c>
      <c r="K797" s="275">
        <f>ROUND(BN68,0)</f>
        <v>40828</v>
      </c>
      <c r="L797" s="275">
        <f>ROUND(BN69,0)</f>
        <v>29818</v>
      </c>
      <c r="M797" s="275">
        <f>ROUND(BN70,0)</f>
        <v>0</v>
      </c>
      <c r="N797" s="275"/>
      <c r="O797" s="275"/>
      <c r="P797" s="275">
        <f>IF(BN76&gt;0,ROUND(BN76,0),0)</f>
        <v>2055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928*2021*8620*A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928*2021*8630*A</v>
      </c>
      <c r="B799" s="275"/>
      <c r="C799" s="277">
        <f>ROUND(BP60,2)</f>
        <v>2.0099999999999998</v>
      </c>
      <c r="D799" s="275">
        <f>ROUND(BP61,0)</f>
        <v>147435</v>
      </c>
      <c r="E799" s="275">
        <f>ROUND(BP62,0)</f>
        <v>26120</v>
      </c>
      <c r="F799" s="275">
        <f>ROUND(BP63,0)</f>
        <v>0</v>
      </c>
      <c r="G799" s="275">
        <f>ROUND(BP64,0)</f>
        <v>4390</v>
      </c>
      <c r="H799" s="275">
        <f>ROUND(BP65,0)</f>
        <v>0</v>
      </c>
      <c r="I799" s="275">
        <f>ROUND(BP66,0)</f>
        <v>5082</v>
      </c>
      <c r="J799" s="275">
        <f>ROUND(BP67,0)</f>
        <v>2433</v>
      </c>
      <c r="K799" s="275">
        <f>ROUND(BP68,0)</f>
        <v>0</v>
      </c>
      <c r="L799" s="275">
        <f>ROUND(BP69,0)</f>
        <v>15904</v>
      </c>
      <c r="M799" s="275">
        <f>ROUND(BP70,0)</f>
        <v>0</v>
      </c>
      <c r="N799" s="275"/>
      <c r="O799" s="275"/>
      <c r="P799" s="275">
        <f>IF(BP76&gt;0,ROUND(BP76,0),0)</f>
        <v>167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928*2021*8640*A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928*2021*8650*A</v>
      </c>
      <c r="B801" s="275"/>
      <c r="C801" s="277">
        <f>ROUND(BR60,2)</f>
        <v>1.02</v>
      </c>
      <c r="D801" s="275">
        <f>ROUND(BR61,0)</f>
        <v>77820</v>
      </c>
      <c r="E801" s="275">
        <f>ROUND(BR62,0)</f>
        <v>15541</v>
      </c>
      <c r="F801" s="275">
        <f>ROUND(BR63,0)</f>
        <v>0</v>
      </c>
      <c r="G801" s="275">
        <f>ROUND(BR64,0)</f>
        <v>2986</v>
      </c>
      <c r="H801" s="275">
        <f>ROUND(BR65,0)</f>
        <v>0</v>
      </c>
      <c r="I801" s="275">
        <f>ROUND(BR66,0)</f>
        <v>0</v>
      </c>
      <c r="J801" s="275">
        <f>ROUND(BR67,0)</f>
        <v>1923</v>
      </c>
      <c r="K801" s="275">
        <f>ROUND(BR68,0)</f>
        <v>0</v>
      </c>
      <c r="L801" s="275">
        <f>ROUND(BR69,0)</f>
        <v>436935</v>
      </c>
      <c r="M801" s="275">
        <f>ROUND(BR70,0)</f>
        <v>0</v>
      </c>
      <c r="N801" s="275"/>
      <c r="O801" s="275"/>
      <c r="P801" s="275">
        <f>IF(BR76&gt;0,ROUND(BR76,0),0)</f>
        <v>132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928*2021*8660*A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928*2021*8670*A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928*2021*8680*A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928*2021*8690*A</v>
      </c>
      <c r="B805" s="275"/>
      <c r="C805" s="277">
        <f>ROUND(BV60,2)</f>
        <v>4.0199999999999996</v>
      </c>
      <c r="D805" s="275">
        <f>ROUND(BV61,0)</f>
        <v>223562</v>
      </c>
      <c r="E805" s="275">
        <f>ROUND(BV62,0)</f>
        <v>40918</v>
      </c>
      <c r="F805" s="275">
        <f>ROUND(BV63,0)</f>
        <v>0</v>
      </c>
      <c r="G805" s="275">
        <f>ROUND(BV64,0)</f>
        <v>11157</v>
      </c>
      <c r="H805" s="275">
        <f>ROUND(BV65,0)</f>
        <v>0</v>
      </c>
      <c r="I805" s="275">
        <f>ROUND(BV66,0)</f>
        <v>5361</v>
      </c>
      <c r="J805" s="275">
        <f>ROUND(BV67,0)</f>
        <v>7502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515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928*2021*8700*A</v>
      </c>
      <c r="B806" s="275"/>
      <c r="C806" s="277">
        <f>ROUND(BW60,2)</f>
        <v>5.46</v>
      </c>
      <c r="D806" s="275">
        <f>ROUND(BW61,0)</f>
        <v>0</v>
      </c>
      <c r="E806" s="275">
        <f>ROUND(BW62,0)</f>
        <v>0</v>
      </c>
      <c r="F806" s="275">
        <f>ROUND(BW63,0)</f>
        <v>2322390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928*2021*8710*A</v>
      </c>
      <c r="B807" s="275"/>
      <c r="C807" s="277">
        <f>ROUND(BX60,2)</f>
        <v>2.82</v>
      </c>
      <c r="D807" s="275">
        <f>ROUND(BX61,0)</f>
        <v>198493</v>
      </c>
      <c r="E807" s="275">
        <f>ROUND(BX62,0)</f>
        <v>36080</v>
      </c>
      <c r="F807" s="275">
        <f>ROUND(BX63,0)</f>
        <v>0</v>
      </c>
      <c r="G807" s="275">
        <f>ROUND(BX64,0)</f>
        <v>711</v>
      </c>
      <c r="H807" s="275">
        <f>ROUND(BX65,0)</f>
        <v>0</v>
      </c>
      <c r="I807" s="275">
        <f>ROUND(BX66,0)</f>
        <v>0</v>
      </c>
      <c r="J807" s="275">
        <f>ROUND(BX67,0)</f>
        <v>2185</v>
      </c>
      <c r="K807" s="275">
        <f>ROUND(BX68,0)</f>
        <v>0</v>
      </c>
      <c r="L807" s="275">
        <f>ROUND(BX69,0)</f>
        <v>4287</v>
      </c>
      <c r="M807" s="275">
        <f>ROUND(BX70,0)</f>
        <v>0</v>
      </c>
      <c r="N807" s="275"/>
      <c r="O807" s="275"/>
      <c r="P807" s="275">
        <f>IF(BX76&gt;0,ROUND(BX76,0),0)</f>
        <v>150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928*2021*8720*A</v>
      </c>
      <c r="B808" s="275"/>
      <c r="C808" s="277">
        <f>ROUND(BY60,2)</f>
        <v>7.38</v>
      </c>
      <c r="D808" s="275">
        <f>ROUND(BY61,0)</f>
        <v>885795</v>
      </c>
      <c r="E808" s="275">
        <f>ROUND(BY62,0)</f>
        <v>157963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10542</v>
      </c>
      <c r="J808" s="275">
        <f>ROUND(BY67,0)</f>
        <v>4778</v>
      </c>
      <c r="K808" s="275">
        <f>ROUND(BY68,0)</f>
        <v>0</v>
      </c>
      <c r="L808" s="275">
        <f>ROUND(BY69,0)</f>
        <v>714</v>
      </c>
      <c r="M808" s="275">
        <f>ROUND(BY70,0)</f>
        <v>0</v>
      </c>
      <c r="N808" s="275"/>
      <c r="O808" s="275"/>
      <c r="P808" s="275">
        <f>IF(BY76&gt;0,ROUND(BY76,0),0)</f>
        <v>328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928*2021*8730*A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928*2021*8740*A</v>
      </c>
      <c r="B810" s="275"/>
      <c r="C810" s="277">
        <f>ROUND(CA60,2)</f>
        <v>7.24</v>
      </c>
      <c r="D810" s="275">
        <f>ROUND(CA61,0)</f>
        <v>545004</v>
      </c>
      <c r="E810" s="275">
        <f>ROUND(CA62,0)</f>
        <v>103786</v>
      </c>
      <c r="F810" s="275">
        <f>ROUND(CA63,0)</f>
        <v>0</v>
      </c>
      <c r="G810" s="275">
        <f>ROUND(CA64,0)</f>
        <v>105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21726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928*2021*8770*A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928*2021*8790*A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928*2021*9000*A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1356447</v>
      </c>
      <c r="V813" s="276">
        <f>ROUND(CD70,0)</f>
        <v>1332498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182.70000000000002</v>
      </c>
      <c r="D815" s="276">
        <f t="shared" si="22"/>
        <v>12783379</v>
      </c>
      <c r="E815" s="276">
        <f t="shared" si="22"/>
        <v>2327060</v>
      </c>
      <c r="F815" s="276">
        <f t="shared" si="22"/>
        <v>2327949</v>
      </c>
      <c r="G815" s="276">
        <f t="shared" si="22"/>
        <v>1007075</v>
      </c>
      <c r="H815" s="276">
        <f t="shared" si="22"/>
        <v>328527</v>
      </c>
      <c r="I815" s="276">
        <f t="shared" si="22"/>
        <v>2105317</v>
      </c>
      <c r="J815" s="276">
        <f t="shared" si="22"/>
        <v>995311</v>
      </c>
      <c r="K815" s="276">
        <f t="shared" si="22"/>
        <v>1429950</v>
      </c>
      <c r="L815" s="276">
        <f>SUM(L734:L813)+SUM(U734:U813)</f>
        <v>1976220</v>
      </c>
      <c r="M815" s="276">
        <f>SUM(M734:M813)+SUM(V734:V813)</f>
        <v>1332498</v>
      </c>
      <c r="N815" s="276">
        <f t="shared" ref="N815:Y815" si="23">SUM(N734:N813)</f>
        <v>84090253</v>
      </c>
      <c r="O815" s="276">
        <f t="shared" si="23"/>
        <v>82258753</v>
      </c>
      <c r="P815" s="276">
        <f t="shared" si="23"/>
        <v>68330</v>
      </c>
      <c r="Q815" s="276">
        <f t="shared" si="23"/>
        <v>77769</v>
      </c>
      <c r="R815" s="276">
        <f t="shared" si="23"/>
        <v>8677</v>
      </c>
      <c r="S815" s="276">
        <f t="shared" si="23"/>
        <v>106828</v>
      </c>
      <c r="T815" s="280">
        <f t="shared" si="23"/>
        <v>93.45</v>
      </c>
      <c r="U815" s="276">
        <f t="shared" si="23"/>
        <v>1356447</v>
      </c>
      <c r="V815" s="276">
        <f t="shared" si="23"/>
        <v>1332498</v>
      </c>
      <c r="W815" s="276">
        <f t="shared" si="23"/>
        <v>0</v>
      </c>
      <c r="X815" s="276">
        <f t="shared" si="23"/>
        <v>0</v>
      </c>
      <c r="Y815" s="276">
        <f t="shared" si="23"/>
        <v>13036067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182.70000000000002</v>
      </c>
      <c r="D816" s="276">
        <f>CE61</f>
        <v>12783379</v>
      </c>
      <c r="E816" s="276">
        <f>CE62</f>
        <v>2327060</v>
      </c>
      <c r="F816" s="276">
        <f>CE63</f>
        <v>2327949</v>
      </c>
      <c r="G816" s="276">
        <f>CE64</f>
        <v>1007075</v>
      </c>
      <c r="H816" s="279">
        <f>CE65</f>
        <v>328527</v>
      </c>
      <c r="I816" s="279">
        <f>CE66</f>
        <v>2105317</v>
      </c>
      <c r="J816" s="279">
        <f>CE67</f>
        <v>995311</v>
      </c>
      <c r="K816" s="279">
        <f>CE68</f>
        <v>1429950</v>
      </c>
      <c r="L816" s="279">
        <f>CE69</f>
        <v>1976220</v>
      </c>
      <c r="M816" s="279">
        <f>CE70</f>
        <v>1332498</v>
      </c>
      <c r="N816" s="276">
        <f>CE75</f>
        <v>84090253</v>
      </c>
      <c r="O816" s="276">
        <f>CE73</f>
        <v>82258753</v>
      </c>
      <c r="P816" s="276">
        <f>CE76</f>
        <v>68330</v>
      </c>
      <c r="Q816" s="276">
        <f>CE77</f>
        <v>77769</v>
      </c>
      <c r="R816" s="276">
        <f>CE78</f>
        <v>8677</v>
      </c>
      <c r="S816" s="276">
        <f>CE79</f>
        <v>106828</v>
      </c>
      <c r="T816" s="280">
        <f>CE80</f>
        <v>93.45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13036068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12783379</v>
      </c>
      <c r="E817" s="180">
        <f>C379</f>
        <v>2327060</v>
      </c>
      <c r="F817" s="180">
        <f>C380</f>
        <v>2327949</v>
      </c>
      <c r="G817" s="240">
        <f>C381</f>
        <v>1007075</v>
      </c>
      <c r="H817" s="240">
        <f>C382</f>
        <v>328527</v>
      </c>
      <c r="I817" s="240">
        <f>C383</f>
        <v>2105317</v>
      </c>
      <c r="J817" s="240">
        <f>C384</f>
        <v>995311</v>
      </c>
      <c r="K817" s="240">
        <f>C385</f>
        <v>1429950</v>
      </c>
      <c r="L817" s="240">
        <f>C386+C387+C388+C389</f>
        <v>1976220</v>
      </c>
      <c r="M817" s="240">
        <f>C370</f>
        <v>1332498</v>
      </c>
      <c r="N817" s="180">
        <f>D361</f>
        <v>84090253</v>
      </c>
      <c r="O817" s="180">
        <f>C359</f>
        <v>82258753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02" transitionEvaluation="1" transitionEntry="1" codeName="Sheet10">
    <pageSetUpPr autoPageBreaks="0" fitToPage="1"/>
  </sheetPr>
  <dimension ref="A1:CF816"/>
  <sheetViews>
    <sheetView showGridLines="0" topLeftCell="A202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1" t="s">
        <v>1265</v>
      </c>
      <c r="C16" s="235"/>
    </row>
    <row r="17" spans="1:7" ht="12.75" customHeight="1" x14ac:dyDescent="0.35">
      <c r="A17" s="291" t="s">
        <v>1264</v>
      </c>
      <c r="C17" s="286"/>
      <c r="F17" s="236"/>
    </row>
    <row r="18" spans="1:7" ht="12.75" customHeight="1" x14ac:dyDescent="0.35">
      <c r="A18" s="289"/>
      <c r="C18" s="235"/>
    </row>
    <row r="19" spans="1:7" ht="12.75" customHeight="1" x14ac:dyDescent="0.35">
      <c r="C19" s="235"/>
    </row>
    <row r="20" spans="1:7" ht="12.75" customHeight="1" x14ac:dyDescent="0.35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5">
      <c r="A21" s="199"/>
      <c r="C21" s="235"/>
    </row>
    <row r="22" spans="1:7" ht="12.65" customHeight="1" x14ac:dyDescent="0.35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5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5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5">
      <c r="A47" s="294" t="s">
        <v>204</v>
      </c>
      <c r="B47" s="298">
        <f>CE47</f>
        <v>774101</v>
      </c>
      <c r="C47" s="299"/>
      <c r="D47" s="299"/>
      <c r="E47" s="299"/>
      <c r="F47" s="299"/>
      <c r="G47" s="299"/>
      <c r="H47" s="299">
        <f>310011+13708+17248+5597</f>
        <v>346564</v>
      </c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>
        <v>6901</v>
      </c>
      <c r="AK47" s="299"/>
      <c r="AL47" s="299"/>
      <c r="AM47" s="299">
        <v>14507</v>
      </c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>
        <v>27393</v>
      </c>
      <c r="AZ47" s="299"/>
      <c r="BA47" s="299"/>
      <c r="BB47" s="299">
        <v>75022</v>
      </c>
      <c r="BC47" s="299"/>
      <c r="BD47" s="299"/>
      <c r="BE47" s="299">
        <v>11960</v>
      </c>
      <c r="BF47" s="299">
        <v>12000</v>
      </c>
      <c r="BG47" s="299">
        <v>8671</v>
      </c>
      <c r="BH47" s="299">
        <v>4250</v>
      </c>
      <c r="BI47" s="299"/>
      <c r="BJ47" s="299">
        <v>16333</v>
      </c>
      <c r="BK47" s="299">
        <f>9027+10675</f>
        <v>19702</v>
      </c>
      <c r="BL47" s="299">
        <v>55997</v>
      </c>
      <c r="BM47" s="299"/>
      <c r="BN47" s="299">
        <f>22414+7994</f>
        <v>30408</v>
      </c>
      <c r="BO47" s="299"/>
      <c r="BP47" s="299">
        <v>10853</v>
      </c>
      <c r="BQ47" s="299"/>
      <c r="BR47" s="299">
        <v>6485</v>
      </c>
      <c r="BS47" s="299"/>
      <c r="BT47" s="299"/>
      <c r="BU47" s="299"/>
      <c r="BV47" s="299">
        <v>11298</v>
      </c>
      <c r="BW47" s="299"/>
      <c r="BX47" s="299">
        <v>16891</v>
      </c>
      <c r="BY47" s="299">
        <v>53228</v>
      </c>
      <c r="BZ47" s="299"/>
      <c r="CA47" s="299">
        <v>45638</v>
      </c>
      <c r="CB47" s="299"/>
      <c r="CC47" s="299"/>
      <c r="CD47" s="294"/>
      <c r="CE47" s="294">
        <f>SUM(C47:CC47)</f>
        <v>774101</v>
      </c>
      <c r="CF47" s="2"/>
    </row>
    <row r="48" spans="1:84" ht="12.65" customHeight="1" x14ac:dyDescent="0.35">
      <c r="A48" s="294" t="s">
        <v>205</v>
      </c>
      <c r="B48" s="298">
        <v>885234</v>
      </c>
      <c r="C48" s="300">
        <f>ROUND(((B48/CE61)*C61),0)</f>
        <v>0</v>
      </c>
      <c r="D48" s="300">
        <f>ROUND(((B48/CE61)*D61),0)</f>
        <v>0</v>
      </c>
      <c r="E48" s="294">
        <f>ROUND(((B48/CE61)*E61),0)</f>
        <v>0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391524</v>
      </c>
      <c r="I48" s="294">
        <f>ROUND(((B48/CE61)*I61),0)</f>
        <v>0</v>
      </c>
      <c r="J48" s="294">
        <f>ROUND(((B48/CE61)*J61),0)</f>
        <v>0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0</v>
      </c>
      <c r="Q48" s="294">
        <f>ROUND(((B48/CE61)*Q61),0)</f>
        <v>0</v>
      </c>
      <c r="R48" s="294">
        <f>ROUND(((B48/CE61)*R61),0)</f>
        <v>0</v>
      </c>
      <c r="S48" s="294">
        <f>ROUND(((B48/CE61)*S61),0)</f>
        <v>0</v>
      </c>
      <c r="T48" s="294">
        <f>ROUND(((B48/CE61)*T61),0)</f>
        <v>0</v>
      </c>
      <c r="U48" s="294">
        <f>ROUND(((B48/CE61)*U61),0)</f>
        <v>0</v>
      </c>
      <c r="V48" s="294">
        <f>ROUND(((B48/CE61)*V61),0)</f>
        <v>0</v>
      </c>
      <c r="W48" s="294">
        <f>ROUND(((B48/CE61)*W61),0)</f>
        <v>0</v>
      </c>
      <c r="X48" s="294">
        <f>ROUND(((B48/CE61)*X61),0)</f>
        <v>0</v>
      </c>
      <c r="Y48" s="294">
        <f>ROUND(((B48/CE61)*Y61),0)</f>
        <v>0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0</v>
      </c>
      <c r="AC48" s="294">
        <f>ROUND(((B48/CE61)*AC61),0)</f>
        <v>0</v>
      </c>
      <c r="AD48" s="294">
        <f>ROUND(((B48/CE61)*AD61),0)</f>
        <v>0</v>
      </c>
      <c r="AE48" s="294">
        <f>ROUND(((B48/CE61)*AE61),0)</f>
        <v>0</v>
      </c>
      <c r="AF48" s="294">
        <f>ROUND(((B48/CE61)*AF61),0)</f>
        <v>0</v>
      </c>
      <c r="AG48" s="294">
        <f>ROUND(((B48/CE61)*AG61),0)</f>
        <v>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7662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16127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30941</v>
      </c>
      <c r="AZ48" s="294">
        <f>ROUND(((B48/CE61)*AZ61),0)</f>
        <v>0</v>
      </c>
      <c r="BA48" s="294">
        <f>ROUND(((B48/CE61)*BA61),0)</f>
        <v>0</v>
      </c>
      <c r="BB48" s="294">
        <f>ROUND(((B48/CE61)*BB61),0)</f>
        <v>83733</v>
      </c>
      <c r="BC48" s="294">
        <f>ROUND(((B48/CE61)*BC61),0)</f>
        <v>0</v>
      </c>
      <c r="BD48" s="294">
        <f>ROUND(((B48/CE61)*BD61),0)</f>
        <v>0</v>
      </c>
      <c r="BE48" s="294">
        <f>ROUND(((B48/CE61)*BE61),0)</f>
        <v>14212</v>
      </c>
      <c r="BF48" s="294">
        <f>ROUND(((B48/CE61)*BF61),0)</f>
        <v>12927</v>
      </c>
      <c r="BG48" s="294">
        <f>ROUND(((B48/CE61)*BG61),0)</f>
        <v>9066</v>
      </c>
      <c r="BH48" s="294">
        <f>ROUND(((B48/CE61)*BH61),0)</f>
        <v>4968</v>
      </c>
      <c r="BI48" s="294">
        <f>ROUND(((B48/CE61)*BI61),0)</f>
        <v>0</v>
      </c>
      <c r="BJ48" s="294">
        <f>ROUND(((B48/CE61)*BJ61),0)</f>
        <v>25217</v>
      </c>
      <c r="BK48" s="294">
        <f>ROUND(((B48/CE61)*BK61),0)</f>
        <v>21090</v>
      </c>
      <c r="BL48" s="294">
        <f>ROUND(((B48/CE61)*BL61),0)</f>
        <v>61562</v>
      </c>
      <c r="BM48" s="294">
        <f>ROUND(((B48/CE61)*BM61),0)</f>
        <v>0</v>
      </c>
      <c r="BN48" s="294">
        <f>ROUND(((B48/CE61)*BN61),0)</f>
        <v>36118</v>
      </c>
      <c r="BO48" s="294">
        <f>ROUND(((B48/CE61)*BO61),0)</f>
        <v>0</v>
      </c>
      <c r="BP48" s="294">
        <f>ROUND(((B48/CE61)*BP61),0)</f>
        <v>13577</v>
      </c>
      <c r="BQ48" s="294">
        <f>ROUND(((B48/CE61)*BQ61),0)</f>
        <v>0</v>
      </c>
      <c r="BR48" s="294">
        <f>ROUND(((B48/CE61)*BR61),0)</f>
        <v>11768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13344</v>
      </c>
      <c r="BW48" s="294">
        <f>ROUND(((B48/CE61)*BW61),0)</f>
        <v>0</v>
      </c>
      <c r="BX48" s="294">
        <f>ROUND(((B48/CE61)*BX61),0)</f>
        <v>20970</v>
      </c>
      <c r="BY48" s="294">
        <f>ROUND(((B48/CE61)*BY61),0)</f>
        <v>63839</v>
      </c>
      <c r="BZ48" s="294">
        <f>ROUND(((B48/CE61)*BZ61),0)</f>
        <v>0</v>
      </c>
      <c r="CA48" s="294">
        <f>ROUND(((B48/CE61)*CA61),0)</f>
        <v>46591</v>
      </c>
      <c r="CB48" s="294">
        <f>ROUND(((B48/CE61)*CB61),0)</f>
        <v>0</v>
      </c>
      <c r="CC48" s="294">
        <f>ROUND(((B48/CE61)*CC61),0)</f>
        <v>0</v>
      </c>
      <c r="CD48" s="294"/>
      <c r="CE48" s="294">
        <f>SUM(C48:CD48)</f>
        <v>885236</v>
      </c>
      <c r="CF48" s="2"/>
    </row>
    <row r="49" spans="1:84" ht="12.65" customHeight="1" x14ac:dyDescent="0.35">
      <c r="A49" s="294" t="s">
        <v>206</v>
      </c>
      <c r="B49" s="294">
        <f>B47+B48</f>
        <v>1659335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5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5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4"/>
      <c r="CE51" s="294">
        <f>SUM(C51:CD51)</f>
        <v>0</v>
      </c>
      <c r="CF51" s="2"/>
    </row>
    <row r="52" spans="1:84" ht="12.65" customHeight="1" x14ac:dyDescent="0.35">
      <c r="A52" s="301" t="s">
        <v>208</v>
      </c>
      <c r="B52" s="299">
        <v>941095</v>
      </c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0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606733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0</v>
      </c>
      <c r="Q52" s="294">
        <f>ROUND((B52/(CE76+CF76)*Q76),0)</f>
        <v>0</v>
      </c>
      <c r="R52" s="294">
        <f>ROUND((B52/(CE76+CF76)*R76),0)</f>
        <v>0</v>
      </c>
      <c r="S52" s="294">
        <f>ROUND((B52/(CE76+CF76)*S76),0)</f>
        <v>0</v>
      </c>
      <c r="T52" s="294">
        <f>ROUND((B52/(CE76+CF76)*T76),0)</f>
        <v>0</v>
      </c>
      <c r="U52" s="294">
        <f>ROUND((B52/(CE76+CF76)*U76),0)</f>
        <v>1198</v>
      </c>
      <c r="V52" s="294">
        <f>ROUND((B52/(CE76+CF76)*V76),0)</f>
        <v>0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0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4325</v>
      </c>
      <c r="AC52" s="294">
        <f>ROUND((B52/(CE76+CF76)*AC76),0)</f>
        <v>0</v>
      </c>
      <c r="AD52" s="294">
        <f>ROUND((B52/(CE76+CF76)*AD76),0)</f>
        <v>0</v>
      </c>
      <c r="AE52" s="294">
        <f>ROUND((B52/(CE76+CF76)*AE76),0)</f>
        <v>0</v>
      </c>
      <c r="AF52" s="294">
        <f>ROUND((B52/(CE76+CF76)*AF76),0)</f>
        <v>0</v>
      </c>
      <c r="AG52" s="294">
        <f>ROUND((B52/(CE76+CF76)*AG76),0)</f>
        <v>0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21031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27008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33730</v>
      </c>
      <c r="AZ52" s="294">
        <f>ROUND((B52/(CE76+CF76)*AZ76),0)</f>
        <v>0</v>
      </c>
      <c r="BA52" s="294">
        <f>ROUND((B52/(CE76+CF76)*BA76),0)</f>
        <v>4132</v>
      </c>
      <c r="BB52" s="294">
        <f>ROUND((B52/(CE76+CF76)*BB76),0)</f>
        <v>4600</v>
      </c>
      <c r="BC52" s="294">
        <f>ROUND((B52/(CE76+CF76)*BC76),0)</f>
        <v>0</v>
      </c>
      <c r="BD52" s="294">
        <f>ROUND((B52/(CE76+CF76)*BD76),0)</f>
        <v>2259</v>
      </c>
      <c r="BE52" s="294">
        <f>ROUND((B52/(CE76+CF76)*BE76),0)</f>
        <v>20411</v>
      </c>
      <c r="BF52" s="294">
        <f>ROUND((B52/(CE76+CF76)*BF76),0)</f>
        <v>7658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147575</v>
      </c>
      <c r="BJ52" s="294">
        <f>ROUND((B52/(CE76+CF76)*BJ76),0)</f>
        <v>0</v>
      </c>
      <c r="BK52" s="294">
        <f>ROUND((B52/(CE76+CF76)*BK76),0)</f>
        <v>0</v>
      </c>
      <c r="BL52" s="294">
        <f>ROUND((B52/(CE76+CF76)*BL76),0)</f>
        <v>16638</v>
      </c>
      <c r="BM52" s="294">
        <f>ROUND((B52/(CE76+CF76)*BM76),0)</f>
        <v>0</v>
      </c>
      <c r="BN52" s="294">
        <f>ROUND((B52/(CE76+CF76)*BN76),0)</f>
        <v>25700</v>
      </c>
      <c r="BO52" s="294">
        <f>ROUND((B52/(CE76+CF76)*BO76),0)</f>
        <v>0</v>
      </c>
      <c r="BP52" s="294">
        <f>ROUND((B52/(CE76+CF76)*BP76),0)</f>
        <v>1377</v>
      </c>
      <c r="BQ52" s="294">
        <f>ROUND((B52/(CE76+CF76)*BQ76),0)</f>
        <v>0</v>
      </c>
      <c r="BR52" s="294">
        <f>ROUND((B52/(CE76+CF76)*BR76),0)</f>
        <v>1818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7093</v>
      </c>
      <c r="BW52" s="294">
        <f>ROUND((B52/(CE76+CF76)*BW76),0)</f>
        <v>0</v>
      </c>
      <c r="BX52" s="294">
        <f>ROUND((B52/(CE76+CF76)*BX76),0)</f>
        <v>2066</v>
      </c>
      <c r="BY52" s="294">
        <f>ROUND((B52/(CE76+CF76)*BY76),0)</f>
        <v>4517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1226</v>
      </c>
      <c r="CD52" s="294"/>
      <c r="CE52" s="294">
        <f>SUM(C52:CD52)</f>
        <v>941095</v>
      </c>
      <c r="CF52" s="2"/>
    </row>
    <row r="53" spans="1:84" ht="12.65" customHeight="1" x14ac:dyDescent="0.35">
      <c r="A53" s="294" t="s">
        <v>206</v>
      </c>
      <c r="B53" s="294">
        <f>B51+B52</f>
        <v>941095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5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5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5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5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5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5">
      <c r="A59" s="301" t="s">
        <v>233</v>
      </c>
      <c r="B59" s="294"/>
      <c r="C59" s="299"/>
      <c r="D59" s="299"/>
      <c r="E59" s="299"/>
      <c r="F59" s="299"/>
      <c r="G59" s="299"/>
      <c r="H59" s="299">
        <v>16586</v>
      </c>
      <c r="I59" s="299"/>
      <c r="J59" s="299"/>
      <c r="K59" s="299"/>
      <c r="L59" s="299"/>
      <c r="M59" s="299"/>
      <c r="N59" s="299"/>
      <c r="O59" s="299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50769</v>
      </c>
      <c r="AZ59" s="185"/>
      <c r="BA59" s="248"/>
      <c r="BB59" s="248"/>
      <c r="BC59" s="248"/>
      <c r="BD59" s="248"/>
      <c r="BE59" s="185">
        <v>68330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4"/>
      <c r="CE59" s="294"/>
      <c r="CF59" s="2"/>
    </row>
    <row r="60" spans="1:84" ht="12.65" customHeight="1" x14ac:dyDescent="0.35">
      <c r="A60" s="305" t="s">
        <v>234</v>
      </c>
      <c r="B60" s="294"/>
      <c r="C60" s="186"/>
      <c r="D60" s="187"/>
      <c r="E60" s="187"/>
      <c r="F60" s="223"/>
      <c r="G60" s="187"/>
      <c r="H60" s="187">
        <f>65-3.1+3.1</f>
        <v>65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</v>
      </c>
      <c r="AK60" s="221"/>
      <c r="AL60" s="221"/>
      <c r="AM60" s="221">
        <v>2.4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7.6</v>
      </c>
      <c r="AZ60" s="221"/>
      <c r="BA60" s="221"/>
      <c r="BB60" s="221">
        <v>12.2</v>
      </c>
      <c r="BC60" s="221"/>
      <c r="BD60" s="221"/>
      <c r="BE60" s="221">
        <v>2.1</v>
      </c>
      <c r="BF60" s="221">
        <v>3.9</v>
      </c>
      <c r="BG60" s="221">
        <v>2.6</v>
      </c>
      <c r="BH60" s="221">
        <v>0</v>
      </c>
      <c r="BI60" s="221"/>
      <c r="BJ60" s="221">
        <v>2</v>
      </c>
      <c r="BK60" s="221">
        <v>4.9000000000000004</v>
      </c>
      <c r="BL60" s="221">
        <v>10.3</v>
      </c>
      <c r="BM60" s="221"/>
      <c r="BN60" s="221">
        <f>2.1+0.9</f>
        <v>3</v>
      </c>
      <c r="BO60" s="221"/>
      <c r="BP60" s="221">
        <v>2</v>
      </c>
      <c r="BQ60" s="221"/>
      <c r="BR60" s="221">
        <v>1</v>
      </c>
      <c r="BS60" s="221"/>
      <c r="BT60" s="221"/>
      <c r="BU60" s="221"/>
      <c r="BV60" s="221">
        <v>2.4</v>
      </c>
      <c r="BW60" s="221">
        <v>2.9</v>
      </c>
      <c r="BX60" s="221">
        <v>3.1</v>
      </c>
      <c r="BY60" s="221">
        <v>6.3</v>
      </c>
      <c r="BZ60" s="221"/>
      <c r="CA60" s="221">
        <f>3.1+4.2</f>
        <v>7.3000000000000007</v>
      </c>
      <c r="CB60" s="221"/>
      <c r="CC60" s="221"/>
      <c r="CD60" s="304" t="s">
        <v>221</v>
      </c>
      <c r="CE60" s="306">
        <f t="shared" ref="CE60:CE70" si="0">SUM(C60:CD60)</f>
        <v>142.00000000000003</v>
      </c>
      <c r="CF60" s="2"/>
    </row>
    <row r="61" spans="1:84" ht="12.65" customHeight="1" x14ac:dyDescent="0.35">
      <c r="A61" s="301" t="s">
        <v>235</v>
      </c>
      <c r="B61" s="294"/>
      <c r="C61" s="299"/>
      <c r="D61" s="299"/>
      <c r="E61" s="299"/>
      <c r="F61" s="185"/>
      <c r="G61" s="299"/>
      <c r="H61" s="299">
        <f>3672905+154249+198819+66917+5335+46961</f>
        <v>4145186</v>
      </c>
      <c r="I61" s="185"/>
      <c r="J61" s="185"/>
      <c r="K61" s="185"/>
      <c r="L61" s="185"/>
      <c r="M61" s="299"/>
      <c r="N61" s="299"/>
      <c r="O61" s="299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f>80903+214</f>
        <v>81117</v>
      </c>
      <c r="AK61" s="185"/>
      <c r="AL61" s="185"/>
      <c r="AM61" s="185">
        <f>170202+535</f>
        <v>170737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326060+1525</f>
        <v>327585</v>
      </c>
      <c r="AZ61" s="185"/>
      <c r="BA61" s="185"/>
      <c r="BB61" s="185">
        <f>873401+13102</f>
        <v>886503</v>
      </c>
      <c r="BC61" s="185"/>
      <c r="BD61" s="185"/>
      <c r="BE61" s="185">
        <f>144044+6428</f>
        <v>150472</v>
      </c>
      <c r="BF61" s="185">
        <f>136088+769</f>
        <v>136857</v>
      </c>
      <c r="BG61" s="185">
        <f>95304+678</f>
        <v>95982</v>
      </c>
      <c r="BH61" s="185">
        <v>52595</v>
      </c>
      <c r="BI61" s="185"/>
      <c r="BJ61" s="185">
        <f>236551+30425</f>
        <v>266976</v>
      </c>
      <c r="BK61" s="185">
        <f>99871+116316+7097</f>
        <v>223284</v>
      </c>
      <c r="BL61" s="185">
        <f>646485+100+5196</f>
        <v>651781</v>
      </c>
      <c r="BM61" s="185"/>
      <c r="BN61" s="185">
        <f>261688+20444+100264</f>
        <v>382396</v>
      </c>
      <c r="BO61" s="185"/>
      <c r="BP61" s="185">
        <f>136315+7428</f>
        <v>143743</v>
      </c>
      <c r="BQ61" s="185"/>
      <c r="BR61" s="185">
        <f>93744+30852</f>
        <v>124596</v>
      </c>
      <c r="BS61" s="185"/>
      <c r="BT61" s="185"/>
      <c r="BU61" s="185"/>
      <c r="BV61" s="185">
        <f>135775+5498</f>
        <v>141273</v>
      </c>
      <c r="BW61" s="185">
        <v>0</v>
      </c>
      <c r="BX61" s="185">
        <f>214375+7642</f>
        <v>222017</v>
      </c>
      <c r="BY61" s="185">
        <f>666340+4865+4674</f>
        <v>675879</v>
      </c>
      <c r="BZ61" s="185"/>
      <c r="CA61" s="185">
        <v>493270</v>
      </c>
      <c r="CB61" s="185"/>
      <c r="CC61" s="185"/>
      <c r="CD61" s="304" t="s">
        <v>221</v>
      </c>
      <c r="CE61" s="294">
        <f t="shared" si="0"/>
        <v>9372249</v>
      </c>
      <c r="CF61" s="2"/>
    </row>
    <row r="62" spans="1:84" ht="12.65" customHeight="1" x14ac:dyDescent="0.35">
      <c r="A62" s="301" t="s">
        <v>3</v>
      </c>
      <c r="B62" s="294"/>
      <c r="C62" s="294">
        <f t="shared" ref="C62:BN62" si="1">ROUND(C47+C48,0)</f>
        <v>0</v>
      </c>
      <c r="D62" s="294">
        <f t="shared" si="1"/>
        <v>0</v>
      </c>
      <c r="E62" s="294">
        <f t="shared" si="1"/>
        <v>0</v>
      </c>
      <c r="F62" s="294">
        <f t="shared" si="1"/>
        <v>0</v>
      </c>
      <c r="G62" s="294">
        <f t="shared" si="1"/>
        <v>0</v>
      </c>
      <c r="H62" s="294">
        <f t="shared" si="1"/>
        <v>738088</v>
      </c>
      <c r="I62" s="294">
        <f t="shared" si="1"/>
        <v>0</v>
      </c>
      <c r="J62" s="294">
        <f>ROUND(J47+J48,0)</f>
        <v>0</v>
      </c>
      <c r="K62" s="294">
        <f t="shared" si="1"/>
        <v>0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0</v>
      </c>
      <c r="P62" s="294">
        <f t="shared" si="1"/>
        <v>0</v>
      </c>
      <c r="Q62" s="294">
        <f t="shared" si="1"/>
        <v>0</v>
      </c>
      <c r="R62" s="294">
        <f t="shared" si="1"/>
        <v>0</v>
      </c>
      <c r="S62" s="294">
        <f t="shared" si="1"/>
        <v>0</v>
      </c>
      <c r="T62" s="294">
        <f t="shared" si="1"/>
        <v>0</v>
      </c>
      <c r="U62" s="294">
        <f t="shared" si="1"/>
        <v>0</v>
      </c>
      <c r="V62" s="294">
        <f t="shared" si="1"/>
        <v>0</v>
      </c>
      <c r="W62" s="294">
        <f t="shared" si="1"/>
        <v>0</v>
      </c>
      <c r="X62" s="294">
        <f t="shared" si="1"/>
        <v>0</v>
      </c>
      <c r="Y62" s="294">
        <f t="shared" si="1"/>
        <v>0</v>
      </c>
      <c r="Z62" s="294">
        <f t="shared" si="1"/>
        <v>0</v>
      </c>
      <c r="AA62" s="294">
        <f t="shared" si="1"/>
        <v>0</v>
      </c>
      <c r="AB62" s="294">
        <f t="shared" si="1"/>
        <v>0</v>
      </c>
      <c r="AC62" s="294">
        <f t="shared" si="1"/>
        <v>0</v>
      </c>
      <c r="AD62" s="294">
        <f t="shared" si="1"/>
        <v>0</v>
      </c>
      <c r="AE62" s="294">
        <f t="shared" si="1"/>
        <v>0</v>
      </c>
      <c r="AF62" s="294">
        <f t="shared" si="1"/>
        <v>0</v>
      </c>
      <c r="AG62" s="294">
        <f t="shared" si="1"/>
        <v>0</v>
      </c>
      <c r="AH62" s="294">
        <f t="shared" si="1"/>
        <v>0</v>
      </c>
      <c r="AI62" s="294">
        <f t="shared" si="1"/>
        <v>0</v>
      </c>
      <c r="AJ62" s="294">
        <f t="shared" si="1"/>
        <v>14563</v>
      </c>
      <c r="AK62" s="294">
        <f t="shared" si="1"/>
        <v>0</v>
      </c>
      <c r="AL62" s="294">
        <f t="shared" si="1"/>
        <v>0</v>
      </c>
      <c r="AM62" s="294">
        <f t="shared" si="1"/>
        <v>30634</v>
      </c>
      <c r="AN62" s="294">
        <f t="shared" si="1"/>
        <v>0</v>
      </c>
      <c r="AO62" s="294">
        <f t="shared" si="1"/>
        <v>0</v>
      </c>
      <c r="AP62" s="294">
        <f t="shared" si="1"/>
        <v>0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0</v>
      </c>
      <c r="AX62" s="294">
        <f t="shared" si="1"/>
        <v>0</v>
      </c>
      <c r="AY62" s="294">
        <f>ROUND(AY47+AY48,0)</f>
        <v>58334</v>
      </c>
      <c r="AZ62" s="294">
        <f>ROUND(AZ47+AZ48,0)</f>
        <v>0</v>
      </c>
      <c r="BA62" s="294">
        <f>ROUND(BA47+BA48,0)</f>
        <v>0</v>
      </c>
      <c r="BB62" s="294">
        <f t="shared" si="1"/>
        <v>158755</v>
      </c>
      <c r="BC62" s="294">
        <f t="shared" si="1"/>
        <v>0</v>
      </c>
      <c r="BD62" s="294">
        <f t="shared" si="1"/>
        <v>0</v>
      </c>
      <c r="BE62" s="294">
        <f t="shared" si="1"/>
        <v>26172</v>
      </c>
      <c r="BF62" s="294">
        <f t="shared" si="1"/>
        <v>24927</v>
      </c>
      <c r="BG62" s="294">
        <f t="shared" si="1"/>
        <v>17737</v>
      </c>
      <c r="BH62" s="294">
        <f t="shared" si="1"/>
        <v>9218</v>
      </c>
      <c r="BI62" s="294">
        <f t="shared" si="1"/>
        <v>0</v>
      </c>
      <c r="BJ62" s="294">
        <f t="shared" si="1"/>
        <v>41550</v>
      </c>
      <c r="BK62" s="294">
        <f t="shared" si="1"/>
        <v>40792</v>
      </c>
      <c r="BL62" s="294">
        <f t="shared" si="1"/>
        <v>117559</v>
      </c>
      <c r="BM62" s="294">
        <f t="shared" si="1"/>
        <v>0</v>
      </c>
      <c r="BN62" s="294">
        <f t="shared" si="1"/>
        <v>66526</v>
      </c>
      <c r="BO62" s="294">
        <f t="shared" ref="BO62:CC62" si="2">ROUND(BO47+BO48,0)</f>
        <v>0</v>
      </c>
      <c r="BP62" s="294">
        <f t="shared" si="2"/>
        <v>24430</v>
      </c>
      <c r="BQ62" s="294">
        <f t="shared" si="2"/>
        <v>0</v>
      </c>
      <c r="BR62" s="294">
        <f t="shared" si="2"/>
        <v>18253</v>
      </c>
      <c r="BS62" s="294">
        <f t="shared" si="2"/>
        <v>0</v>
      </c>
      <c r="BT62" s="294">
        <f t="shared" si="2"/>
        <v>0</v>
      </c>
      <c r="BU62" s="294">
        <f t="shared" si="2"/>
        <v>0</v>
      </c>
      <c r="BV62" s="294">
        <f t="shared" si="2"/>
        <v>24642</v>
      </c>
      <c r="BW62" s="294">
        <f t="shared" si="2"/>
        <v>0</v>
      </c>
      <c r="BX62" s="294">
        <f t="shared" si="2"/>
        <v>37861</v>
      </c>
      <c r="BY62" s="294">
        <f t="shared" si="2"/>
        <v>117067</v>
      </c>
      <c r="BZ62" s="294">
        <f t="shared" si="2"/>
        <v>0</v>
      </c>
      <c r="CA62" s="294">
        <f t="shared" si="2"/>
        <v>92229</v>
      </c>
      <c r="CB62" s="294">
        <f t="shared" si="2"/>
        <v>0</v>
      </c>
      <c r="CC62" s="294">
        <f t="shared" si="2"/>
        <v>0</v>
      </c>
      <c r="CD62" s="304" t="s">
        <v>221</v>
      </c>
      <c r="CE62" s="294">
        <f t="shared" si="0"/>
        <v>1659337</v>
      </c>
      <c r="CF62" s="2"/>
    </row>
    <row r="63" spans="1:84" ht="12.65" customHeight="1" x14ac:dyDescent="0.35">
      <c r="A63" s="301" t="s">
        <v>236</v>
      </c>
      <c r="B63" s="294"/>
      <c r="C63" s="299"/>
      <c r="D63" s="299"/>
      <c r="E63" s="299"/>
      <c r="F63" s="185"/>
      <c r="G63" s="299"/>
      <c r="H63" s="299"/>
      <c r="I63" s="185"/>
      <c r="J63" s="185"/>
      <c r="K63" s="185"/>
      <c r="L63" s="185"/>
      <c r="M63" s="299"/>
      <c r="N63" s="299"/>
      <c r="O63" s="299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8540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>
        <v>19233</v>
      </c>
      <c r="BM63" s="185"/>
      <c r="BN63" s="185">
        <v>17603</v>
      </c>
      <c r="BO63" s="185"/>
      <c r="BP63" s="185"/>
      <c r="BQ63" s="185"/>
      <c r="BR63" s="185"/>
      <c r="BS63" s="185"/>
      <c r="BT63" s="185"/>
      <c r="BU63" s="185"/>
      <c r="BV63" s="185"/>
      <c r="BW63" s="185">
        <f>1591178+75000+153638</f>
        <v>1819816</v>
      </c>
      <c r="BX63" s="185"/>
      <c r="BY63" s="185"/>
      <c r="BZ63" s="185"/>
      <c r="CA63" s="185"/>
      <c r="CB63" s="185"/>
      <c r="CC63" s="185"/>
      <c r="CD63" s="304" t="s">
        <v>221</v>
      </c>
      <c r="CE63" s="294">
        <f t="shared" si="0"/>
        <v>1865192</v>
      </c>
      <c r="CF63" s="2"/>
    </row>
    <row r="64" spans="1:84" ht="12.65" customHeight="1" x14ac:dyDescent="0.35">
      <c r="A64" s="301" t="s">
        <v>237</v>
      </c>
      <c r="B64" s="294"/>
      <c r="C64" s="299"/>
      <c r="D64" s="299"/>
      <c r="E64" s="185"/>
      <c r="F64" s="185"/>
      <c r="G64" s="299"/>
      <c r="H64" s="299">
        <f>18499+11+16+314+54341</f>
        <v>73181</v>
      </c>
      <c r="I64" s="185"/>
      <c r="J64" s="185"/>
      <c r="K64" s="185"/>
      <c r="L64" s="185"/>
      <c r="M64" s="299"/>
      <c r="N64" s="299"/>
      <c r="O64" s="299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198636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3653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228440</v>
      </c>
      <c r="AZ64" s="185"/>
      <c r="BA64" s="185"/>
      <c r="BB64" s="185">
        <v>2682</v>
      </c>
      <c r="BC64" s="185"/>
      <c r="BD64" s="185"/>
      <c r="BE64" s="185">
        <v>15033</v>
      </c>
      <c r="BF64" s="185">
        <v>35375</v>
      </c>
      <c r="BG64" s="185">
        <v>175</v>
      </c>
      <c r="BH64" s="185">
        <v>6074</v>
      </c>
      <c r="BI64" s="185"/>
      <c r="BJ64" s="185">
        <f>1286+3342</f>
        <v>4628</v>
      </c>
      <c r="BK64" s="185">
        <f>425+272</f>
        <v>697</v>
      </c>
      <c r="BL64" s="185">
        <v>5598</v>
      </c>
      <c r="BM64" s="185"/>
      <c r="BN64" s="185">
        <f>27196+45</f>
        <v>27241</v>
      </c>
      <c r="BO64" s="185"/>
      <c r="BP64" s="185">
        <v>5162</v>
      </c>
      <c r="BQ64" s="185"/>
      <c r="BR64" s="185">
        <v>5764</v>
      </c>
      <c r="BS64" s="185"/>
      <c r="BT64" s="185"/>
      <c r="BU64" s="185"/>
      <c r="BV64" s="185">
        <v>7131</v>
      </c>
      <c r="BW64" s="185">
        <v>977</v>
      </c>
      <c r="BX64" s="185">
        <v>376</v>
      </c>
      <c r="BY64" s="185"/>
      <c r="BZ64" s="185"/>
      <c r="CA64" s="185">
        <v>2</v>
      </c>
      <c r="CB64" s="185"/>
      <c r="CC64" s="185"/>
      <c r="CD64" s="304" t="s">
        <v>221</v>
      </c>
      <c r="CE64" s="294">
        <f t="shared" si="0"/>
        <v>620825</v>
      </c>
      <c r="CF64" s="2"/>
    </row>
    <row r="65" spans="1:84" ht="12.65" customHeight="1" x14ac:dyDescent="0.35">
      <c r="A65" s="301" t="s">
        <v>238</v>
      </c>
      <c r="B65" s="294"/>
      <c r="C65" s="299"/>
      <c r="D65" s="299"/>
      <c r="E65" s="299"/>
      <c r="F65" s="299"/>
      <c r="G65" s="299"/>
      <c r="H65" s="299"/>
      <c r="I65" s="185"/>
      <c r="J65" s="299"/>
      <c r="K65" s="185"/>
      <c r="L65" s="185"/>
      <c r="M65" s="299"/>
      <c r="N65" s="299"/>
      <c r="O65" s="299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271122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4" t="s">
        <v>221</v>
      </c>
      <c r="CE65" s="294">
        <f t="shared" si="0"/>
        <v>271122</v>
      </c>
      <c r="CF65" s="2"/>
    </row>
    <row r="66" spans="1:84" ht="12.65" customHeight="1" x14ac:dyDescent="0.35">
      <c r="A66" s="301" t="s">
        <v>239</v>
      </c>
      <c r="B66" s="294"/>
      <c r="C66" s="299"/>
      <c r="D66" s="299"/>
      <c r="E66" s="299"/>
      <c r="F66" s="299"/>
      <c r="G66" s="299"/>
      <c r="H66" s="299">
        <f>640670+44247+639</f>
        <v>685556</v>
      </c>
      <c r="I66" s="299"/>
      <c r="J66" s="299"/>
      <c r="K66" s="185"/>
      <c r="L66" s="185"/>
      <c r="M66" s="299"/>
      <c r="N66" s="299"/>
      <c r="O66" s="185"/>
      <c r="P66" s="185"/>
      <c r="Q66" s="185"/>
      <c r="R66" s="185"/>
      <c r="S66" s="299"/>
      <c r="T66" s="299"/>
      <c r="U66" s="185">
        <v>34056</v>
      </c>
      <c r="V66" s="185"/>
      <c r="W66" s="185"/>
      <c r="X66" s="185"/>
      <c r="Y66" s="185">
        <v>13767</v>
      </c>
      <c r="Z66" s="185"/>
      <c r="AA66" s="185"/>
      <c r="AB66" s="185">
        <f>488539+5723</f>
        <v>494262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>
        <v>270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2568</v>
      </c>
      <c r="AZ66" s="185"/>
      <c r="BA66" s="185">
        <v>53474</v>
      </c>
      <c r="BB66" s="185">
        <v>7908</v>
      </c>
      <c r="BC66" s="185"/>
      <c r="BD66" s="185"/>
      <c r="BE66" s="185">
        <v>49713</v>
      </c>
      <c r="BF66" s="185"/>
      <c r="BG66" s="185"/>
      <c r="BH66" s="185">
        <f>169148+25816</f>
        <v>194964</v>
      </c>
      <c r="BI66" s="185"/>
      <c r="BJ66" s="185">
        <v>110452</v>
      </c>
      <c r="BK66" s="185">
        <v>50869</v>
      </c>
      <c r="BL66" s="185">
        <v>1484</v>
      </c>
      <c r="BM66" s="185"/>
      <c r="BN66" s="185">
        <f>66723+108</f>
        <v>66831</v>
      </c>
      <c r="BO66" s="185"/>
      <c r="BP66" s="185">
        <v>4391</v>
      </c>
      <c r="BQ66" s="185"/>
      <c r="BR66" s="185">
        <v>985</v>
      </c>
      <c r="BS66" s="185"/>
      <c r="BT66" s="185"/>
      <c r="BU66" s="185"/>
      <c r="BV66" s="185">
        <v>18824</v>
      </c>
      <c r="BW66" s="185"/>
      <c r="BX66" s="185"/>
      <c r="BY66" s="185">
        <v>10074</v>
      </c>
      <c r="BZ66" s="185"/>
      <c r="CA66" s="185"/>
      <c r="CB66" s="185"/>
      <c r="CC66" s="185"/>
      <c r="CD66" s="304" t="s">
        <v>221</v>
      </c>
      <c r="CE66" s="294">
        <f t="shared" si="0"/>
        <v>1800448</v>
      </c>
      <c r="CF66" s="2"/>
    </row>
    <row r="67" spans="1:84" ht="12.65" customHeight="1" x14ac:dyDescent="0.35">
      <c r="A67" s="301" t="s">
        <v>6</v>
      </c>
      <c r="B67" s="294"/>
      <c r="C67" s="294">
        <f>ROUND(C51+C52,0)</f>
        <v>0</v>
      </c>
      <c r="D67" s="294">
        <f>ROUND(D51+D52,0)</f>
        <v>0</v>
      </c>
      <c r="E67" s="294">
        <f t="shared" ref="E67:BP67" si="3">ROUND(E51+E52,0)</f>
        <v>0</v>
      </c>
      <c r="F67" s="294">
        <f t="shared" si="3"/>
        <v>0</v>
      </c>
      <c r="G67" s="294">
        <f t="shared" si="3"/>
        <v>0</v>
      </c>
      <c r="H67" s="294">
        <f t="shared" si="3"/>
        <v>606733</v>
      </c>
      <c r="I67" s="294">
        <f t="shared" si="3"/>
        <v>0</v>
      </c>
      <c r="J67" s="294">
        <f>ROUND(J51+J52,0)</f>
        <v>0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0</v>
      </c>
      <c r="P67" s="294">
        <f t="shared" si="3"/>
        <v>0</v>
      </c>
      <c r="Q67" s="294">
        <f t="shared" si="3"/>
        <v>0</v>
      </c>
      <c r="R67" s="294">
        <f t="shared" si="3"/>
        <v>0</v>
      </c>
      <c r="S67" s="294">
        <f t="shared" si="3"/>
        <v>0</v>
      </c>
      <c r="T67" s="294">
        <f t="shared" si="3"/>
        <v>0</v>
      </c>
      <c r="U67" s="294">
        <f t="shared" si="3"/>
        <v>1198</v>
      </c>
      <c r="V67" s="294">
        <f t="shared" si="3"/>
        <v>0</v>
      </c>
      <c r="W67" s="294">
        <f t="shared" si="3"/>
        <v>0</v>
      </c>
      <c r="X67" s="294">
        <f t="shared" si="3"/>
        <v>0</v>
      </c>
      <c r="Y67" s="294">
        <f t="shared" si="3"/>
        <v>0</v>
      </c>
      <c r="Z67" s="294">
        <f t="shared" si="3"/>
        <v>0</v>
      </c>
      <c r="AA67" s="294">
        <f t="shared" si="3"/>
        <v>0</v>
      </c>
      <c r="AB67" s="294">
        <f t="shared" si="3"/>
        <v>4325</v>
      </c>
      <c r="AC67" s="294">
        <f t="shared" si="3"/>
        <v>0</v>
      </c>
      <c r="AD67" s="294">
        <f t="shared" si="3"/>
        <v>0</v>
      </c>
      <c r="AE67" s="294">
        <f t="shared" si="3"/>
        <v>0</v>
      </c>
      <c r="AF67" s="294">
        <f t="shared" si="3"/>
        <v>0</v>
      </c>
      <c r="AG67" s="294">
        <f t="shared" si="3"/>
        <v>0</v>
      </c>
      <c r="AH67" s="294">
        <f t="shared" si="3"/>
        <v>0</v>
      </c>
      <c r="AI67" s="294">
        <f t="shared" si="3"/>
        <v>0</v>
      </c>
      <c r="AJ67" s="294">
        <f t="shared" si="3"/>
        <v>21031</v>
      </c>
      <c r="AK67" s="294">
        <f t="shared" si="3"/>
        <v>0</v>
      </c>
      <c r="AL67" s="294">
        <f t="shared" si="3"/>
        <v>0</v>
      </c>
      <c r="AM67" s="294">
        <f t="shared" si="3"/>
        <v>27008</v>
      </c>
      <c r="AN67" s="294">
        <f t="shared" si="3"/>
        <v>0</v>
      </c>
      <c r="AO67" s="294">
        <f t="shared" si="3"/>
        <v>0</v>
      </c>
      <c r="AP67" s="294">
        <f t="shared" si="3"/>
        <v>0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0</v>
      </c>
      <c r="AX67" s="294">
        <f t="shared" si="3"/>
        <v>0</v>
      </c>
      <c r="AY67" s="294">
        <f t="shared" si="3"/>
        <v>33730</v>
      </c>
      <c r="AZ67" s="294">
        <f>ROUND(AZ51+AZ52,0)</f>
        <v>0</v>
      </c>
      <c r="BA67" s="294">
        <f>ROUND(BA51+BA52,0)</f>
        <v>4132</v>
      </c>
      <c r="BB67" s="294">
        <f t="shared" si="3"/>
        <v>4600</v>
      </c>
      <c r="BC67" s="294">
        <f t="shared" si="3"/>
        <v>0</v>
      </c>
      <c r="BD67" s="294">
        <f t="shared" si="3"/>
        <v>2259</v>
      </c>
      <c r="BE67" s="294">
        <f t="shared" si="3"/>
        <v>20411</v>
      </c>
      <c r="BF67" s="294">
        <f t="shared" si="3"/>
        <v>7658</v>
      </c>
      <c r="BG67" s="294">
        <f t="shared" si="3"/>
        <v>0</v>
      </c>
      <c r="BH67" s="294">
        <f t="shared" si="3"/>
        <v>0</v>
      </c>
      <c r="BI67" s="294">
        <f t="shared" si="3"/>
        <v>147575</v>
      </c>
      <c r="BJ67" s="294">
        <f t="shared" si="3"/>
        <v>0</v>
      </c>
      <c r="BK67" s="294">
        <f t="shared" si="3"/>
        <v>0</v>
      </c>
      <c r="BL67" s="294">
        <f t="shared" si="3"/>
        <v>16638</v>
      </c>
      <c r="BM67" s="294">
        <f t="shared" si="3"/>
        <v>0</v>
      </c>
      <c r="BN67" s="294">
        <f t="shared" si="3"/>
        <v>25700</v>
      </c>
      <c r="BO67" s="294">
        <f t="shared" si="3"/>
        <v>0</v>
      </c>
      <c r="BP67" s="294">
        <f t="shared" si="3"/>
        <v>1377</v>
      </c>
      <c r="BQ67" s="294">
        <f t="shared" ref="BQ67:CC67" si="4">ROUND(BQ51+BQ52,0)</f>
        <v>0</v>
      </c>
      <c r="BR67" s="294">
        <f t="shared" si="4"/>
        <v>1818</v>
      </c>
      <c r="BS67" s="294">
        <f t="shared" si="4"/>
        <v>0</v>
      </c>
      <c r="BT67" s="294">
        <f t="shared" si="4"/>
        <v>0</v>
      </c>
      <c r="BU67" s="294">
        <f t="shared" si="4"/>
        <v>0</v>
      </c>
      <c r="BV67" s="294">
        <f t="shared" si="4"/>
        <v>7093</v>
      </c>
      <c r="BW67" s="294">
        <f t="shared" si="4"/>
        <v>0</v>
      </c>
      <c r="BX67" s="294">
        <f t="shared" si="4"/>
        <v>2066</v>
      </c>
      <c r="BY67" s="294">
        <f t="shared" si="4"/>
        <v>4517</v>
      </c>
      <c r="BZ67" s="294">
        <f t="shared" si="4"/>
        <v>0</v>
      </c>
      <c r="CA67" s="294">
        <f t="shared" si="4"/>
        <v>0</v>
      </c>
      <c r="CB67" s="294">
        <f t="shared" si="4"/>
        <v>0</v>
      </c>
      <c r="CC67" s="294">
        <f t="shared" si="4"/>
        <v>1226</v>
      </c>
      <c r="CD67" s="304" t="s">
        <v>221</v>
      </c>
      <c r="CE67" s="294">
        <f t="shared" si="0"/>
        <v>941095</v>
      </c>
      <c r="CF67" s="2"/>
    </row>
    <row r="68" spans="1:84" ht="12.65" customHeight="1" x14ac:dyDescent="0.35">
      <c r="A68" s="301" t="s">
        <v>240</v>
      </c>
      <c r="B68" s="294"/>
      <c r="C68" s="299"/>
      <c r="D68" s="299"/>
      <c r="E68" s="299"/>
      <c r="F68" s="299"/>
      <c r="G68" s="299"/>
      <c r="H68" s="299"/>
      <c r="I68" s="299"/>
      <c r="J68" s="299"/>
      <c r="K68" s="185"/>
      <c r="L68" s="185"/>
      <c r="M68" s="299"/>
      <c r="N68" s="299"/>
      <c r="O68" s="299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1361885</v>
      </c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304" t="s">
        <v>221</v>
      </c>
      <c r="CE68" s="294">
        <f t="shared" si="0"/>
        <v>1361885</v>
      </c>
      <c r="CF68" s="2"/>
    </row>
    <row r="69" spans="1:84" ht="12.65" customHeight="1" x14ac:dyDescent="0.35">
      <c r="A69" s="301" t="s">
        <v>241</v>
      </c>
      <c r="B69" s="294"/>
      <c r="C69" s="299"/>
      <c r="D69" s="299"/>
      <c r="E69" s="185"/>
      <c r="F69" s="185"/>
      <c r="G69" s="299"/>
      <c r="H69" s="299"/>
      <c r="I69" s="185"/>
      <c r="J69" s="185"/>
      <c r="K69" s="185"/>
      <c r="L69" s="185"/>
      <c r="M69" s="299"/>
      <c r="N69" s="299"/>
      <c r="O69" s="299"/>
      <c r="P69" s="185"/>
      <c r="Q69" s="185"/>
      <c r="R69" s="224"/>
      <c r="S69" s="185"/>
      <c r="T69" s="299"/>
      <c r="U69" s="185"/>
      <c r="V69" s="185"/>
      <c r="W69" s="299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299"/>
      <c r="AP69" s="185"/>
      <c r="AQ69" s="299"/>
      <c r="AR69" s="299"/>
      <c r="AS69" s="299"/>
      <c r="AT69" s="299"/>
      <c r="AU69" s="185"/>
      <c r="AV69" s="185"/>
      <c r="AW69" s="185"/>
      <c r="AX69" s="185"/>
      <c r="AY69" s="185"/>
      <c r="AZ69" s="185"/>
      <c r="BA69" s="185"/>
      <c r="BB69" s="185">
        <v>23844</v>
      </c>
      <c r="BC69" s="185"/>
      <c r="BD69" s="185"/>
      <c r="BE69" s="185">
        <v>81548</v>
      </c>
      <c r="BF69" s="185"/>
      <c r="BG69" s="185"/>
      <c r="BH69" s="224">
        <v>7608</v>
      </c>
      <c r="BI69" s="185"/>
      <c r="BJ69" s="185"/>
      <c r="BK69" s="185"/>
      <c r="BL69" s="185"/>
      <c r="BM69" s="185"/>
      <c r="BN69" s="185">
        <f>18690+2474+38+83383</f>
        <v>104585</v>
      </c>
      <c r="BO69" s="185"/>
      <c r="BP69" s="185">
        <f>2182+225+11771</f>
        <v>14178</v>
      </c>
      <c r="BQ69" s="185"/>
      <c r="BR69" s="185">
        <v>242087</v>
      </c>
      <c r="BS69" s="185"/>
      <c r="BT69" s="185"/>
      <c r="BU69" s="185"/>
      <c r="BV69" s="185"/>
      <c r="BW69" s="185">
        <f>2820+56</f>
        <v>2876</v>
      </c>
      <c r="BX69" s="185"/>
      <c r="BY69" s="185">
        <f>3636+43</f>
        <v>3679</v>
      </c>
      <c r="BZ69" s="185"/>
      <c r="CA69" s="185"/>
      <c r="CB69" s="185"/>
      <c r="CC69" s="185"/>
      <c r="CD69" s="307">
        <f>439006+153396</f>
        <v>592402</v>
      </c>
      <c r="CE69" s="294">
        <f t="shared" si="0"/>
        <v>1072807</v>
      </c>
      <c r="CF69" s="2"/>
    </row>
    <row r="70" spans="1:84" ht="12.65" customHeight="1" x14ac:dyDescent="0.35">
      <c r="A70" s="301" t="s">
        <v>242</v>
      </c>
      <c r="B70" s="294"/>
      <c r="C70" s="299"/>
      <c r="D70" s="299"/>
      <c r="E70" s="299"/>
      <c r="F70" s="185"/>
      <c r="G70" s="299"/>
      <c r="H70" s="299"/>
      <c r="I70" s="299"/>
      <c r="J70" s="185"/>
      <c r="K70" s="185"/>
      <c r="L70" s="185"/>
      <c r="M70" s="299"/>
      <c r="N70" s="299"/>
      <c r="O70" s="299"/>
      <c r="P70" s="299"/>
      <c r="Q70" s="299"/>
      <c r="R70" s="299"/>
      <c r="S70" s="299"/>
      <c r="T70" s="299"/>
      <c r="U70" s="185"/>
      <c r="V70" s="299"/>
      <c r="W70" s="299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7">
        <v>15894</v>
      </c>
      <c r="CE70" s="294">
        <f t="shared" si="0"/>
        <v>15894</v>
      </c>
      <c r="CF70" s="2"/>
    </row>
    <row r="71" spans="1:84" ht="12.65" customHeight="1" x14ac:dyDescent="0.35">
      <c r="A71" s="301" t="s">
        <v>243</v>
      </c>
      <c r="B71" s="294"/>
      <c r="C71" s="294">
        <f>SUM(C61:C68)+C69-C70</f>
        <v>0</v>
      </c>
      <c r="D71" s="294">
        <f t="shared" ref="D71:AI71" si="5">SUM(D61:D69)-D70</f>
        <v>0</v>
      </c>
      <c r="E71" s="294">
        <f t="shared" si="5"/>
        <v>0</v>
      </c>
      <c r="F71" s="294">
        <f t="shared" si="5"/>
        <v>0</v>
      </c>
      <c r="G71" s="294">
        <f t="shared" si="5"/>
        <v>0</v>
      </c>
      <c r="H71" s="294">
        <f t="shared" si="5"/>
        <v>6248744</v>
      </c>
      <c r="I71" s="294">
        <f t="shared" si="5"/>
        <v>0</v>
      </c>
      <c r="J71" s="294">
        <f t="shared" si="5"/>
        <v>0</v>
      </c>
      <c r="K71" s="294">
        <f t="shared" si="5"/>
        <v>0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0</v>
      </c>
      <c r="P71" s="294">
        <f t="shared" si="5"/>
        <v>0</v>
      </c>
      <c r="Q71" s="294">
        <f t="shared" si="5"/>
        <v>0</v>
      </c>
      <c r="R71" s="294">
        <f t="shared" si="5"/>
        <v>0</v>
      </c>
      <c r="S71" s="294">
        <f t="shared" si="5"/>
        <v>0</v>
      </c>
      <c r="T71" s="294">
        <f t="shared" si="5"/>
        <v>0</v>
      </c>
      <c r="U71" s="294">
        <f t="shared" si="5"/>
        <v>35254</v>
      </c>
      <c r="V71" s="294">
        <f t="shared" si="5"/>
        <v>0</v>
      </c>
      <c r="W71" s="294">
        <f t="shared" si="5"/>
        <v>0</v>
      </c>
      <c r="X71" s="294">
        <f t="shared" si="5"/>
        <v>0</v>
      </c>
      <c r="Y71" s="294">
        <f t="shared" si="5"/>
        <v>13767</v>
      </c>
      <c r="Z71" s="294">
        <f t="shared" si="5"/>
        <v>0</v>
      </c>
      <c r="AA71" s="294">
        <f t="shared" si="5"/>
        <v>0</v>
      </c>
      <c r="AB71" s="294">
        <f t="shared" si="5"/>
        <v>697223</v>
      </c>
      <c r="AC71" s="294">
        <f t="shared" si="5"/>
        <v>0</v>
      </c>
      <c r="AD71" s="294">
        <f t="shared" si="5"/>
        <v>0</v>
      </c>
      <c r="AE71" s="294">
        <f t="shared" si="5"/>
        <v>0</v>
      </c>
      <c r="AF71" s="294">
        <f t="shared" si="5"/>
        <v>0</v>
      </c>
      <c r="AG71" s="294">
        <f t="shared" si="5"/>
        <v>0</v>
      </c>
      <c r="AH71" s="294">
        <f t="shared" si="5"/>
        <v>0</v>
      </c>
      <c r="AI71" s="294">
        <f t="shared" si="5"/>
        <v>0</v>
      </c>
      <c r="AJ71" s="294">
        <f>SUM(AJ61:AJ69)-AJ70</f>
        <v>116711</v>
      </c>
      <c r="AK71" s="294">
        <f t="shared" ref="AK71:BO71" si="6">SUM(AK61:AK69)-AK70</f>
        <v>0</v>
      </c>
      <c r="AL71" s="294">
        <f t="shared" si="6"/>
        <v>0</v>
      </c>
      <c r="AM71" s="294">
        <f t="shared" si="6"/>
        <v>232302</v>
      </c>
      <c r="AN71" s="294">
        <f t="shared" si="6"/>
        <v>0</v>
      </c>
      <c r="AO71" s="294">
        <f t="shared" si="6"/>
        <v>0</v>
      </c>
      <c r="AP71" s="294">
        <f t="shared" si="6"/>
        <v>0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0</v>
      </c>
      <c r="AW71" s="294">
        <f t="shared" si="6"/>
        <v>0</v>
      </c>
      <c r="AX71" s="294">
        <f t="shared" si="6"/>
        <v>0</v>
      </c>
      <c r="AY71" s="294">
        <f t="shared" si="6"/>
        <v>650657</v>
      </c>
      <c r="AZ71" s="294">
        <f t="shared" si="6"/>
        <v>0</v>
      </c>
      <c r="BA71" s="294">
        <f t="shared" si="6"/>
        <v>57606</v>
      </c>
      <c r="BB71" s="294">
        <f t="shared" si="6"/>
        <v>1092832</v>
      </c>
      <c r="BC71" s="294">
        <f t="shared" si="6"/>
        <v>0</v>
      </c>
      <c r="BD71" s="294">
        <f t="shared" si="6"/>
        <v>2259</v>
      </c>
      <c r="BE71" s="294">
        <f t="shared" si="6"/>
        <v>1976356</v>
      </c>
      <c r="BF71" s="294">
        <f t="shared" si="6"/>
        <v>204817</v>
      </c>
      <c r="BG71" s="294">
        <f t="shared" si="6"/>
        <v>113894</v>
      </c>
      <c r="BH71" s="294">
        <f t="shared" si="6"/>
        <v>270459</v>
      </c>
      <c r="BI71" s="294">
        <f t="shared" si="6"/>
        <v>147575</v>
      </c>
      <c r="BJ71" s="294">
        <f t="shared" si="6"/>
        <v>423606</v>
      </c>
      <c r="BK71" s="294">
        <f t="shared" si="6"/>
        <v>315642</v>
      </c>
      <c r="BL71" s="294">
        <f t="shared" si="6"/>
        <v>812293</v>
      </c>
      <c r="BM71" s="294">
        <f t="shared" si="6"/>
        <v>0</v>
      </c>
      <c r="BN71" s="294">
        <f t="shared" si="6"/>
        <v>690882</v>
      </c>
      <c r="BO71" s="294">
        <f t="shared" si="6"/>
        <v>0</v>
      </c>
      <c r="BP71" s="294">
        <f t="shared" ref="BP71:CC71" si="7">SUM(BP61:BP69)-BP70</f>
        <v>193281</v>
      </c>
      <c r="BQ71" s="294">
        <f t="shared" si="7"/>
        <v>0</v>
      </c>
      <c r="BR71" s="294">
        <f t="shared" si="7"/>
        <v>393503</v>
      </c>
      <c r="BS71" s="294">
        <f t="shared" si="7"/>
        <v>0</v>
      </c>
      <c r="BT71" s="294">
        <f t="shared" si="7"/>
        <v>0</v>
      </c>
      <c r="BU71" s="294">
        <f t="shared" si="7"/>
        <v>0</v>
      </c>
      <c r="BV71" s="294">
        <f t="shared" si="7"/>
        <v>198963</v>
      </c>
      <c r="BW71" s="294">
        <f t="shared" si="7"/>
        <v>1823669</v>
      </c>
      <c r="BX71" s="294">
        <f t="shared" si="7"/>
        <v>262320</v>
      </c>
      <c r="BY71" s="294">
        <f t="shared" si="7"/>
        <v>811216</v>
      </c>
      <c r="BZ71" s="294">
        <f t="shared" si="7"/>
        <v>0</v>
      </c>
      <c r="CA71" s="294">
        <f t="shared" si="7"/>
        <v>585501</v>
      </c>
      <c r="CB71" s="294">
        <f t="shared" si="7"/>
        <v>0</v>
      </c>
      <c r="CC71" s="294">
        <f t="shared" si="7"/>
        <v>1226</v>
      </c>
      <c r="CD71" s="300">
        <f>CD69-CD70</f>
        <v>576508</v>
      </c>
      <c r="CE71" s="294">
        <f>SUM(CE61:CE69)-CE70</f>
        <v>18949066</v>
      </c>
      <c r="CF71" s="2"/>
    </row>
    <row r="72" spans="1:84" ht="12.65" customHeight="1" x14ac:dyDescent="0.35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3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/>
      <c r="CF72" s="2"/>
    </row>
    <row r="73" spans="1:84" ht="12.65" customHeight="1" x14ac:dyDescent="0.35">
      <c r="A73" s="301" t="s">
        <v>245</v>
      </c>
      <c r="B73" s="294"/>
      <c r="C73" s="299"/>
      <c r="D73" s="299"/>
      <c r="E73" s="185"/>
      <c r="F73" s="185"/>
      <c r="G73" s="299"/>
      <c r="H73" s="299">
        <f>33174000+2574553</f>
        <v>35748553</v>
      </c>
      <c r="I73" s="185"/>
      <c r="J73" s="185"/>
      <c r="K73" s="185"/>
      <c r="L73" s="185"/>
      <c r="M73" s="299"/>
      <c r="N73" s="299"/>
      <c r="O73" s="299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35748553</v>
      </c>
      <c r="CF73" s="2"/>
    </row>
    <row r="74" spans="1:84" ht="12.65" customHeight="1" x14ac:dyDescent="0.35">
      <c r="A74" s="301" t="s">
        <v>246</v>
      </c>
      <c r="B74" s="294"/>
      <c r="C74" s="299"/>
      <c r="D74" s="299"/>
      <c r="E74" s="185"/>
      <c r="F74" s="185"/>
      <c r="G74" s="299"/>
      <c r="H74" s="299"/>
      <c r="I74" s="299"/>
      <c r="J74" s="185"/>
      <c r="K74" s="185"/>
      <c r="L74" s="185"/>
      <c r="M74" s="299"/>
      <c r="N74" s="299"/>
      <c r="O74" s="299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376900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376900</v>
      </c>
      <c r="CF74" s="2"/>
    </row>
    <row r="75" spans="1:84" ht="12.65" customHeight="1" x14ac:dyDescent="0.35">
      <c r="A75" s="301" t="s">
        <v>247</v>
      </c>
      <c r="B75" s="294"/>
      <c r="C75" s="294">
        <f t="shared" ref="C75:AV75" si="9">SUM(C73:C74)</f>
        <v>0</v>
      </c>
      <c r="D75" s="294">
        <f t="shared" si="9"/>
        <v>0</v>
      </c>
      <c r="E75" s="294">
        <f t="shared" si="9"/>
        <v>0</v>
      </c>
      <c r="F75" s="294">
        <f t="shared" si="9"/>
        <v>0</v>
      </c>
      <c r="G75" s="294">
        <f t="shared" si="9"/>
        <v>0</v>
      </c>
      <c r="H75" s="294">
        <f t="shared" si="9"/>
        <v>35748553</v>
      </c>
      <c r="I75" s="294">
        <f t="shared" si="9"/>
        <v>0</v>
      </c>
      <c r="J75" s="294">
        <f t="shared" si="9"/>
        <v>0</v>
      </c>
      <c r="K75" s="294">
        <f t="shared" si="9"/>
        <v>0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0</v>
      </c>
      <c r="P75" s="294">
        <f t="shared" si="9"/>
        <v>0</v>
      </c>
      <c r="Q75" s="294">
        <f t="shared" si="9"/>
        <v>0</v>
      </c>
      <c r="R75" s="294">
        <f t="shared" si="9"/>
        <v>0</v>
      </c>
      <c r="S75" s="294">
        <f t="shared" si="9"/>
        <v>0</v>
      </c>
      <c r="T75" s="294">
        <f t="shared" si="9"/>
        <v>0</v>
      </c>
      <c r="U75" s="294">
        <f t="shared" si="9"/>
        <v>0</v>
      </c>
      <c r="V75" s="294">
        <f t="shared" si="9"/>
        <v>0</v>
      </c>
      <c r="W75" s="294">
        <f t="shared" si="9"/>
        <v>0</v>
      </c>
      <c r="X75" s="294">
        <f t="shared" si="9"/>
        <v>0</v>
      </c>
      <c r="Y75" s="294">
        <f t="shared" si="9"/>
        <v>0</v>
      </c>
      <c r="Z75" s="294">
        <f t="shared" si="9"/>
        <v>0</v>
      </c>
      <c r="AA75" s="294">
        <f t="shared" si="9"/>
        <v>0</v>
      </c>
      <c r="AB75" s="294">
        <f t="shared" si="9"/>
        <v>0</v>
      </c>
      <c r="AC75" s="294">
        <f t="shared" si="9"/>
        <v>0</v>
      </c>
      <c r="AD75" s="294">
        <f t="shared" si="9"/>
        <v>0</v>
      </c>
      <c r="AE75" s="294">
        <f t="shared" si="9"/>
        <v>0</v>
      </c>
      <c r="AF75" s="294">
        <f t="shared" si="9"/>
        <v>0</v>
      </c>
      <c r="AG75" s="294">
        <f t="shared" si="9"/>
        <v>0</v>
      </c>
      <c r="AH75" s="294">
        <f t="shared" si="9"/>
        <v>0</v>
      </c>
      <c r="AI75" s="294">
        <f t="shared" si="9"/>
        <v>0</v>
      </c>
      <c r="AJ75" s="294">
        <f t="shared" si="9"/>
        <v>376900</v>
      </c>
      <c r="AK75" s="294">
        <f t="shared" si="9"/>
        <v>0</v>
      </c>
      <c r="AL75" s="294">
        <f t="shared" si="9"/>
        <v>0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0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0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36125453</v>
      </c>
      <c r="CF75" s="2"/>
    </row>
    <row r="76" spans="1:84" ht="12.65" customHeight="1" x14ac:dyDescent="0.35">
      <c r="A76" s="301" t="s">
        <v>248</v>
      </c>
      <c r="B76" s="294"/>
      <c r="C76" s="299"/>
      <c r="D76" s="299"/>
      <c r="E76" s="185"/>
      <c r="F76" s="185"/>
      <c r="G76" s="299"/>
      <c r="H76" s="299">
        <f>3173+9781+10644+9781+10674</f>
        <v>44053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87</v>
      </c>
      <c r="V76" s="185"/>
      <c r="W76" s="185"/>
      <c r="X76" s="185"/>
      <c r="Y76" s="185"/>
      <c r="Z76" s="185"/>
      <c r="AA76" s="185"/>
      <c r="AB76" s="185">
        <v>314</v>
      </c>
      <c r="AC76" s="185"/>
      <c r="AD76" s="185"/>
      <c r="AE76" s="185"/>
      <c r="AF76" s="185"/>
      <c r="AG76" s="185"/>
      <c r="AH76" s="185"/>
      <c r="AI76" s="185"/>
      <c r="AJ76" s="185">
        <v>1527</v>
      </c>
      <c r="AK76" s="185"/>
      <c r="AL76" s="185"/>
      <c r="AM76" s="185">
        <v>1961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2449</v>
      </c>
      <c r="AZ76" s="185"/>
      <c r="BA76" s="185">
        <v>300</v>
      </c>
      <c r="BB76" s="185">
        <v>334</v>
      </c>
      <c r="BC76" s="185"/>
      <c r="BD76" s="185">
        <v>164</v>
      </c>
      <c r="BE76" s="185">
        <v>1482</v>
      </c>
      <c r="BF76" s="185">
        <v>556</v>
      </c>
      <c r="BG76" s="185"/>
      <c r="BH76" s="185"/>
      <c r="BI76" s="185">
        <v>10715</v>
      </c>
      <c r="BJ76" s="185"/>
      <c r="BK76" s="185"/>
      <c r="BL76" s="185">
        <v>1208</v>
      </c>
      <c r="BM76" s="185"/>
      <c r="BN76" s="185">
        <v>1866</v>
      </c>
      <c r="BO76" s="185"/>
      <c r="BP76" s="185">
        <v>100</v>
      </c>
      <c r="BQ76" s="185"/>
      <c r="BR76" s="185">
        <v>132</v>
      </c>
      <c r="BS76" s="185"/>
      <c r="BT76" s="185"/>
      <c r="BU76" s="185"/>
      <c r="BV76" s="185">
        <v>515</v>
      </c>
      <c r="BW76" s="185"/>
      <c r="BX76" s="185">
        <v>150</v>
      </c>
      <c r="BY76" s="185">
        <v>328</v>
      </c>
      <c r="BZ76" s="185"/>
      <c r="CA76" s="185"/>
      <c r="CB76" s="185"/>
      <c r="CC76" s="185">
        <v>89</v>
      </c>
      <c r="CD76" s="304" t="s">
        <v>221</v>
      </c>
      <c r="CE76" s="294">
        <f t="shared" si="8"/>
        <v>68330</v>
      </c>
      <c r="CF76" s="294">
        <f>BE59-CE76</f>
        <v>0</v>
      </c>
    </row>
    <row r="77" spans="1:84" ht="12.65" customHeight="1" x14ac:dyDescent="0.35">
      <c r="A77" s="301" t="s">
        <v>249</v>
      </c>
      <c r="B77" s="294"/>
      <c r="C77" s="299"/>
      <c r="D77" s="299"/>
      <c r="E77" s="299"/>
      <c r="F77" s="299"/>
      <c r="G77" s="299"/>
      <c r="H77" s="299">
        <v>50769</v>
      </c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/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50769</v>
      </c>
      <c r="CF77" s="294">
        <f>AY59-CE77</f>
        <v>0</v>
      </c>
    </row>
    <row r="78" spans="1:84" ht="12.65" customHeight="1" x14ac:dyDescent="0.35">
      <c r="A78" s="301" t="s">
        <v>250</v>
      </c>
      <c r="B78" s="294"/>
      <c r="C78" s="299"/>
      <c r="D78" s="299"/>
      <c r="E78" s="299"/>
      <c r="F78" s="299"/>
      <c r="G78" s="299"/>
      <c r="H78" s="299">
        <v>7566</v>
      </c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304" t="s">
        <v>221</v>
      </c>
      <c r="AY78" s="304" t="s">
        <v>221</v>
      </c>
      <c r="AZ78" s="304" t="s">
        <v>221</v>
      </c>
      <c r="BA78" s="299"/>
      <c r="BB78" s="299"/>
      <c r="BC78" s="299"/>
      <c r="BD78" s="304" t="s">
        <v>221</v>
      </c>
      <c r="BE78" s="304" t="s">
        <v>221</v>
      </c>
      <c r="BF78" s="304" t="s">
        <v>221</v>
      </c>
      <c r="BG78" s="304" t="s">
        <v>221</v>
      </c>
      <c r="BH78" s="299"/>
      <c r="BI78" s="299"/>
      <c r="BJ78" s="304" t="s">
        <v>221</v>
      </c>
      <c r="BK78" s="299"/>
      <c r="BL78" s="299"/>
      <c r="BM78" s="299"/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/>
      <c r="BT78" s="299"/>
      <c r="BU78" s="299"/>
      <c r="BV78" s="299"/>
      <c r="BW78" s="299"/>
      <c r="BX78" s="299"/>
      <c r="BY78" s="299"/>
      <c r="BZ78" s="299"/>
      <c r="CA78" s="299"/>
      <c r="CB78" s="299"/>
      <c r="CC78" s="304" t="s">
        <v>221</v>
      </c>
      <c r="CD78" s="304" t="s">
        <v>221</v>
      </c>
      <c r="CE78" s="294">
        <f t="shared" si="8"/>
        <v>7566</v>
      </c>
      <c r="CF78" s="294"/>
    </row>
    <row r="79" spans="1:84" ht="12.65" customHeight="1" x14ac:dyDescent="0.35">
      <c r="A79" s="301" t="s">
        <v>251</v>
      </c>
      <c r="B79" s="294"/>
      <c r="C79" s="225"/>
      <c r="D79" s="225"/>
      <c r="E79" s="299"/>
      <c r="F79" s="299"/>
      <c r="G79" s="299"/>
      <c r="H79" s="299">
        <v>71084</v>
      </c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71084</v>
      </c>
      <c r="CF79" s="294">
        <f>BA59</f>
        <v>0</v>
      </c>
    </row>
    <row r="80" spans="1:84" ht="12.65" customHeight="1" x14ac:dyDescent="0.35">
      <c r="A80" s="301" t="s">
        <v>252</v>
      </c>
      <c r="B80" s="294"/>
      <c r="C80" s="187"/>
      <c r="D80" s="187"/>
      <c r="E80" s="187"/>
      <c r="F80" s="187"/>
      <c r="G80" s="187"/>
      <c r="H80" s="187">
        <v>65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65</v>
      </c>
      <c r="CF80" s="309"/>
    </row>
    <row r="81" spans="1:84" ht="21" customHeight="1" x14ac:dyDescent="0.35">
      <c r="A81" s="310" t="s">
        <v>253</v>
      </c>
      <c r="B81" s="310"/>
      <c r="C81" s="310"/>
      <c r="D81" s="310"/>
      <c r="E81" s="3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1" t="s">
        <v>254</v>
      </c>
      <c r="B82" s="311"/>
      <c r="C82" s="312" t="s">
        <v>1268</v>
      </c>
      <c r="D82" s="313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4" t="s">
        <v>255</v>
      </c>
      <c r="B83" s="311" t="s">
        <v>256</v>
      </c>
      <c r="C83" s="314" t="s">
        <v>1267</v>
      </c>
      <c r="D83" s="313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4" t="s">
        <v>257</v>
      </c>
      <c r="B84" s="311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4" t="s">
        <v>1250</v>
      </c>
      <c r="B85" s="311"/>
      <c r="C85" s="27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4" t="s">
        <v>1251</v>
      </c>
      <c r="B86" s="311" t="s">
        <v>256</v>
      </c>
      <c r="C86" s="230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4" t="s">
        <v>258</v>
      </c>
      <c r="B87" s="311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4" t="s">
        <v>259</v>
      </c>
      <c r="B88" s="311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4" t="s">
        <v>260</v>
      </c>
      <c r="B89" s="311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4" t="s">
        <v>261</v>
      </c>
      <c r="B90" s="311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4" t="s">
        <v>262</v>
      </c>
      <c r="B91" s="311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4" t="s">
        <v>263</v>
      </c>
      <c r="B92" s="311" t="s">
        <v>256</v>
      </c>
      <c r="C92" s="226" t="s">
        <v>1276</v>
      </c>
      <c r="D92" s="313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4" t="s">
        <v>264</v>
      </c>
      <c r="B93" s="311" t="s">
        <v>256</v>
      </c>
      <c r="C93" s="315" t="s">
        <v>1277</v>
      </c>
      <c r="D93" s="313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0" t="s">
        <v>265</v>
      </c>
      <c r="B95" s="310"/>
      <c r="C95" s="310"/>
      <c r="D95" s="310"/>
      <c r="E95" s="3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4" t="s">
        <v>267</v>
      </c>
      <c r="B97" s="311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4" t="s">
        <v>259</v>
      </c>
      <c r="B98" s="311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4" t="s">
        <v>268</v>
      </c>
      <c r="B99" s="311" t="s">
        <v>256</v>
      </c>
      <c r="C99" s="189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4" t="s">
        <v>270</v>
      </c>
      <c r="B101" s="311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4" t="s">
        <v>132</v>
      </c>
      <c r="B102" s="311" t="s">
        <v>256</v>
      </c>
      <c r="C102" s="222"/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4" t="s">
        <v>272</v>
      </c>
      <c r="B104" s="311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4" t="s">
        <v>273</v>
      </c>
      <c r="B105" s="311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4" t="s">
        <v>274</v>
      </c>
      <c r="B106" s="311" t="s">
        <v>256</v>
      </c>
      <c r="C106" s="189">
        <v>1</v>
      </c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4"/>
      <c r="B107" s="311"/>
      <c r="C107" s="317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0"/>
      <c r="C108" s="310"/>
      <c r="D108" s="310"/>
      <c r="E108" s="3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4"/>
      <c r="B109" s="311"/>
      <c r="C109" s="317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4" t="s">
        <v>278</v>
      </c>
      <c r="B111" s="311" t="s">
        <v>256</v>
      </c>
      <c r="C111" s="189">
        <v>1342</v>
      </c>
      <c r="D111" s="174">
        <v>16586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4" t="s">
        <v>279</v>
      </c>
      <c r="B112" s="311" t="s">
        <v>256</v>
      </c>
      <c r="C112" s="189"/>
      <c r="D112" s="174"/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4" t="s">
        <v>280</v>
      </c>
      <c r="B113" s="311" t="s">
        <v>256</v>
      </c>
      <c r="C113" s="189"/>
      <c r="D113" s="174"/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4" t="s">
        <v>281</v>
      </c>
      <c r="B114" s="311" t="s">
        <v>256</v>
      </c>
      <c r="C114" s="189"/>
      <c r="D114" s="174"/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4" t="s">
        <v>283</v>
      </c>
      <c r="B116" s="311" t="s">
        <v>256</v>
      </c>
      <c r="C116" s="189"/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4" t="s">
        <v>284</v>
      </c>
      <c r="B117" s="311" t="s">
        <v>256</v>
      </c>
      <c r="C117" s="189"/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4" t="s">
        <v>1238</v>
      </c>
      <c r="B118" s="311" t="s">
        <v>256</v>
      </c>
      <c r="C118" s="189"/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4" t="s">
        <v>285</v>
      </c>
      <c r="B119" s="311" t="s">
        <v>256</v>
      </c>
      <c r="C119" s="189"/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4" t="s">
        <v>286</v>
      </c>
      <c r="B120" s="311" t="s">
        <v>256</v>
      </c>
      <c r="C120" s="189"/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4" t="s">
        <v>287</v>
      </c>
      <c r="B121" s="311" t="s">
        <v>256</v>
      </c>
      <c r="C121" s="189"/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4" t="s">
        <v>97</v>
      </c>
      <c r="B122" s="311" t="s">
        <v>256</v>
      </c>
      <c r="C122" s="189">
        <v>77</v>
      </c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4" t="s">
        <v>288</v>
      </c>
      <c r="B123" s="311" t="s">
        <v>256</v>
      </c>
      <c r="C123" s="189"/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4" t="s">
        <v>289</v>
      </c>
      <c r="B124" s="311"/>
      <c r="C124" s="189"/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4" t="s">
        <v>280</v>
      </c>
      <c r="B125" s="311" t="s">
        <v>256</v>
      </c>
      <c r="C125" s="189"/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4" t="s">
        <v>290</v>
      </c>
      <c r="B126" s="311" t="s">
        <v>256</v>
      </c>
      <c r="C126" s="189"/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4" t="s">
        <v>291</v>
      </c>
      <c r="B127" s="294"/>
      <c r="C127" s="302"/>
      <c r="D127" s="294"/>
      <c r="E127" s="294">
        <f>SUM(C116:C126)</f>
        <v>77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4" t="s">
        <v>292</v>
      </c>
      <c r="B128" s="311" t="s">
        <v>256</v>
      </c>
      <c r="C128" s="189">
        <v>108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4" t="s">
        <v>293</v>
      </c>
      <c r="B129" s="311" t="s">
        <v>256</v>
      </c>
      <c r="C129" s="189"/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4" t="s">
        <v>294</v>
      </c>
      <c r="B131" s="311" t="s">
        <v>256</v>
      </c>
      <c r="C131" s="189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0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4" t="s">
        <v>277</v>
      </c>
      <c r="B138" s="174">
        <v>269</v>
      </c>
      <c r="C138" s="189">
        <v>667</v>
      </c>
      <c r="D138" s="174">
        <f>1342-C138-B138</f>
        <v>406</v>
      </c>
      <c r="E138" s="294">
        <f>SUM(B138:D138)</f>
        <v>1342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4" t="s">
        <v>215</v>
      </c>
      <c r="B139" s="174">
        <v>4749</v>
      </c>
      <c r="C139" s="189">
        <v>8035</v>
      </c>
      <c r="D139" s="174">
        <v>3802</v>
      </c>
      <c r="E139" s="294">
        <f>SUM(B139:D139)</f>
        <v>16586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4" t="s">
        <v>298</v>
      </c>
      <c r="B140" s="174">
        <v>80</v>
      </c>
      <c r="C140" s="174">
        <v>0</v>
      </c>
      <c r="D140" s="174">
        <f>750-C140-B140</f>
        <v>670</v>
      </c>
      <c r="E140" s="294">
        <f>SUM(B140:D140)</f>
        <v>750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4" t="s">
        <v>245</v>
      </c>
      <c r="B141" s="174">
        <f>B139*2000</f>
        <v>9498000</v>
      </c>
      <c r="C141" s="189">
        <f>C139*2000</f>
        <v>16070000</v>
      </c>
      <c r="D141" s="174">
        <f>7606000+2574553</f>
        <v>10180553</v>
      </c>
      <c r="E141" s="294">
        <f>SUM(B141:D141)</f>
        <v>35748553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4" t="s">
        <v>246</v>
      </c>
      <c r="B142" s="174">
        <v>40000</v>
      </c>
      <c r="C142" s="189">
        <v>0</v>
      </c>
      <c r="D142" s="174">
        <f>376900-C142-B142</f>
        <v>336900</v>
      </c>
      <c r="E142" s="294">
        <f>SUM(B142:D142)</f>
        <v>376900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4" t="s">
        <v>277</v>
      </c>
      <c r="B144" s="174"/>
      <c r="C144" s="189"/>
      <c r="D144" s="174"/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4" t="s">
        <v>215</v>
      </c>
      <c r="B145" s="174"/>
      <c r="C145" s="189"/>
      <c r="D145" s="174"/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4" t="s">
        <v>298</v>
      </c>
      <c r="B146" s="174"/>
      <c r="C146" s="189"/>
      <c r="D146" s="174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4" t="s">
        <v>245</v>
      </c>
      <c r="B147" s="174"/>
      <c r="C147" s="189"/>
      <c r="D147" s="174"/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4" t="s">
        <v>246</v>
      </c>
      <c r="B148" s="174"/>
      <c r="C148" s="189"/>
      <c r="D148" s="174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4" t="s">
        <v>277</v>
      </c>
      <c r="B150" s="174"/>
      <c r="C150" s="189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4" t="s">
        <v>215</v>
      </c>
      <c r="B151" s="174"/>
      <c r="C151" s="189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4" t="s">
        <v>298</v>
      </c>
      <c r="B152" s="174"/>
      <c r="C152" s="189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4" t="s">
        <v>245</v>
      </c>
      <c r="B153" s="174"/>
      <c r="C153" s="189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4" t="s">
        <v>246</v>
      </c>
      <c r="B154" s="174"/>
      <c r="C154" s="189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0"/>
      <c r="B155" s="300"/>
      <c r="C155" s="323"/>
      <c r="D155" s="324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0" t="s">
        <v>304</v>
      </c>
      <c r="B157" s="174">
        <v>2574553</v>
      </c>
      <c r="C157" s="174"/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0"/>
      <c r="B158" s="324"/>
      <c r="C158" s="323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0"/>
      <c r="B159" s="300"/>
      <c r="C159" s="323"/>
      <c r="D159" s="324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0"/>
      <c r="B160" s="300"/>
      <c r="C160" s="323"/>
      <c r="D160" s="324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0"/>
      <c r="B161" s="300"/>
      <c r="C161" s="323"/>
      <c r="D161" s="324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0"/>
      <c r="B162" s="300"/>
      <c r="C162" s="323"/>
      <c r="D162" s="324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0"/>
      <c r="C163" s="310"/>
      <c r="D163" s="310"/>
      <c r="E163" s="3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4" t="s">
        <v>307</v>
      </c>
      <c r="B165" s="311" t="s">
        <v>256</v>
      </c>
      <c r="C165" s="189">
        <v>674434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4" t="s">
        <v>308</v>
      </c>
      <c r="B166" s="311" t="s">
        <v>256</v>
      </c>
      <c r="C166" s="189">
        <v>99669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0" t="s">
        <v>309</v>
      </c>
      <c r="B167" s="311" t="s">
        <v>256</v>
      </c>
      <c r="C167" s="189">
        <v>57351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4" t="s">
        <v>310</v>
      </c>
      <c r="B168" s="311" t="s">
        <v>256</v>
      </c>
      <c r="C168" s="189">
        <f>718490+1533+4377</f>
        <v>724400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4" t="s">
        <v>311</v>
      </c>
      <c r="B169" s="311" t="s">
        <v>256</v>
      </c>
      <c r="C169" s="189">
        <v>42789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4" t="s">
        <v>312</v>
      </c>
      <c r="B170" s="311" t="s">
        <v>256</v>
      </c>
      <c r="C170" s="189">
        <v>32792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4" t="s">
        <v>313</v>
      </c>
      <c r="B171" s="311" t="s">
        <v>256</v>
      </c>
      <c r="C171" s="189">
        <f>13885+24046-10029</f>
        <v>27902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4" t="s">
        <v>313</v>
      </c>
      <c r="B172" s="311" t="s">
        <v>256</v>
      </c>
      <c r="C172" s="189">
        <v>0</v>
      </c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4" t="s">
        <v>203</v>
      </c>
      <c r="B173" s="294"/>
      <c r="C173" s="302"/>
      <c r="D173" s="294">
        <f>SUM(C165:C172)</f>
        <v>1659337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4" t="s">
        <v>315</v>
      </c>
      <c r="B175" s="311" t="s">
        <v>256</v>
      </c>
      <c r="C175" s="189">
        <v>1361885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4" t="s">
        <v>316</v>
      </c>
      <c r="B176" s="311" t="s">
        <v>256</v>
      </c>
      <c r="C176" s="189"/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4" t="s">
        <v>203</v>
      </c>
      <c r="B177" s="294"/>
      <c r="C177" s="302"/>
      <c r="D177" s="294">
        <f>SUM(C175:C176)</f>
        <v>1361885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4" t="s">
        <v>318</v>
      </c>
      <c r="B179" s="311" t="s">
        <v>256</v>
      </c>
      <c r="C179" s="189">
        <v>130525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4" t="s">
        <v>319</v>
      </c>
      <c r="B180" s="311" t="s">
        <v>256</v>
      </c>
      <c r="C180" s="189">
        <v>22870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4" t="s">
        <v>203</v>
      </c>
      <c r="B181" s="294"/>
      <c r="C181" s="302"/>
      <c r="D181" s="294">
        <f>SUM(C179:C180)</f>
        <v>153395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4" t="s">
        <v>321</v>
      </c>
      <c r="B183" s="311" t="s">
        <v>256</v>
      </c>
      <c r="C183" s="189">
        <f>281215-265178</f>
        <v>16037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4" t="s">
        <v>322</v>
      </c>
      <c r="B184" s="311" t="s">
        <v>256</v>
      </c>
      <c r="C184" s="189">
        <f>157792+265178</f>
        <v>422970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4" t="s">
        <v>132</v>
      </c>
      <c r="B185" s="311" t="s">
        <v>256</v>
      </c>
      <c r="C185" s="189">
        <v>0</v>
      </c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4" t="s">
        <v>203</v>
      </c>
      <c r="B186" s="294"/>
      <c r="C186" s="302"/>
      <c r="D186" s="294">
        <f>SUM(C183:C185)</f>
        <v>439007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4" t="s">
        <v>324</v>
      </c>
      <c r="B188" s="311" t="s">
        <v>256</v>
      </c>
      <c r="C188" s="189">
        <v>0</v>
      </c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4" t="s">
        <v>325</v>
      </c>
      <c r="B189" s="311" t="s">
        <v>256</v>
      </c>
      <c r="C189" s="189">
        <v>0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4" t="s">
        <v>203</v>
      </c>
      <c r="B190" s="294"/>
      <c r="C190" s="302"/>
      <c r="D190" s="294">
        <f>SUM(C188:C189)</f>
        <v>0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0" t="s">
        <v>326</v>
      </c>
      <c r="B192" s="310"/>
      <c r="C192" s="310"/>
      <c r="D192" s="310"/>
      <c r="E192" s="3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0"/>
      <c r="C193" s="310"/>
      <c r="D193" s="310"/>
      <c r="E193" s="3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4" t="s">
        <v>332</v>
      </c>
      <c r="B195" s="174"/>
      <c r="C195" s="189"/>
      <c r="D195" s="174"/>
      <c r="E195" s="294">
        <f t="shared" ref="E195:E203" si="10">SUM(B195:C195)-D195</f>
        <v>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4" t="s">
        <v>333</v>
      </c>
      <c r="B196" s="174"/>
      <c r="C196" s="189"/>
      <c r="D196" s="174"/>
      <c r="E196" s="294">
        <f t="shared" si="10"/>
        <v>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4" t="s">
        <v>334</v>
      </c>
      <c r="B197" s="174">
        <v>28524518</v>
      </c>
      <c r="C197" s="189">
        <v>136226</v>
      </c>
      <c r="D197" s="174"/>
      <c r="E197" s="294">
        <f t="shared" si="10"/>
        <v>28660744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4" t="s">
        <v>335</v>
      </c>
      <c r="B198" s="174">
        <v>98994</v>
      </c>
      <c r="C198" s="189">
        <v>0</v>
      </c>
      <c r="D198" s="174"/>
      <c r="E198" s="294">
        <f t="shared" si="10"/>
        <v>98994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4" t="s">
        <v>336</v>
      </c>
      <c r="B199" s="174"/>
      <c r="C199" s="189"/>
      <c r="D199" s="174"/>
      <c r="E199" s="294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4" t="s">
        <v>337</v>
      </c>
      <c r="B200" s="174">
        <f>867978+93142</f>
        <v>961120</v>
      </c>
      <c r="C200" s="189">
        <f>35966+38909+322871.4</f>
        <v>397746.4</v>
      </c>
      <c r="D200" s="174"/>
      <c r="E200" s="294">
        <f t="shared" si="10"/>
        <v>1358866.4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4" t="s">
        <v>338</v>
      </c>
      <c r="B201" s="174"/>
      <c r="C201" s="189"/>
      <c r="D201" s="174"/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4" t="s">
        <v>339</v>
      </c>
      <c r="B202" s="174"/>
      <c r="C202" s="189"/>
      <c r="D202" s="174"/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4" t="s">
        <v>340</v>
      </c>
      <c r="B203" s="174"/>
      <c r="C203" s="189"/>
      <c r="D203" s="174"/>
      <c r="E203" s="294">
        <f t="shared" si="10"/>
        <v>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4" t="s">
        <v>203</v>
      </c>
      <c r="B204" s="294">
        <f>SUM(B195:B203)</f>
        <v>29584632</v>
      </c>
      <c r="C204" s="302">
        <f>SUM(C195:C203)</f>
        <v>533972.4</v>
      </c>
      <c r="D204" s="294">
        <f>SUM(D195:D203)</f>
        <v>0</v>
      </c>
      <c r="E204" s="294">
        <f>SUM(E195:E203)</f>
        <v>30118604.399999999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4" t="s">
        <v>332</v>
      </c>
      <c r="B208" s="324"/>
      <c r="C208" s="323"/>
      <c r="D208" s="324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4" t="s">
        <v>333</v>
      </c>
      <c r="B209" s="174"/>
      <c r="C209" s="189"/>
      <c r="D209" s="174"/>
      <c r="E209" s="294">
        <f t="shared" ref="E209:E216" si="11">SUM(B209:C209)-D209</f>
        <v>0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4" t="s">
        <v>334</v>
      </c>
      <c r="B210" s="174">
        <v>364493</v>
      </c>
      <c r="C210" s="189">
        <v>734367</v>
      </c>
      <c r="D210" s="174"/>
      <c r="E210" s="294">
        <f t="shared" si="11"/>
        <v>1098860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4" t="s">
        <v>335</v>
      </c>
      <c r="B211" s="174">
        <v>3300</v>
      </c>
      <c r="C211" s="189">
        <v>6600</v>
      </c>
      <c r="D211" s="174"/>
      <c r="E211" s="294">
        <f t="shared" si="11"/>
        <v>9900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4" t="s">
        <v>336</v>
      </c>
      <c r="B212" s="174"/>
      <c r="C212" s="189"/>
      <c r="D212" s="174"/>
      <c r="E212" s="294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4" t="s">
        <v>337</v>
      </c>
      <c r="B213" s="174">
        <f>55785+13290</f>
        <v>69075</v>
      </c>
      <c r="C213" s="189">
        <f>116194+35504+48430</f>
        <v>200128</v>
      </c>
      <c r="D213" s="174"/>
      <c r="E213" s="294">
        <f t="shared" si="11"/>
        <v>269203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4" t="s">
        <v>338</v>
      </c>
      <c r="B214" s="174"/>
      <c r="C214" s="189"/>
      <c r="D214" s="174"/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4" t="s">
        <v>339</v>
      </c>
      <c r="B215" s="174"/>
      <c r="C215" s="189"/>
      <c r="D215" s="174"/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4" t="s">
        <v>340</v>
      </c>
      <c r="B216" s="174"/>
      <c r="C216" s="189"/>
      <c r="D216" s="174"/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4" t="s">
        <v>203</v>
      </c>
      <c r="B217" s="294">
        <f>SUM(B208:B216)</f>
        <v>436868</v>
      </c>
      <c r="C217" s="302">
        <f>SUM(C208:C216)</f>
        <v>941095</v>
      </c>
      <c r="D217" s="294">
        <f>SUM(D208:D216)</f>
        <v>0</v>
      </c>
      <c r="E217" s="294">
        <f>SUM(E208:E216)</f>
        <v>1377963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0" t="s">
        <v>342</v>
      </c>
      <c r="B219" s="310"/>
      <c r="C219" s="310"/>
      <c r="D219" s="310"/>
      <c r="E219" s="3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0"/>
      <c r="B220" s="343" t="s">
        <v>1254</v>
      </c>
      <c r="C220" s="343"/>
      <c r="D220" s="310"/>
      <c r="E220" s="3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0"/>
      <c r="C221" s="189">
        <f>140165+14700</f>
        <v>154865</v>
      </c>
      <c r="D221" s="311">
        <f>C221</f>
        <v>154865</v>
      </c>
      <c r="E221" s="3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4" t="s">
        <v>344</v>
      </c>
      <c r="B223" s="311" t="s">
        <v>256</v>
      </c>
      <c r="C223" s="189">
        <f>-71646+3976115-203855-1035+271115+1019115+22975+150-2649</f>
        <v>5010285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4" t="s">
        <v>345</v>
      </c>
      <c r="B224" s="311" t="s">
        <v>256</v>
      </c>
      <c r="C224" s="189">
        <f>19673+621683-538962+52159+86179+8133218-1090</f>
        <v>8372860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4" t="s">
        <v>346</v>
      </c>
      <c r="B225" s="311" t="s">
        <v>256</v>
      </c>
      <c r="C225" s="189">
        <v>0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4" t="s">
        <v>347</v>
      </c>
      <c r="B226" s="311" t="s">
        <v>256</v>
      </c>
      <c r="C226" s="189">
        <f>964594+46749</f>
        <v>1011343</v>
      </c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4" t="s">
        <v>348</v>
      </c>
      <c r="B227" s="311" t="s">
        <v>256</v>
      </c>
      <c r="C227" s="189">
        <f>1053153+185169+1201833+16627+40859-1942+46393</f>
        <v>2542092</v>
      </c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4" t="s">
        <v>349</v>
      </c>
      <c r="B228" s="311" t="s">
        <v>256</v>
      </c>
      <c r="C228" s="189">
        <f>21283+1500+403+2064623</f>
        <v>2087809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4" t="s">
        <v>350</v>
      </c>
      <c r="B229" s="294"/>
      <c r="C229" s="302"/>
      <c r="D229" s="294">
        <f>SUM(C223:C228)</f>
        <v>19024389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1" t="s">
        <v>352</v>
      </c>
      <c r="B231" s="311" t="s">
        <v>256</v>
      </c>
      <c r="C231" s="189">
        <v>17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1"/>
      <c r="B232" s="311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1" t="s">
        <v>353</v>
      </c>
      <c r="B233" s="311" t="s">
        <v>256</v>
      </c>
      <c r="C233" s="189">
        <v>97060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1" t="s">
        <v>354</v>
      </c>
      <c r="B234" s="311" t="s">
        <v>256</v>
      </c>
      <c r="C234" s="189">
        <v>1205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1" t="s">
        <v>355</v>
      </c>
      <c r="B236" s="294"/>
      <c r="C236" s="302"/>
      <c r="D236" s="294">
        <f>SUM(C233:C235)</f>
        <v>98265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4" t="s">
        <v>357</v>
      </c>
      <c r="B238" s="311" t="s">
        <v>256</v>
      </c>
      <c r="C238" s="189">
        <f>-1137185-13846+1</f>
        <v>-1151030</v>
      </c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4" t="s">
        <v>356</v>
      </c>
      <c r="B239" s="311" t="s">
        <v>256</v>
      </c>
      <c r="C239" s="189">
        <f>719074+23375</f>
        <v>742449</v>
      </c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4" t="s">
        <v>358</v>
      </c>
      <c r="B240" s="294"/>
      <c r="C240" s="302"/>
      <c r="D240" s="294">
        <f>SUM(C238:C239)</f>
        <v>-408581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4" t="s">
        <v>359</v>
      </c>
      <c r="B242" s="294"/>
      <c r="C242" s="302"/>
      <c r="D242" s="294">
        <f>D221+D229+D236+D240</f>
        <v>18868938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0" t="s">
        <v>360</v>
      </c>
      <c r="B248" s="310"/>
      <c r="C248" s="310"/>
      <c r="D248" s="310"/>
      <c r="E248" s="3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4" t="s">
        <v>362</v>
      </c>
      <c r="B250" s="311" t="s">
        <v>256</v>
      </c>
      <c r="C250" s="189">
        <v>311402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4" t="s">
        <v>363</v>
      </c>
      <c r="B251" s="311" t="s">
        <v>256</v>
      </c>
      <c r="C251" s="189"/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4" t="s">
        <v>364</v>
      </c>
      <c r="B252" s="311" t="s">
        <v>256</v>
      </c>
      <c r="C252" s="189">
        <f>5664002-1446596</f>
        <v>4217406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4" t="s">
        <v>365</v>
      </c>
      <c r="B253" s="311" t="s">
        <v>256</v>
      </c>
      <c r="C253" s="189">
        <f>151802+682690</f>
        <v>834492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4" t="s">
        <v>1240</v>
      </c>
      <c r="B254" s="311" t="s">
        <v>256</v>
      </c>
      <c r="C254" s="189"/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4" t="s">
        <v>366</v>
      </c>
      <c r="B255" s="311" t="s">
        <v>256</v>
      </c>
      <c r="C255" s="189">
        <v>4175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4" t="s">
        <v>367</v>
      </c>
      <c r="B256" s="311" t="s">
        <v>256</v>
      </c>
      <c r="C256" s="18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4" t="s">
        <v>368</v>
      </c>
      <c r="B257" s="311" t="s">
        <v>256</v>
      </c>
      <c r="C257" s="189">
        <v>96622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4" t="s">
        <v>369</v>
      </c>
      <c r="B258" s="311" t="s">
        <v>256</v>
      </c>
      <c r="C258" s="189">
        <f>358656+216852</f>
        <v>575508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4" t="s">
        <v>370</v>
      </c>
      <c r="B259" s="311" t="s">
        <v>256</v>
      </c>
      <c r="C259" s="189"/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4" t="s">
        <v>371</v>
      </c>
      <c r="B260" s="294"/>
      <c r="C260" s="302"/>
      <c r="D260" s="294">
        <f>SUM(C250:C252)-C253+SUM(C254:C259)</f>
        <v>4370621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4" t="s">
        <v>362</v>
      </c>
      <c r="B262" s="311" t="s">
        <v>256</v>
      </c>
      <c r="C262" s="189"/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4" t="s">
        <v>363</v>
      </c>
      <c r="B263" s="311" t="s">
        <v>256</v>
      </c>
      <c r="C263" s="189"/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4" t="s">
        <v>373</v>
      </c>
      <c r="B264" s="311" t="s">
        <v>256</v>
      </c>
      <c r="C264" s="189"/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4" t="s">
        <v>374</v>
      </c>
      <c r="B265" s="294"/>
      <c r="C265" s="302"/>
      <c r="D265" s="294">
        <f>SUM(C262:C264)</f>
        <v>0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4" t="s">
        <v>332</v>
      </c>
      <c r="B267" s="311" t="s">
        <v>256</v>
      </c>
      <c r="C267" s="189"/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4" t="s">
        <v>333</v>
      </c>
      <c r="B268" s="311" t="s">
        <v>256</v>
      </c>
      <c r="C268" s="189"/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4" t="s">
        <v>334</v>
      </c>
      <c r="B269" s="311" t="s">
        <v>256</v>
      </c>
      <c r="C269" s="189">
        <v>28660744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4" t="s">
        <v>376</v>
      </c>
      <c r="B270" s="311" t="s">
        <v>256</v>
      </c>
      <c r="C270" s="189">
        <v>98994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4" t="s">
        <v>377</v>
      </c>
      <c r="B271" s="311" t="s">
        <v>256</v>
      </c>
      <c r="C271" s="189"/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4" t="s">
        <v>378</v>
      </c>
      <c r="B272" s="311" t="s">
        <v>256</v>
      </c>
      <c r="C272" s="189">
        <f>1035995+322871.4</f>
        <v>1358866.4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4" t="s">
        <v>339</v>
      </c>
      <c r="B273" s="311" t="s">
        <v>256</v>
      </c>
      <c r="C273" s="189"/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4" t="s">
        <v>340</v>
      </c>
      <c r="B274" s="311" t="s">
        <v>256</v>
      </c>
      <c r="C274" s="189"/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4" t="s">
        <v>379</v>
      </c>
      <c r="B275" s="294"/>
      <c r="C275" s="302"/>
      <c r="D275" s="294">
        <f>SUM(C267:C274)</f>
        <v>30118604.399999999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4" t="s">
        <v>380</v>
      </c>
      <c r="B276" s="311" t="s">
        <v>256</v>
      </c>
      <c r="C276" s="189">
        <f>1329532+48430.7</f>
        <v>1377962.7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4" t="s">
        <v>381</v>
      </c>
      <c r="B277" s="294"/>
      <c r="C277" s="302"/>
      <c r="D277" s="294">
        <f>D275-C276</f>
        <v>28740641.699999999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4" t="s">
        <v>383</v>
      </c>
      <c r="B279" s="311" t="s">
        <v>256</v>
      </c>
      <c r="C279" s="189"/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4" t="s">
        <v>384</v>
      </c>
      <c r="B280" s="311" t="s">
        <v>256</v>
      </c>
      <c r="C280" s="189"/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4" t="s">
        <v>385</v>
      </c>
      <c r="B281" s="311" t="s">
        <v>256</v>
      </c>
      <c r="C281" s="189"/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4" t="s">
        <v>373</v>
      </c>
      <c r="B282" s="311" t="s">
        <v>256</v>
      </c>
      <c r="C282" s="189">
        <f>322871.4-48430.71-274440.7</f>
        <v>-1.0000000009313226E-2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4" t="s">
        <v>386</v>
      </c>
      <c r="B283" s="294"/>
      <c r="C283" s="302"/>
      <c r="D283" s="294">
        <f>C279-C280+C281+C282</f>
        <v>-1.0000000009313226E-2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4" t="s">
        <v>388</v>
      </c>
      <c r="B286" s="311" t="s">
        <v>256</v>
      </c>
      <c r="C286" s="189"/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4" t="s">
        <v>389</v>
      </c>
      <c r="B287" s="311" t="s">
        <v>256</v>
      </c>
      <c r="C287" s="189"/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4" t="s">
        <v>390</v>
      </c>
      <c r="B288" s="311" t="s">
        <v>256</v>
      </c>
      <c r="C288" s="189"/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4" t="s">
        <v>391</v>
      </c>
      <c r="B289" s="311" t="s">
        <v>256</v>
      </c>
      <c r="C289" s="189"/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4" t="s">
        <v>392</v>
      </c>
      <c r="B290" s="294"/>
      <c r="C290" s="302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4" t="s">
        <v>393</v>
      </c>
      <c r="B292" s="294"/>
      <c r="C292" s="302"/>
      <c r="D292" s="294">
        <f>D260+D265+D277+D283+D290</f>
        <v>33111262.689999998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0" t="s">
        <v>394</v>
      </c>
      <c r="B302" s="310"/>
      <c r="C302" s="310"/>
      <c r="D302" s="310"/>
      <c r="E302" s="3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4" t="s">
        <v>396</v>
      </c>
      <c r="B304" s="311" t="s">
        <v>256</v>
      </c>
      <c r="C304" s="189"/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4" t="s">
        <v>397</v>
      </c>
      <c r="B305" s="311" t="s">
        <v>256</v>
      </c>
      <c r="C305" s="189">
        <v>39112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4" t="s">
        <v>398</v>
      </c>
      <c r="B306" s="311" t="s">
        <v>256</v>
      </c>
      <c r="C306" s="189">
        <v>512846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4" t="s">
        <v>399</v>
      </c>
      <c r="B307" s="311" t="s">
        <v>256</v>
      </c>
      <c r="C307" s="189">
        <v>1196137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4" t="s">
        <v>400</v>
      </c>
      <c r="B308" s="311" t="s">
        <v>256</v>
      </c>
      <c r="C308" s="189"/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4" t="s">
        <v>1241</v>
      </c>
      <c r="B309" s="311" t="s">
        <v>256</v>
      </c>
      <c r="C309" s="189"/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4" t="s">
        <v>401</v>
      </c>
      <c r="B310" s="311" t="s">
        <v>256</v>
      </c>
      <c r="C310" s="189"/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4" t="s">
        <v>402</v>
      </c>
      <c r="B311" s="311" t="s">
        <v>256</v>
      </c>
      <c r="C311" s="189"/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4" t="s">
        <v>403</v>
      </c>
      <c r="B312" s="311" t="s">
        <v>256</v>
      </c>
      <c r="C312" s="189"/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4" t="s">
        <v>404</v>
      </c>
      <c r="B313" s="311" t="s">
        <v>256</v>
      </c>
      <c r="C313" s="189"/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4" t="s">
        <v>405</v>
      </c>
      <c r="B314" s="294"/>
      <c r="C314" s="302"/>
      <c r="D314" s="294">
        <f>SUM(C304:C313)</f>
        <v>1748095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4" t="s">
        <v>407</v>
      </c>
      <c r="B316" s="311" t="s">
        <v>256</v>
      </c>
      <c r="C316" s="189"/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4" t="s">
        <v>408</v>
      </c>
      <c r="B317" s="311" t="s">
        <v>256</v>
      </c>
      <c r="C317" s="189"/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4" t="s">
        <v>409</v>
      </c>
      <c r="B318" s="311" t="s">
        <v>256</v>
      </c>
      <c r="C318" s="189"/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4" t="s">
        <v>410</v>
      </c>
      <c r="B319" s="294"/>
      <c r="C319" s="302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4" t="s">
        <v>412</v>
      </c>
      <c r="B321" s="311" t="s">
        <v>256</v>
      </c>
      <c r="C321" s="189"/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4" t="s">
        <v>413</v>
      </c>
      <c r="B322" s="311" t="s">
        <v>256</v>
      </c>
      <c r="C322" s="189"/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4" t="s">
        <v>414</v>
      </c>
      <c r="B323" s="311" t="s">
        <v>256</v>
      </c>
      <c r="C323" s="189"/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1" t="s">
        <v>415</v>
      </c>
      <c r="B324" s="311" t="s">
        <v>256</v>
      </c>
      <c r="C324" s="189">
        <v>274441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4" t="s">
        <v>416</v>
      </c>
      <c r="B325" s="311" t="s">
        <v>256</v>
      </c>
      <c r="C325" s="189"/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1" t="s">
        <v>417</v>
      </c>
      <c r="B326" s="311" t="s">
        <v>256</v>
      </c>
      <c r="C326" s="189"/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4" t="s">
        <v>418</v>
      </c>
      <c r="B327" s="311" t="s">
        <v>256</v>
      </c>
      <c r="C327" s="189">
        <v>243372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4" t="s">
        <v>203</v>
      </c>
      <c r="B328" s="294"/>
      <c r="C328" s="302"/>
      <c r="D328" s="294">
        <f>SUM(C321:C327)</f>
        <v>517813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4" t="s">
        <v>419</v>
      </c>
      <c r="B329" s="294"/>
      <c r="C329" s="302"/>
      <c r="D329" s="294">
        <f>C313</f>
        <v>0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4" t="s">
        <v>420</v>
      </c>
      <c r="B330" s="294"/>
      <c r="C330" s="302"/>
      <c r="D330" s="294">
        <f>D328-D329</f>
        <v>517813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4" t="s">
        <v>421</v>
      </c>
      <c r="B332" s="311" t="s">
        <v>256</v>
      </c>
      <c r="C332" s="222"/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4"/>
      <c r="B333" s="311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4" t="s">
        <v>1142</v>
      </c>
      <c r="B334" s="311" t="s">
        <v>256</v>
      </c>
      <c r="C334" s="222"/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4" t="s">
        <v>1143</v>
      </c>
      <c r="B335" s="311" t="s">
        <v>256</v>
      </c>
      <c r="C335" s="222"/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4" t="s">
        <v>423</v>
      </c>
      <c r="B336" s="311" t="s">
        <v>256</v>
      </c>
      <c r="C336" s="222">
        <f>43565732-11027825</f>
        <v>32537907</v>
      </c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4" t="s">
        <v>422</v>
      </c>
      <c r="B337" s="311" t="s">
        <v>256</v>
      </c>
      <c r="C337" s="189">
        <v>-1692552</v>
      </c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4" t="s">
        <v>1252</v>
      </c>
      <c r="B338" s="311" t="s">
        <v>256</v>
      </c>
      <c r="C338" s="189"/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4" t="s">
        <v>424</v>
      </c>
      <c r="B339" s="294"/>
      <c r="C339" s="302"/>
      <c r="D339" s="294">
        <f>D314+D319+D330+C332+C336+C337</f>
        <v>33111263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4" t="s">
        <v>425</v>
      </c>
      <c r="B341" s="294"/>
      <c r="C341" s="302"/>
      <c r="D341" s="294">
        <f>D292</f>
        <v>33111262.689999998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0" t="s">
        <v>426</v>
      </c>
      <c r="B357" s="310"/>
      <c r="C357" s="310"/>
      <c r="D357" s="310"/>
      <c r="E357" s="3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4" t="s">
        <v>428</v>
      </c>
      <c r="B359" s="311" t="s">
        <v>256</v>
      </c>
      <c r="C359" s="189">
        <f>33174000+2574553</f>
        <v>35748553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4" t="s">
        <v>429</v>
      </c>
      <c r="B360" s="311" t="s">
        <v>256</v>
      </c>
      <c r="C360" s="189">
        <v>376900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4" t="s">
        <v>430</v>
      </c>
      <c r="B361" s="294"/>
      <c r="C361" s="302"/>
      <c r="D361" s="294">
        <f>SUM(C359:C360)</f>
        <v>36125453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4" t="s">
        <v>1254</v>
      </c>
      <c r="B363" s="316"/>
      <c r="C363" s="189">
        <f>140165+14700</f>
        <v>154865</v>
      </c>
      <c r="D363" s="294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4" t="s">
        <v>432</v>
      </c>
      <c r="B364" s="311" t="s">
        <v>256</v>
      </c>
      <c r="C364" s="189">
        <f>16806419+2064623+152944+403</f>
        <v>19024389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4" t="s">
        <v>433</v>
      </c>
      <c r="B365" s="311" t="s">
        <v>256</v>
      </c>
      <c r="C365" s="189">
        <f>97060+1205</f>
        <v>98265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4" t="s">
        <v>434</v>
      </c>
      <c r="B366" s="311" t="s">
        <v>256</v>
      </c>
      <c r="C366" s="189">
        <f>-1137185-13846+719074+23375+1</f>
        <v>-408581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4" t="s">
        <v>359</v>
      </c>
      <c r="B367" s="294"/>
      <c r="C367" s="302"/>
      <c r="D367" s="294">
        <f>SUM(C363:C366)</f>
        <v>18868938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4" t="s">
        <v>435</v>
      </c>
      <c r="B368" s="294"/>
      <c r="C368" s="302"/>
      <c r="D368" s="294">
        <f>D361-D367</f>
        <v>17256515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4" t="s">
        <v>437</v>
      </c>
      <c r="B370" s="311" t="s">
        <v>256</v>
      </c>
      <c r="C370" s="189">
        <v>15894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4" t="s">
        <v>438</v>
      </c>
      <c r="B371" s="311" t="s">
        <v>256</v>
      </c>
      <c r="C371" s="189"/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4" t="s">
        <v>439</v>
      </c>
      <c r="B372" s="294"/>
      <c r="C372" s="302"/>
      <c r="D372" s="294">
        <f>SUM(C370:C371)</f>
        <v>15894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4" t="s">
        <v>440</v>
      </c>
      <c r="B373" s="294"/>
      <c r="C373" s="302"/>
      <c r="D373" s="294">
        <f>D368+D372</f>
        <v>17272409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4" t="s">
        <v>442</v>
      </c>
      <c r="B378" s="311" t="s">
        <v>256</v>
      </c>
      <c r="C378" s="189">
        <f>9182567+189682</f>
        <v>9372249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4" t="s">
        <v>3</v>
      </c>
      <c r="B379" s="311" t="s">
        <v>256</v>
      </c>
      <c r="C379" s="189">
        <v>1659337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4" t="s">
        <v>236</v>
      </c>
      <c r="B380" s="311" t="s">
        <v>256</v>
      </c>
      <c r="C380" s="189">
        <f>1819816+45376</f>
        <v>1865192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4" t="s">
        <v>443</v>
      </c>
      <c r="B381" s="311" t="s">
        <v>256</v>
      </c>
      <c r="C381" s="189">
        <f>566484+54341</f>
        <v>620825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4" t="s">
        <v>444</v>
      </c>
      <c r="B382" s="311" t="s">
        <v>256</v>
      </c>
      <c r="C382" s="189">
        <v>271122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4" t="s">
        <v>445</v>
      </c>
      <c r="B383" s="311" t="s">
        <v>256</v>
      </c>
      <c r="C383" s="189">
        <f>1159778+640670</f>
        <v>1800448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4" t="s">
        <v>6</v>
      </c>
      <c r="B384" s="311" t="s">
        <v>256</v>
      </c>
      <c r="C384" s="189">
        <v>941095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4" t="s">
        <v>446</v>
      </c>
      <c r="B385" s="311" t="s">
        <v>256</v>
      </c>
      <c r="C385" s="189">
        <v>1361885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4" t="s">
        <v>447</v>
      </c>
      <c r="B386" s="311" t="s">
        <v>256</v>
      </c>
      <c r="C386" s="189">
        <v>153395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4" t="s">
        <v>448</v>
      </c>
      <c r="B387" s="311" t="s">
        <v>256</v>
      </c>
      <c r="C387" s="189">
        <v>439007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4" t="s">
        <v>449</v>
      </c>
      <c r="B388" s="311" t="s">
        <v>256</v>
      </c>
      <c r="C388" s="189">
        <v>0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4" t="s">
        <v>451</v>
      </c>
      <c r="B389" s="311" t="s">
        <v>256</v>
      </c>
      <c r="C389" s="189">
        <f>480405+0.25</f>
        <v>480405.25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4" t="s">
        <v>452</v>
      </c>
      <c r="B390" s="294"/>
      <c r="C390" s="302"/>
      <c r="D390" s="294">
        <f>SUM(C378:C389)</f>
        <v>18964960.25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4" t="s">
        <v>453</v>
      </c>
      <c r="B391" s="294"/>
      <c r="C391" s="302"/>
      <c r="D391" s="294">
        <f>D373-D390</f>
        <v>-1692551.25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4" t="s">
        <v>454</v>
      </c>
      <c r="B392" s="311" t="s">
        <v>256</v>
      </c>
      <c r="C392" s="189"/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4" t="s">
        <v>455</v>
      </c>
      <c r="B393" s="294"/>
      <c r="C393" s="302"/>
      <c r="D393" s="294">
        <f>D391+C392</f>
        <v>-1692551.25</v>
      </c>
      <c r="E393" s="294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4" t="s">
        <v>456</v>
      </c>
      <c r="B394" s="311" t="s">
        <v>256</v>
      </c>
      <c r="C394" s="189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4" t="s">
        <v>457</v>
      </c>
      <c r="B395" s="311" t="s">
        <v>256</v>
      </c>
      <c r="C395" s="189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4" t="s">
        <v>458</v>
      </c>
      <c r="B396" s="294"/>
      <c r="C396" s="302"/>
      <c r="D396" s="294">
        <f>D393+C394-C395</f>
        <v>-1692551.25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Vest Thurston, LLC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1342</v>
      </c>
      <c r="C414" s="2">
        <f>E138</f>
        <v>1342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16586</v>
      </c>
      <c r="C415" s="2">
        <f>E139</f>
        <v>16586</v>
      </c>
      <c r="D415" s="2">
        <f>SUM(C59:H59)+N59</f>
        <v>16586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9372249</v>
      </c>
      <c r="C427" s="2">
        <f t="shared" ref="C427:C434" si="13">CE61</f>
        <v>9372249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1659337</v>
      </c>
      <c r="C428" s="2">
        <f t="shared" si="13"/>
        <v>1659337</v>
      </c>
      <c r="D428" s="2">
        <f>D173</f>
        <v>1659337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1865192</v>
      </c>
      <c r="C429" s="2">
        <f t="shared" si="13"/>
        <v>1865192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620825</v>
      </c>
      <c r="C430" s="2">
        <f t="shared" si="13"/>
        <v>620825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271122</v>
      </c>
      <c r="C431" s="2">
        <f t="shared" si="13"/>
        <v>271122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1800448</v>
      </c>
      <c r="C432" s="2">
        <f t="shared" si="13"/>
        <v>1800448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941095</v>
      </c>
      <c r="C433" s="2">
        <f t="shared" si="13"/>
        <v>941095</v>
      </c>
      <c r="D433" s="2">
        <f>C217</f>
        <v>941095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1361885</v>
      </c>
      <c r="C434" s="2">
        <f t="shared" si="13"/>
        <v>1361885</v>
      </c>
      <c r="D434" s="2">
        <f>D177</f>
        <v>1361885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153395</v>
      </c>
      <c r="C435" s="2"/>
      <c r="D435" s="2">
        <f>D181</f>
        <v>153395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439007</v>
      </c>
      <c r="C436" s="2"/>
      <c r="D436" s="2">
        <f>D186</f>
        <v>439007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0</v>
      </c>
      <c r="C437" s="2"/>
      <c r="D437" s="2">
        <f>D190</f>
        <v>0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592402</v>
      </c>
      <c r="C438" s="2">
        <f>CD69</f>
        <v>592402</v>
      </c>
      <c r="D438" s="2">
        <f>D181+D186+D190</f>
        <v>592402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480405.25</v>
      </c>
      <c r="C439" s="2">
        <f>SUM(C69:CC69)</f>
        <v>480405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1072807.25</v>
      </c>
      <c r="C440" s="2">
        <f>CE69</f>
        <v>1072807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18964960.25</v>
      </c>
      <c r="C441" s="2">
        <f>SUM(C427:C437)+C440</f>
        <v>18964960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154865</v>
      </c>
      <c r="C444" s="2">
        <f>C363</f>
        <v>154865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19024389</v>
      </c>
      <c r="C445" s="2">
        <f>C364</f>
        <v>19024389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98265</v>
      </c>
      <c r="C446" s="2">
        <f>C365</f>
        <v>98265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-408581</v>
      </c>
      <c r="C447" s="2">
        <f>C366</f>
        <v>-408581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18868938</v>
      </c>
      <c r="C448" s="2">
        <f>D367</f>
        <v>18868938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17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97060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1205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15894</v>
      </c>
      <c r="C458" s="2">
        <f>CE70</f>
        <v>15894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35748553</v>
      </c>
      <c r="C463" s="2">
        <f>CE73</f>
        <v>35748553</v>
      </c>
      <c r="D463" s="2">
        <f>E141+E147+E153</f>
        <v>35748553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376900</v>
      </c>
      <c r="C464" s="2">
        <f>CE74</f>
        <v>376900</v>
      </c>
      <c r="D464" s="2">
        <f>E142+E148+E154</f>
        <v>376900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36125453</v>
      </c>
      <c r="C465" s="2">
        <f>CE75</f>
        <v>36125453</v>
      </c>
      <c r="D465" s="2">
        <f>D463+D464</f>
        <v>36125453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0</v>
      </c>
      <c r="C468" s="2">
        <f>E195</f>
        <v>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0</v>
      </c>
      <c r="C469" s="2">
        <f>E196</f>
        <v>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28660744</v>
      </c>
      <c r="C470" s="2">
        <f>E197</f>
        <v>28660744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98994</v>
      </c>
      <c r="C471" s="2">
        <f>E198</f>
        <v>98994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1358866.4</v>
      </c>
      <c r="C473" s="2">
        <f>SUM(E200:E201)</f>
        <v>1358866.4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0</v>
      </c>
      <c r="C475" s="2">
        <f>E203</f>
        <v>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30118604.399999999</v>
      </c>
      <c r="C476" s="2">
        <f>E204</f>
        <v>30118604.399999999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1377962.7</v>
      </c>
      <c r="C478" s="2">
        <f>E217</f>
        <v>1377963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33111262.689999998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33111263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928</v>
      </c>
      <c r="B493" s="331" t="str">
        <f>RIGHT('[1]Prior Year'!C83,4)</f>
        <v>2019</v>
      </c>
      <c r="C493" s="331" t="str">
        <f>RIGHT(C82,4)</f>
        <v>2020</v>
      </c>
      <c r="D493" s="331" t="str">
        <f>RIGHT('[1]Prior Year'!C83,4)</f>
        <v>2019</v>
      </c>
      <c r="E493" s="331" t="str">
        <f>RIGHT(C82,4)</f>
        <v>2020</v>
      </c>
      <c r="F493" s="331" t="str">
        <f>RIGHT('[1]Prior Year'!C83,4)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0</v>
      </c>
      <c r="C496" s="333">
        <f>C71</f>
        <v>0</v>
      </c>
      <c r="D496" s="333">
        <f>'[1]Prior Year'!C59</f>
        <v>0</v>
      </c>
      <c r="E496" s="2">
        <f>C59</f>
        <v>0</v>
      </c>
      <c r="F496" s="334" t="str">
        <f t="shared" ref="F496:G511" si="15">IF(B496=0,"",IF(D496=0,"",B496/D496))</f>
        <v/>
      </c>
      <c r="G496" s="334" t="str">
        <f t="shared" si="15"/>
        <v/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0</v>
      </c>
      <c r="C498" s="333">
        <f>E71</f>
        <v>0</v>
      </c>
      <c r="D498" s="333">
        <f>'[1]Prior Year'!E59</f>
        <v>0</v>
      </c>
      <c r="E498" s="2">
        <f>E59</f>
        <v>0</v>
      </c>
      <c r="F498" s="334" t="str">
        <f t="shared" si="15"/>
        <v/>
      </c>
      <c r="G498" s="334" t="str">
        <f t="shared" si="15"/>
        <v/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6248744</v>
      </c>
      <c r="D501" s="333">
        <f>'[1]Prior Year'!H59</f>
        <v>0</v>
      </c>
      <c r="E501" s="2">
        <f>H59</f>
        <v>16586</v>
      </c>
      <c r="F501" s="334" t="str">
        <f t="shared" si="15"/>
        <v/>
      </c>
      <c r="G501" s="334">
        <f t="shared" si="15"/>
        <v>376.7481008079103</v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0</v>
      </c>
      <c r="E508" s="2">
        <f>O59</f>
        <v>0</v>
      </c>
      <c r="F508" s="334" t="str">
        <f t="shared" si="15"/>
        <v/>
      </c>
      <c r="G508" s="334" t="str">
        <f t="shared" si="15"/>
        <v/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0</v>
      </c>
      <c r="C509" s="333">
        <f>P71</f>
        <v>0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0</v>
      </c>
      <c r="C511" s="333">
        <f>R71</f>
        <v>0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0</v>
      </c>
      <c r="C512" s="333">
        <f>S71</f>
        <v>0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0</v>
      </c>
      <c r="C514" s="333">
        <f>U71</f>
        <v>35254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0</v>
      </c>
      <c r="C515" s="333">
        <f>V71</f>
        <v>0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0</v>
      </c>
      <c r="C516" s="333">
        <f>W71</f>
        <v>0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0</v>
      </c>
      <c r="C517" s="333">
        <f>X71</f>
        <v>0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0</v>
      </c>
      <c r="C518" s="333">
        <f>Y71</f>
        <v>13767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0</v>
      </c>
      <c r="C520" s="333">
        <f>AA71</f>
        <v>0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0</v>
      </c>
      <c r="C521" s="333">
        <f>AB71</f>
        <v>697223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0</v>
      </c>
      <c r="C522" s="333">
        <f>AC71</f>
        <v>0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0</v>
      </c>
      <c r="C524" s="333">
        <f>AE71</f>
        <v>0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0</v>
      </c>
      <c r="C526" s="333">
        <f>AG71</f>
        <v>0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0</v>
      </c>
      <c r="C529" s="333">
        <f>AJ71</f>
        <v>116711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232302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0</v>
      </c>
      <c r="C541" s="333">
        <f>AV71</f>
        <v>0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0</v>
      </c>
      <c r="C544" s="333">
        <f>AY71</f>
        <v>650657</v>
      </c>
      <c r="D544" s="333">
        <f>'[1]Prior Year'!AY59</f>
        <v>0</v>
      </c>
      <c r="E544" s="2">
        <f>AY59</f>
        <v>50769</v>
      </c>
      <c r="F544" s="334" t="str">
        <f t="shared" ref="F544:G550" si="19">IF(B544=0,"",IF(D544=0,"",B544/D544))</f>
        <v/>
      </c>
      <c r="G544" s="334">
        <f t="shared" si="19"/>
        <v>12.816029466800607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0</v>
      </c>
      <c r="C546" s="333">
        <f>BA71</f>
        <v>57606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0</v>
      </c>
      <c r="C547" s="333">
        <f>BB71</f>
        <v>1092832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0</v>
      </c>
      <c r="C549" s="333">
        <f>BD71</f>
        <v>2259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0</v>
      </c>
      <c r="C550" s="333">
        <f>BE71</f>
        <v>1976356</v>
      </c>
      <c r="D550" s="333">
        <f>'[1]Prior Year'!BE59</f>
        <v>0</v>
      </c>
      <c r="E550" s="2">
        <f>BE59</f>
        <v>68330</v>
      </c>
      <c r="F550" s="334" t="str">
        <f t="shared" si="19"/>
        <v/>
      </c>
      <c r="G550" s="334">
        <f t="shared" si="19"/>
        <v>28.923693838723839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0</v>
      </c>
      <c r="C551" s="333">
        <f>BF71</f>
        <v>204817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0</v>
      </c>
      <c r="C552" s="333">
        <f>BG71</f>
        <v>113894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0</v>
      </c>
      <c r="C553" s="333">
        <f>BH71</f>
        <v>270459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147575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0</v>
      </c>
      <c r="C555" s="333">
        <f>BJ71</f>
        <v>423606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0</v>
      </c>
      <c r="C556" s="333">
        <f>BK71</f>
        <v>315642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0</v>
      </c>
      <c r="C557" s="333">
        <f>BL71</f>
        <v>812293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0</v>
      </c>
      <c r="C559" s="333">
        <f>BN71</f>
        <v>690882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0</v>
      </c>
      <c r="C560" s="333">
        <f>BO71</f>
        <v>0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0</v>
      </c>
      <c r="C561" s="333">
        <f>BP71</f>
        <v>193281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393503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0</v>
      </c>
      <c r="C567" s="333">
        <f>BV71</f>
        <v>198963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0</v>
      </c>
      <c r="C568" s="333">
        <f>BW71</f>
        <v>1823669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262320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0</v>
      </c>
      <c r="C570" s="333">
        <f>BY71</f>
        <v>811216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0</v>
      </c>
      <c r="C572" s="333">
        <f>CA71</f>
        <v>585501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0</v>
      </c>
      <c r="C574" s="333">
        <f>CC71</f>
        <v>1226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0</v>
      </c>
      <c r="C575" s="333">
        <f>CD71</f>
        <v>576508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66848</v>
      </c>
      <c r="E612" s="2">
        <f>SUM(C624:D647)+SUM(C668:D713)</f>
        <v>17447698.428913355</v>
      </c>
      <c r="F612" s="2">
        <f>CE64-(AX64+BD64+BE64+BG64+BJ64+BN64+BP64+BQ64+CB64+CC64+CD64)</f>
        <v>568586</v>
      </c>
      <c r="G612" s="2">
        <f>CE77-(AX77+AY77+BD77+BE77+BG77+BJ77+BN77+BP77+BQ77+CB77+CC77+CD77)</f>
        <v>50769</v>
      </c>
      <c r="H612" s="326">
        <f>CE60-(AX60+AY60+AZ60+BD60+BE60+BG60+BJ60+BN60+BO60+BP60+BQ60+BR60+CB60+CC60+CD60)</f>
        <v>121.70000000000003</v>
      </c>
      <c r="I612" s="2">
        <f>CE78-(AX78+AY78+AZ78+BD78+BE78+BF78+BG78+BJ78+BN78+BO78+BP78+BQ78+BR78+CB78+CC78+CD78)</f>
        <v>7566</v>
      </c>
      <c r="J612" s="2">
        <f>CE79-(AX79+AY79+AZ79+BA79+BD79+BE79+BF79+BG79+BJ79+BN79+BO79+BP79+BQ79+BR79+CB79+CC79+CD79)</f>
        <v>71084</v>
      </c>
      <c r="K612" s="2">
        <f>CE75-(AW75+AX75+AY75+AZ75+BA75+BB75+BC75+BD75+BE75+BF75+BG75+BH75+BI75+BJ75+BK75+BL75+BM75+BN75+BO75+BP75+BQ75+BR75+BS75+BT75+BU75+BV75+BW75+BX75+CB75+CC75+CD75)</f>
        <v>36125453</v>
      </c>
      <c r="L612" s="326">
        <f>CE80-(AW80+AX80+AY80+AZ80+BA80+BB80+BC80+BD80+BE80+BF80+BG80+BH80+BI80+BJ80+BK80+BL80+BM80+BN80+BO80+BP80+BQ80+BR80+BS80+BT80+BU80+BV80+BW80+BX80+BY80+BZ80+CA80+CB80+CC80+CD80)</f>
        <v>65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1976356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576508</v>
      </c>
      <c r="D615" s="338">
        <f>SUM(C614:C615)</f>
        <v>2552864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423606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113894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690882</v>
      </c>
      <c r="D619" s="2">
        <f>(D615/D612)*BN76</f>
        <v>71260.833891814269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1226</v>
      </c>
      <c r="D620" s="2">
        <f>(D615/D612)*CC76</f>
        <v>3398.8286261369076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193281</v>
      </c>
      <c r="D621" s="2">
        <f>(D615/D612)*BP76</f>
        <v>3818.9085686931548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1501367.5710866444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2259</v>
      </c>
      <c r="D624" s="2">
        <f>(D615/D612)*BD76</f>
        <v>6263.010052656774</v>
      </c>
      <c r="E624" s="2">
        <f>(E623/E612)*SUM(C624:D624)</f>
        <v>733.31560524513941</v>
      </c>
      <c r="F624" s="2">
        <f>SUM(C624:E624)</f>
        <v>9255.3256579019126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650657</v>
      </c>
      <c r="D625" s="2">
        <f>(D615/D612)*AY76</f>
        <v>93525.070847295356</v>
      </c>
      <c r="E625" s="2">
        <f>(E623/E612)*SUM(C625:D625)</f>
        <v>64036.573804068088</v>
      </c>
      <c r="F625" s="2">
        <f>(F624/F612)*AY64</f>
        <v>3718.4992125924887</v>
      </c>
      <c r="G625" s="2">
        <f>SUM(C625:F625)</f>
        <v>811937.14386395586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393503</v>
      </c>
      <c r="D626" s="2">
        <f>(D615/D612)*BR76</f>
        <v>5040.9593106749644</v>
      </c>
      <c r="E626" s="2">
        <f>(E623/E612)*SUM(C626:D626)</f>
        <v>34294.55057349868</v>
      </c>
      <c r="F626" s="2">
        <f>(F624/F612)*BR64</f>
        <v>93.825203385497744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432932.33508755913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204817</v>
      </c>
      <c r="D629" s="2">
        <f>(D615/D612)*BF76</f>
        <v>21233.131641933942</v>
      </c>
      <c r="E629" s="2">
        <f>(E623/E612)*SUM(C629:D629)</f>
        <v>19451.524707961351</v>
      </c>
      <c r="F629" s="2">
        <f>(F624/F612)*BF64</f>
        <v>575.8269551981233</v>
      </c>
      <c r="G629" s="2">
        <f>(G625/G612)*BF77</f>
        <v>0</v>
      </c>
      <c r="H629" s="2">
        <f>(H628/H612)*BF60</f>
        <v>13873.756013487922</v>
      </c>
      <c r="I629" s="2">
        <f>SUM(C629:H629)</f>
        <v>259951.23931858136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57606</v>
      </c>
      <c r="D630" s="2">
        <f>(D615/D612)*BA76</f>
        <v>11456.725706079465</v>
      </c>
      <c r="E630" s="2">
        <f>(E623/E612)*SUM(C630:D630)</f>
        <v>5942.8203191621424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75005.546025241609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1092832</v>
      </c>
      <c r="D632" s="2">
        <f>(D615/D612)*BB76</f>
        <v>12755.154619435138</v>
      </c>
      <c r="E632" s="2">
        <f>(E623/E612)*SUM(C632:D632)</f>
        <v>95135.338779405647</v>
      </c>
      <c r="F632" s="2">
        <f>(F624/F612)*BB64</f>
        <v>43.657042935444991</v>
      </c>
      <c r="G632" s="2">
        <f>(G625/G612)*BB77</f>
        <v>0</v>
      </c>
      <c r="H632" s="2">
        <f>(H628/H612)*BB60</f>
        <v>43399.954708859652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147575</v>
      </c>
      <c r="D634" s="2">
        <f>(D615/D612)*BI76</f>
        <v>409196.05313547153</v>
      </c>
      <c r="E634" s="2">
        <f>(E623/E612)*SUM(C634:D634)</f>
        <v>47909.929616396803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315642</v>
      </c>
      <c r="D635" s="2">
        <f>(D615/D612)*BK76</f>
        <v>0</v>
      </c>
      <c r="E635" s="2">
        <f>(E623/E612)*SUM(C635:D635)</f>
        <v>27160.869658752166</v>
      </c>
      <c r="F635" s="2">
        <f>(F624/F612)*BK64</f>
        <v>11.345622269204013</v>
      </c>
      <c r="G635" s="2">
        <f>(G625/G612)*BK77</f>
        <v>0</v>
      </c>
      <c r="H635" s="2">
        <f>(H628/H612)*BK60</f>
        <v>17431.129350279698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270459</v>
      </c>
      <c r="D636" s="2">
        <f>(D615/D612)*BH76</f>
        <v>0</v>
      </c>
      <c r="E636" s="2">
        <f>(E623/E612)*SUM(C636:D636)</f>
        <v>23272.890322062503</v>
      </c>
      <c r="F636" s="2">
        <f>(F624/F612)*BH64</f>
        <v>98.871319459318755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812293</v>
      </c>
      <c r="D637" s="2">
        <f>(D615/D612)*BL76</f>
        <v>46132.415509813312</v>
      </c>
      <c r="E637" s="2">
        <f>(E623/E612)*SUM(C637:D637)</f>
        <v>73867.168572060153</v>
      </c>
      <c r="F637" s="2">
        <f>(F624/F612)*BL64</f>
        <v>91.12308961693553</v>
      </c>
      <c r="G637" s="2">
        <f>(G625/G612)*BL77</f>
        <v>0</v>
      </c>
      <c r="H637" s="2">
        <f>(H628/H612)*BL60</f>
        <v>36640.945368955283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198963</v>
      </c>
      <c r="D642" s="2">
        <f>(D615/D612)*BV76</f>
        <v>19667.379128769746</v>
      </c>
      <c r="E642" s="2">
        <f>(E623/E612)*SUM(C642:D642)</f>
        <v>18813.057929426646</v>
      </c>
      <c r="F642" s="2">
        <f>(F624/F612)*BV64</f>
        <v>116.07694749166974</v>
      </c>
      <c r="G642" s="2">
        <f>(G625/G612)*BV77</f>
        <v>0</v>
      </c>
      <c r="H642" s="2">
        <f>(H628/H612)*BV60</f>
        <v>8537.6960083002596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1823669</v>
      </c>
      <c r="D643" s="2">
        <f>(D615/D612)*BW76</f>
        <v>0</v>
      </c>
      <c r="E643" s="2">
        <f>(E623/E612)*SUM(C643:D643)</f>
        <v>156925.99847202498</v>
      </c>
      <c r="F643" s="2">
        <f>(F624/F612)*BW64</f>
        <v>15.903404529429441</v>
      </c>
      <c r="G643" s="2">
        <f>(G625/G612)*BW77</f>
        <v>0</v>
      </c>
      <c r="H643" s="2">
        <f>(H628/H612)*BW60</f>
        <v>10316.382676696147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262320</v>
      </c>
      <c r="D644" s="2">
        <f>(D615/D612)*BX76</f>
        <v>5728.3628530397327</v>
      </c>
      <c r="E644" s="2">
        <f>(E623/E612)*SUM(C644:D644)</f>
        <v>23065.455945955604</v>
      </c>
      <c r="F644" s="2">
        <f>(F624/F612)*BX64</f>
        <v>6.1204504637312898</v>
      </c>
      <c r="G644" s="2">
        <f>(G625/G612)*BX77</f>
        <v>0</v>
      </c>
      <c r="H644" s="2">
        <f>(H628/H612)*BX60</f>
        <v>11027.857344054502</v>
      </c>
      <c r="I644" s="2">
        <f>(I629/I612)*BX78</f>
        <v>0</v>
      </c>
      <c r="J644" s="2">
        <f>(J630/J612)*BX79</f>
        <v>0</v>
      </c>
      <c r="K644" s="2">
        <f>SUM(C631:J644)</f>
        <v>6011120.1378765265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811216</v>
      </c>
      <c r="D645" s="2">
        <f>(D615/D612)*BY76</f>
        <v>12526.020105313548</v>
      </c>
      <c r="E645" s="2">
        <f>(E623/E612)*SUM(C645:D645)</f>
        <v>70882.676071364476</v>
      </c>
      <c r="F645" s="2">
        <f>(F624/F612)*BY64</f>
        <v>0</v>
      </c>
      <c r="G645" s="2">
        <f>(G625/G612)*BY77</f>
        <v>0</v>
      </c>
      <c r="H645" s="2">
        <f>(H628/H612)*BY60</f>
        <v>22411.45202178818</v>
      </c>
      <c r="I645" s="2">
        <f>(I629/I612)*BY78</f>
        <v>0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585501</v>
      </c>
      <c r="D647" s="2">
        <f>(D615/D612)*CA76</f>
        <v>0</v>
      </c>
      <c r="E647" s="2">
        <f>(E623/E612)*SUM(C647:D647)</f>
        <v>50382.130217363505</v>
      </c>
      <c r="F647" s="2">
        <f>(F624/F612)*CA64</f>
        <v>3.2555587573038773E-2</v>
      </c>
      <c r="G647" s="2">
        <f>(G625/G612)*CA77</f>
        <v>0</v>
      </c>
      <c r="H647" s="2">
        <f>(H628/H612)*CA60</f>
        <v>25968.825358579958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1578888.1363299973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11605065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0</v>
      </c>
      <c r="D670" s="2">
        <f>(D615/D612)*E76</f>
        <v>0</v>
      </c>
      <c r="E670" s="2">
        <f>(E623/E612)*SUM(C670:D670)</f>
        <v>0</v>
      </c>
      <c r="F670" s="2">
        <f>(F624/F612)*E64</f>
        <v>0</v>
      </c>
      <c r="G670" s="2">
        <f>(G625/G612)*E77</f>
        <v>0</v>
      </c>
      <c r="H670" s="2">
        <f>(H628/H612)*E60</f>
        <v>0</v>
      </c>
      <c r="I670" s="2">
        <f>(I629/I612)*E78</f>
        <v>0</v>
      </c>
      <c r="J670" s="2">
        <f>(J630/J612)*E79</f>
        <v>0</v>
      </c>
      <c r="K670" s="2">
        <f>(K644/K612)*E75</f>
        <v>0</v>
      </c>
      <c r="L670" s="2">
        <f>(L647/L612)*E80</f>
        <v>0</v>
      </c>
      <c r="M670" s="2">
        <f t="shared" si="20"/>
        <v>0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6248744</v>
      </c>
      <c r="D673" s="2">
        <f>(D615/D612)*H76</f>
        <v>1682343.7917663956</v>
      </c>
      <c r="E673" s="2">
        <f>(E623/E612)*SUM(C673:D673)</f>
        <v>682466.97766548058</v>
      </c>
      <c r="F673" s="2">
        <f>(F624/F612)*H64</f>
        <v>1191.2252270912752</v>
      </c>
      <c r="G673" s="2">
        <f>(G625/G612)*H77</f>
        <v>811937.14386395586</v>
      </c>
      <c r="H673" s="2">
        <f>(H628/H612)*H60</f>
        <v>231229.26689146538</v>
      </c>
      <c r="I673" s="2">
        <f>(I629/I612)*H78</f>
        <v>259951.23931858139</v>
      </c>
      <c r="J673" s="2">
        <f>(J630/J612)*H79</f>
        <v>75005.546025241609</v>
      </c>
      <c r="K673" s="2">
        <f>(K644/K612)*H75</f>
        <v>5948405.5975227859</v>
      </c>
      <c r="L673" s="2">
        <f>(L647/L612)*H80</f>
        <v>1578888.1363299973</v>
      </c>
      <c r="M673" s="2">
        <f t="shared" si="20"/>
        <v>11271419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0</v>
      </c>
      <c r="D681" s="2">
        <f>(D615/D612)*P76</f>
        <v>0</v>
      </c>
      <c r="E681" s="2">
        <f>(E623/E612)*SUM(C681:D681)</f>
        <v>0</v>
      </c>
      <c r="F681" s="2">
        <f>(F624/F612)*P64</f>
        <v>0</v>
      </c>
      <c r="G681" s="2">
        <f>(G625/G612)*P77</f>
        <v>0</v>
      </c>
      <c r="H681" s="2">
        <f>(H628/H612)*P60</f>
        <v>0</v>
      </c>
      <c r="I681" s="2">
        <f>(I629/I612)*P78</f>
        <v>0</v>
      </c>
      <c r="J681" s="2">
        <f>(J630/J612)*P79</f>
        <v>0</v>
      </c>
      <c r="K681" s="2">
        <f>(K644/K612)*P75</f>
        <v>0</v>
      </c>
      <c r="L681" s="2">
        <f>(L647/L612)*P80</f>
        <v>0</v>
      </c>
      <c r="M681" s="2">
        <f t="shared" si="20"/>
        <v>0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0</v>
      </c>
      <c r="D683" s="2">
        <f>(D615/D612)*R76</f>
        <v>0</v>
      </c>
      <c r="E683" s="2">
        <f>(E623/E612)*SUM(C683:D683)</f>
        <v>0</v>
      </c>
      <c r="F683" s="2">
        <f>(F624/F612)*R64</f>
        <v>0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0</v>
      </c>
      <c r="L683" s="2">
        <f>(L647/L612)*R80</f>
        <v>0</v>
      </c>
      <c r="M683" s="2">
        <f t="shared" si="20"/>
        <v>0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0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35254</v>
      </c>
      <c r="D686" s="2">
        <f>(D615/D612)*U76</f>
        <v>3322.4504547630449</v>
      </c>
      <c r="E686" s="2">
        <f>(E623/E612)*SUM(C686:D686)</f>
        <v>3319.488352941401</v>
      </c>
      <c r="F686" s="2">
        <f>(F624/F612)*U64</f>
        <v>0</v>
      </c>
      <c r="G686" s="2">
        <f>(G625/G612)*U77</f>
        <v>0</v>
      </c>
      <c r="H686" s="2">
        <f>(H628/H612)*U60</f>
        <v>0</v>
      </c>
      <c r="I686" s="2">
        <f>(I629/I612)*U78</f>
        <v>0</v>
      </c>
      <c r="J686" s="2">
        <f>(J630/J612)*U79</f>
        <v>0</v>
      </c>
      <c r="K686" s="2">
        <f>(K644/K612)*U75</f>
        <v>0</v>
      </c>
      <c r="L686" s="2">
        <f>(L647/L612)*U80</f>
        <v>0</v>
      </c>
      <c r="M686" s="2">
        <f t="shared" si="20"/>
        <v>6642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13767</v>
      </c>
      <c r="D690" s="2">
        <f>(D615/D612)*Y76</f>
        <v>0</v>
      </c>
      <c r="E690" s="2">
        <f>(E623/E612)*SUM(C690:D690)</f>
        <v>1184.6449223868847</v>
      </c>
      <c r="F690" s="2">
        <f>(F624/F612)*Y64</f>
        <v>0</v>
      </c>
      <c r="G690" s="2">
        <f>(G625/G612)*Y77</f>
        <v>0</v>
      </c>
      <c r="H690" s="2">
        <f>(H628/H612)*Y60</f>
        <v>0</v>
      </c>
      <c r="I690" s="2">
        <f>(I629/I612)*Y78</f>
        <v>0</v>
      </c>
      <c r="J690" s="2">
        <f>(J630/J612)*Y79</f>
        <v>0</v>
      </c>
      <c r="K690" s="2">
        <f>(K644/K612)*Y75</f>
        <v>0</v>
      </c>
      <c r="L690" s="2">
        <f>(L647/L612)*Y80</f>
        <v>0</v>
      </c>
      <c r="M690" s="2">
        <f t="shared" si="20"/>
        <v>1185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697223</v>
      </c>
      <c r="D693" s="2">
        <f>(D615/D612)*AB76</f>
        <v>11991.372905696506</v>
      </c>
      <c r="E693" s="2">
        <f>(E623/E612)*SUM(C693:D693)</f>
        <v>61027.61718214077</v>
      </c>
      <c r="F693" s="2">
        <f>(F624/F612)*AB64</f>
        <v>3233.3558465790647</v>
      </c>
      <c r="G693" s="2">
        <f>(G625/G612)*AB77</f>
        <v>0</v>
      </c>
      <c r="H693" s="2">
        <f>(H628/H612)*AB60</f>
        <v>0</v>
      </c>
      <c r="I693" s="2">
        <f>(I629/I612)*AB78</f>
        <v>0</v>
      </c>
      <c r="J693" s="2">
        <f>(J630/J612)*AB79</f>
        <v>0</v>
      </c>
      <c r="K693" s="2">
        <f>(K644/K612)*AB75</f>
        <v>0</v>
      </c>
      <c r="L693" s="2">
        <f>(L647/L612)*AB80</f>
        <v>0</v>
      </c>
      <c r="M693" s="2">
        <f t="shared" si="20"/>
        <v>76252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0</v>
      </c>
      <c r="D694" s="2">
        <f>(D615/D612)*AC76</f>
        <v>0</v>
      </c>
      <c r="E694" s="2">
        <f>(E623/E612)*SUM(C694:D694)</f>
        <v>0</v>
      </c>
      <c r="F694" s="2">
        <f>(F624/F612)*AC64</f>
        <v>0</v>
      </c>
      <c r="G694" s="2">
        <f>(G625/G612)*AC77</f>
        <v>0</v>
      </c>
      <c r="H694" s="2">
        <f>(H628/H612)*AC60</f>
        <v>0</v>
      </c>
      <c r="I694" s="2">
        <f>(I629/I612)*AC78</f>
        <v>0</v>
      </c>
      <c r="J694" s="2">
        <f>(J630/J612)*AC79</f>
        <v>0</v>
      </c>
      <c r="K694" s="2">
        <f>(K644/K612)*AC75</f>
        <v>0</v>
      </c>
      <c r="L694" s="2">
        <f>(L647/L612)*AC80</f>
        <v>0</v>
      </c>
      <c r="M694" s="2">
        <f t="shared" si="20"/>
        <v>0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0</v>
      </c>
      <c r="D696" s="2">
        <f>(D615/D612)*AE76</f>
        <v>0</v>
      </c>
      <c r="E696" s="2">
        <f>(E623/E612)*SUM(C696:D696)</f>
        <v>0</v>
      </c>
      <c r="F696" s="2">
        <f>(F624/F612)*AE64</f>
        <v>0</v>
      </c>
      <c r="G696" s="2">
        <f>(G625/G612)*AE77</f>
        <v>0</v>
      </c>
      <c r="H696" s="2">
        <f>(H628/H612)*AE60</f>
        <v>0</v>
      </c>
      <c r="I696" s="2">
        <f>(I629/I612)*AE78</f>
        <v>0</v>
      </c>
      <c r="J696" s="2">
        <f>(J630/J612)*AE79</f>
        <v>0</v>
      </c>
      <c r="K696" s="2">
        <f>(K644/K612)*AE75</f>
        <v>0</v>
      </c>
      <c r="L696" s="2">
        <f>(L647/L612)*AE80</f>
        <v>0</v>
      </c>
      <c r="M696" s="2">
        <f t="shared" si="20"/>
        <v>0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>
        <f>(F624/F612)*AG64</f>
        <v>0</v>
      </c>
      <c r="G698" s="2">
        <f>(G625/G612)*AG77</f>
        <v>0</v>
      </c>
      <c r="H698" s="2">
        <f>(H628/H612)*AG60</f>
        <v>0</v>
      </c>
      <c r="I698" s="2">
        <f>(I629/I612)*AG78</f>
        <v>0</v>
      </c>
      <c r="J698" s="2">
        <f>(J630/J612)*AG79</f>
        <v>0</v>
      </c>
      <c r="K698" s="2">
        <f>(K644/K612)*AG75</f>
        <v>0</v>
      </c>
      <c r="L698" s="2">
        <f>(L647/L612)*AG80</f>
        <v>0</v>
      </c>
      <c r="M698" s="2">
        <f t="shared" si="20"/>
        <v>0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116711</v>
      </c>
      <c r="D701" s="2">
        <f>(D615/D612)*AJ76</f>
        <v>58314.733843944472</v>
      </c>
      <c r="E701" s="2">
        <f>(E623/E612)*SUM(C701:D701)</f>
        <v>15060.895393714472</v>
      </c>
      <c r="F701" s="2">
        <f>(F624/F612)*AJ64</f>
        <v>0</v>
      </c>
      <c r="G701" s="2">
        <f>(G625/G612)*AJ77</f>
        <v>0</v>
      </c>
      <c r="H701" s="2">
        <f>(H628/H612)*AJ60</f>
        <v>3557.3733367917748</v>
      </c>
      <c r="I701" s="2">
        <f>(I629/I612)*AJ78</f>
        <v>0</v>
      </c>
      <c r="J701" s="2">
        <f>(J630/J612)*AJ79</f>
        <v>0</v>
      </c>
      <c r="K701" s="2">
        <f>(K644/K612)*AJ75</f>
        <v>62714.540353740696</v>
      </c>
      <c r="L701" s="2">
        <f>(L647/L612)*AJ80</f>
        <v>0</v>
      </c>
      <c r="M701" s="2">
        <f t="shared" si="20"/>
        <v>139648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232302</v>
      </c>
      <c r="D704" s="2">
        <f>(D615/D612)*AM76</f>
        <v>74888.797032072762</v>
      </c>
      <c r="E704" s="2">
        <f>(E623/E612)*SUM(C704:D704)</f>
        <v>26433.646975232452</v>
      </c>
      <c r="F704" s="2">
        <f>(F624/F612)*AM64</f>
        <v>59.462780702155321</v>
      </c>
      <c r="G704" s="2">
        <f>(G625/G612)*AM77</f>
        <v>0</v>
      </c>
      <c r="H704" s="2">
        <f>(H628/H612)*AM60</f>
        <v>8537.6960083002596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109920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18949066</v>
      </c>
      <c r="D715" s="2">
        <f>SUM(D616:D647)+SUM(D668:D713)</f>
        <v>2552864</v>
      </c>
      <c r="E715" s="2">
        <f>SUM(E624:E647)+SUM(E668:E713)</f>
        <v>1501367.5710866442</v>
      </c>
      <c r="F715" s="2">
        <f>SUM(F625:F648)+SUM(F668:F713)</f>
        <v>9255.3256579019107</v>
      </c>
      <c r="G715" s="2">
        <f>SUM(G626:G647)+SUM(G668:G713)</f>
        <v>811937.14386395586</v>
      </c>
      <c r="H715" s="2">
        <f>SUM(H629:H647)+SUM(H668:H713)</f>
        <v>432932.33508755901</v>
      </c>
      <c r="I715" s="2">
        <f>SUM(I630:I647)+SUM(I668:I713)</f>
        <v>259951.23931858139</v>
      </c>
      <c r="J715" s="2">
        <f>SUM(J631:J647)+SUM(J668:J713)</f>
        <v>75005.546025241609</v>
      </c>
      <c r="K715" s="2">
        <f>SUM(K668:K713)</f>
        <v>6011120.1378765265</v>
      </c>
      <c r="L715" s="2">
        <f>SUM(L668:L713)</f>
        <v>1578888.1363299973</v>
      </c>
      <c r="M715" s="2">
        <f>SUM(M668:M713)</f>
        <v>11605066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18949066</v>
      </c>
      <c r="D716" s="2">
        <f>D615</f>
        <v>2552864</v>
      </c>
      <c r="E716" s="2">
        <f>E623</f>
        <v>1501367.5710866444</v>
      </c>
      <c r="F716" s="2">
        <f>F624</f>
        <v>9255.3256579019126</v>
      </c>
      <c r="G716" s="2">
        <f>G625</f>
        <v>811937.14386395586</v>
      </c>
      <c r="H716" s="2">
        <f>H628</f>
        <v>432932.33508755913</v>
      </c>
      <c r="I716" s="2">
        <f>I629</f>
        <v>259951.23931858136</v>
      </c>
      <c r="J716" s="2">
        <f>J630</f>
        <v>75005.546025241609</v>
      </c>
      <c r="K716" s="2">
        <f>K644</f>
        <v>6011120.1378765265</v>
      </c>
      <c r="L716" s="2">
        <f>L647</f>
        <v>1578888.1363299973</v>
      </c>
      <c r="M716" s="2">
        <f>C648</f>
        <v>11605065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3" t="str">
        <f>RIGHT(C84,3)&amp;"*"&amp;RIGHT(C83,4)&amp;"*"&amp;"A"</f>
        <v>LLC*928*A</v>
      </c>
      <c r="B721" s="281">
        <f>ROUND(C166,0)</f>
        <v>99669</v>
      </c>
      <c r="C721" s="281">
        <f>ROUND(C167,0)</f>
        <v>57351</v>
      </c>
      <c r="D721" s="281">
        <f>ROUND(C168,0)</f>
        <v>724400</v>
      </c>
      <c r="E721" s="281">
        <f>ROUND(C169,0)</f>
        <v>42789</v>
      </c>
      <c r="F721" s="281">
        <f>ROUND(C170,0)</f>
        <v>32792</v>
      </c>
      <c r="G721" s="281">
        <f>ROUND(C171,0)</f>
        <v>27902</v>
      </c>
      <c r="H721" s="281">
        <f>ROUND(C172+C173,0)</f>
        <v>0</v>
      </c>
      <c r="I721" s="281">
        <f>ROUND(C176,0)</f>
        <v>0</v>
      </c>
      <c r="J721" s="281">
        <f>ROUND(C177,0)</f>
        <v>0</v>
      </c>
      <c r="K721" s="281">
        <f>ROUND(C180,0)</f>
        <v>22870</v>
      </c>
      <c r="L721" s="281">
        <f>ROUND(C181,0)</f>
        <v>0</v>
      </c>
      <c r="M721" s="281">
        <f>ROUND(C184,0)</f>
        <v>422970</v>
      </c>
      <c r="N721" s="281">
        <f>ROUND(C185,0)</f>
        <v>0</v>
      </c>
      <c r="O721" s="281">
        <f>ROUND(C186,0)</f>
        <v>0</v>
      </c>
      <c r="P721" s="281">
        <f>ROUND(C189,0)</f>
        <v>0</v>
      </c>
      <c r="Q721" s="281">
        <f>ROUND(C190,0)</f>
        <v>0</v>
      </c>
      <c r="R721" s="281">
        <f>ROUND(B196,0)</f>
        <v>0</v>
      </c>
      <c r="S721" s="281">
        <f>ROUND(C196,0)</f>
        <v>0</v>
      </c>
      <c r="T721" s="281">
        <f>ROUND(D196,0)</f>
        <v>0</v>
      </c>
      <c r="U721" s="281">
        <f>ROUND(B197,0)</f>
        <v>28524518</v>
      </c>
      <c r="V721" s="281">
        <f>ROUND(C197,0)</f>
        <v>136226</v>
      </c>
      <c r="W721" s="281">
        <f>ROUND(D197,0)</f>
        <v>0</v>
      </c>
      <c r="X721" s="281">
        <f>ROUND(B198,0)</f>
        <v>98994</v>
      </c>
      <c r="Y721" s="281">
        <f>ROUND(C198,0)</f>
        <v>0</v>
      </c>
      <c r="Z721" s="281">
        <f>ROUND(D198,0)</f>
        <v>0</v>
      </c>
      <c r="AA721" s="281">
        <f>ROUND(B199,0)</f>
        <v>0</v>
      </c>
      <c r="AB721" s="281">
        <f>ROUND(C199,0)</f>
        <v>0</v>
      </c>
      <c r="AC721" s="281">
        <f>ROUND(D199,0)</f>
        <v>0</v>
      </c>
      <c r="AD721" s="281">
        <f>ROUND(B200,0)</f>
        <v>961120</v>
      </c>
      <c r="AE721" s="281">
        <f>ROUND(C200,0)</f>
        <v>397746</v>
      </c>
      <c r="AF721" s="281">
        <f>ROUND(D200,0)</f>
        <v>0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0</v>
      </c>
      <c r="AN721" s="281">
        <f>ROUND(C203,0)</f>
        <v>0</v>
      </c>
      <c r="AO721" s="281">
        <f>ROUND(D203,0)</f>
        <v>0</v>
      </c>
      <c r="AP721" s="281">
        <f>ROUND(B204,0)</f>
        <v>29584632</v>
      </c>
      <c r="AQ721" s="281">
        <f>ROUND(C204,0)</f>
        <v>533972</v>
      </c>
      <c r="AR721" s="281">
        <f>ROUND(D204,0)</f>
        <v>0</v>
      </c>
      <c r="AS721" s="281"/>
      <c r="AT721" s="281"/>
      <c r="AU721" s="281"/>
      <c r="AV721" s="281">
        <f>ROUND(B210,0)</f>
        <v>364493</v>
      </c>
      <c r="AW721" s="281">
        <f>ROUND(C210,0)</f>
        <v>734367</v>
      </c>
      <c r="AX721" s="281">
        <f>ROUND(D210,0)</f>
        <v>0</v>
      </c>
      <c r="AY721" s="281">
        <f>ROUND(B211,0)</f>
        <v>3300</v>
      </c>
      <c r="AZ721" s="281">
        <f>ROUND(C211,0)</f>
        <v>6600</v>
      </c>
      <c r="BA721" s="281">
        <f>ROUND(D211,0)</f>
        <v>0</v>
      </c>
      <c r="BB721" s="281">
        <f>ROUND(B212,0)</f>
        <v>0</v>
      </c>
      <c r="BC721" s="281">
        <f>ROUND(C212,0)</f>
        <v>0</v>
      </c>
      <c r="BD721" s="281">
        <f>ROUND(D212,0)</f>
        <v>0</v>
      </c>
      <c r="BE721" s="281">
        <f>ROUND(B213,0)</f>
        <v>69075</v>
      </c>
      <c r="BF721" s="281">
        <f>ROUND(C213,0)</f>
        <v>200128</v>
      </c>
      <c r="BG721" s="281">
        <f>ROUND(D213,0)</f>
        <v>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436868</v>
      </c>
      <c r="BR721" s="281">
        <f>ROUND(C217,0)</f>
        <v>941095</v>
      </c>
      <c r="BS721" s="281">
        <f>ROUND(D217,0)</f>
        <v>0</v>
      </c>
      <c r="BT721" s="281">
        <f>ROUND(C222,0)</f>
        <v>0</v>
      </c>
      <c r="BU721" s="281">
        <f>ROUND(C223,0)</f>
        <v>5010285</v>
      </c>
      <c r="BV721" s="281">
        <f>ROUND(C224,0)</f>
        <v>8372860</v>
      </c>
      <c r="BW721" s="281">
        <f>ROUND(C225,0)</f>
        <v>0</v>
      </c>
      <c r="BX721" s="281">
        <f>ROUND(C226,0)</f>
        <v>1011343</v>
      </c>
      <c r="BY721" s="281">
        <f>ROUND(C227,0)</f>
        <v>2542092</v>
      </c>
      <c r="BZ721" s="281">
        <f>ROUND(C230,0)</f>
        <v>0</v>
      </c>
      <c r="CA721" s="281">
        <f>ROUND(C232,0)</f>
        <v>0</v>
      </c>
      <c r="CB721" s="281">
        <f>ROUND(C233,0)</f>
        <v>97060</v>
      </c>
      <c r="CC721" s="281">
        <f>ROUND(C237+C238,0)</f>
        <v>-1151030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3" t="str">
        <f>RIGHT(C84,3)&amp;"*"&amp;RIGHT(C83,4)&amp;"*"&amp;"A"</f>
        <v>LLC*928*A</v>
      </c>
      <c r="B725" s="281">
        <f>ROUND(C112,0)</f>
        <v>0</v>
      </c>
      <c r="C725" s="281">
        <f>ROUND(C113,0)</f>
        <v>0</v>
      </c>
      <c r="D725" s="281">
        <f>ROUND(C114,0)</f>
        <v>0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0</v>
      </c>
      <c r="I725" s="281">
        <f>ROUND(D115,0)</f>
        <v>0</v>
      </c>
      <c r="J725" s="281">
        <f>ROUND(C117,0)</f>
        <v>0</v>
      </c>
      <c r="K725" s="281">
        <f>ROUND(C118,0)</f>
        <v>0</v>
      </c>
      <c r="L725" s="281">
        <f>ROUND(C119,0)</f>
        <v>0</v>
      </c>
      <c r="M725" s="281">
        <f>ROUND(C120,0)</f>
        <v>0</v>
      </c>
      <c r="N725" s="281">
        <f>ROUND(C121,0)</f>
        <v>0</v>
      </c>
      <c r="O725" s="281">
        <f>ROUND(C122,0)</f>
        <v>77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4749</v>
      </c>
      <c r="Y725" s="281">
        <f>ROUND(B140,0)</f>
        <v>80</v>
      </c>
      <c r="Z725" s="281">
        <f>ROUND(B141,0)</f>
        <v>9498000</v>
      </c>
      <c r="AA725" s="281">
        <f>ROUND(B142,0)</f>
        <v>40000</v>
      </c>
      <c r="AB725" s="281">
        <f>ROUND(B143,0)</f>
        <v>0</v>
      </c>
      <c r="AC725" s="281">
        <f>ROUND(C139,0)</f>
        <v>8035</v>
      </c>
      <c r="AD725" s="281">
        <f>ROUND(C140,0)</f>
        <v>0</v>
      </c>
      <c r="AE725" s="281">
        <f>ROUND(C141,0)</f>
        <v>16070000</v>
      </c>
      <c r="AF725" s="281">
        <f>ROUND(C142,0)</f>
        <v>0</v>
      </c>
      <c r="AG725" s="281">
        <f>ROUND(C143,0)</f>
        <v>0</v>
      </c>
      <c r="AH725" s="281">
        <f>ROUND(D139,0)</f>
        <v>3802</v>
      </c>
      <c r="AI725" s="281">
        <f>ROUND(D140,0)</f>
        <v>670</v>
      </c>
      <c r="AJ725" s="281">
        <f>ROUND(D141,0)</f>
        <v>10180553</v>
      </c>
      <c r="AK725" s="281">
        <f>ROUND(D142,0)</f>
        <v>336900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3" t="str">
        <f>RIGHT(C84,3)&amp;"*"&amp;RIGHT(C83,4)&amp;"*"&amp;"A"</f>
        <v>LLC*928*A</v>
      </c>
      <c r="B729" s="281">
        <f>ROUND(C249,0)</f>
        <v>0</v>
      </c>
      <c r="C729" s="281">
        <f>ROUND(C250,0)</f>
        <v>311402</v>
      </c>
      <c r="D729" s="281">
        <f>ROUND(C251,0)</f>
        <v>0</v>
      </c>
      <c r="E729" s="281">
        <f>ROUND(C252,0)</f>
        <v>4217406</v>
      </c>
      <c r="F729" s="281">
        <f>ROUND(C253,0)</f>
        <v>834492</v>
      </c>
      <c r="G729" s="281">
        <f>ROUND(C254,0)</f>
        <v>0</v>
      </c>
      <c r="H729" s="281">
        <f>ROUND(C255,0)</f>
        <v>4175</v>
      </c>
      <c r="I729" s="281">
        <f>ROUND(C256,0)</f>
        <v>0</v>
      </c>
      <c r="J729" s="281">
        <f>ROUND(C257,0)</f>
        <v>96622</v>
      </c>
      <c r="K729" s="281">
        <f>ROUND(C258,0)</f>
        <v>575508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0</v>
      </c>
      <c r="Q729" s="281">
        <f>ROUND(C268,0)</f>
        <v>0</v>
      </c>
      <c r="R729" s="281">
        <f>ROUND(C269,0)</f>
        <v>28660744</v>
      </c>
      <c r="S729" s="281">
        <f>ROUND(C270,0)</f>
        <v>98994</v>
      </c>
      <c r="T729" s="281">
        <f>ROUND(C271,0)</f>
        <v>0</v>
      </c>
      <c r="U729" s="281">
        <f>ROUND(C272,0)</f>
        <v>1358866</v>
      </c>
      <c r="V729" s="281">
        <f>ROUND(C273,0)</f>
        <v>0</v>
      </c>
      <c r="W729" s="281">
        <f>ROUND(C274,0)</f>
        <v>0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39112</v>
      </c>
      <c r="AJ729" s="281">
        <f>ROUND(C306,0)</f>
        <v>512846</v>
      </c>
      <c r="AK729" s="281">
        <f>ROUND(C307,0)</f>
        <v>1196137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0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274441</v>
      </c>
      <c r="AY729" s="281">
        <f>ROUND(C325,0)</f>
        <v>0</v>
      </c>
      <c r="AZ729" s="281">
        <f>ROUND(C326,0)</f>
        <v>0</v>
      </c>
      <c r="BA729" s="281">
        <f>ROUND(C327,0)</f>
        <v>243372</v>
      </c>
      <c r="BB729" s="281">
        <f>ROUND(C331,0)</f>
        <v>0</v>
      </c>
      <c r="BC729" s="281"/>
      <c r="BD729" s="281"/>
      <c r="BE729" s="281">
        <f>ROUND(C336,0)</f>
        <v>32537907</v>
      </c>
      <c r="BF729" s="281">
        <f>ROUND(C335,0)</f>
        <v>0</v>
      </c>
      <c r="BG729" s="281"/>
      <c r="BH729" s="281"/>
      <c r="BI729" s="284">
        <f>ROUND(CE60,2)</f>
        <v>142</v>
      </c>
      <c r="BJ729" s="281">
        <f>ROUND(C358,0)</f>
        <v>0</v>
      </c>
      <c r="BK729" s="281">
        <f>ROUND(C359,0)</f>
        <v>35748553</v>
      </c>
      <c r="BL729" s="281">
        <f>ROUND(C362,0)</f>
        <v>0</v>
      </c>
      <c r="BM729" s="281">
        <f>ROUND(C363,0)</f>
        <v>154865</v>
      </c>
      <c r="BN729" s="281">
        <f>ROUND(C364,0)</f>
        <v>19024389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9372249</v>
      </c>
      <c r="BT729" s="281">
        <f>ROUND(C379,0)</f>
        <v>1659337</v>
      </c>
      <c r="BU729" s="281">
        <f>ROUND(C380,0)</f>
        <v>1865192</v>
      </c>
      <c r="BV729" s="281">
        <f>ROUND(C381,0)</f>
        <v>620825</v>
      </c>
      <c r="BW729" s="281">
        <f>ROUND(C382,0)</f>
        <v>271122</v>
      </c>
      <c r="BX729" s="281">
        <f>ROUND(C383,0)</f>
        <v>1800448</v>
      </c>
      <c r="BY729" s="281">
        <f>ROUND(C384,0)</f>
        <v>941095</v>
      </c>
      <c r="BZ729" s="281">
        <f>ROUND(C385,0)</f>
        <v>1361885</v>
      </c>
      <c r="CA729" s="281">
        <f>ROUND(C386,0)</f>
        <v>153395</v>
      </c>
      <c r="CB729" s="281">
        <f>ROUND(C387,0)</f>
        <v>439007</v>
      </c>
      <c r="CC729" s="281">
        <f>ROUND(C388,0)</f>
        <v>0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LLC*928*6010*A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LLC*928*6030*A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1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LLC*928*6070*A</v>
      </c>
      <c r="B735" s="281">
        <f>ROUND(E59,0)</f>
        <v>0</v>
      </c>
      <c r="C735" s="284">
        <f>ROUND(E60,2)</f>
        <v>0</v>
      </c>
      <c r="D735" s="281">
        <f>ROUND(E61,0)</f>
        <v>0</v>
      </c>
      <c r="E735" s="281">
        <f>ROUND(E62,0)</f>
        <v>0</v>
      </c>
      <c r="F735" s="281">
        <f>ROUND(E63,0)</f>
        <v>0</v>
      </c>
      <c r="G735" s="281">
        <f>ROUND(E64,0)</f>
        <v>0</v>
      </c>
      <c r="H735" s="281">
        <f>ROUND(E65,0)</f>
        <v>0</v>
      </c>
      <c r="I735" s="281">
        <f>ROUND(E66,0)</f>
        <v>0</v>
      </c>
      <c r="J735" s="281">
        <f>ROUND(E67,0)</f>
        <v>0</v>
      </c>
      <c r="K735" s="281">
        <f>ROUND(E68,0)</f>
        <v>0</v>
      </c>
      <c r="L735" s="281">
        <f>ROUND(E70,0)</f>
        <v>0</v>
      </c>
      <c r="M735" s="281">
        <f>ROUND(E71,0)</f>
        <v>0</v>
      </c>
      <c r="N735" s="281">
        <f>ROUND(E76,0)</f>
        <v>0</v>
      </c>
      <c r="O735" s="281">
        <f>ROUND(E74,0)</f>
        <v>0</v>
      </c>
      <c r="P735" s="281">
        <f>IF(E77&gt;0,ROUND(E77,0),0)</f>
        <v>0</v>
      </c>
      <c r="Q735" s="281">
        <f>IF(E78&gt;0,ROUND(E78,0),0)</f>
        <v>0</v>
      </c>
      <c r="R735" s="281">
        <f>IF(E79&gt;0,ROUND(E79,0),0)</f>
        <v>0</v>
      </c>
      <c r="S735" s="281">
        <f>IF(E80&gt;0,ROUND(E80,0),0)</f>
        <v>0</v>
      </c>
      <c r="T735" s="284">
        <f>IF(E81&gt;0,ROUND(E81,2),0)</f>
        <v>0</v>
      </c>
      <c r="U735" s="281"/>
      <c r="X735" s="281"/>
      <c r="Y735" s="281"/>
      <c r="Z735" s="281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LLC*928*6100*A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1"/>
        <v>0</v>
      </c>
    </row>
    <row r="737" spans="1:26" ht="12.65" customHeight="1" x14ac:dyDescent="0.35">
      <c r="A737" s="209" t="str">
        <f>RIGHT($C$84,3)&amp;"*"&amp;RIGHT($C$83,4)&amp;"*"&amp;G$55&amp;"*"&amp;"A"</f>
        <v>LLC*928*6120*A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LLC*928*6140*A</v>
      </c>
      <c r="B738" s="281">
        <f>ROUND(H59,0)</f>
        <v>16586</v>
      </c>
      <c r="C738" s="284">
        <f>ROUND(H60,2)</f>
        <v>65</v>
      </c>
      <c r="D738" s="281">
        <f>ROUND(H61,0)</f>
        <v>4145186</v>
      </c>
      <c r="E738" s="281">
        <f>ROUND(H62,0)</f>
        <v>738088</v>
      </c>
      <c r="F738" s="281">
        <f>ROUND(H63,0)</f>
        <v>0</v>
      </c>
      <c r="G738" s="281">
        <f>ROUND(H64,0)</f>
        <v>73181</v>
      </c>
      <c r="H738" s="281">
        <f>ROUND(H65,0)</f>
        <v>0</v>
      </c>
      <c r="I738" s="281">
        <f>ROUND(H66,0)</f>
        <v>685556</v>
      </c>
      <c r="J738" s="281">
        <f>ROUND(H67,0)</f>
        <v>606733</v>
      </c>
      <c r="K738" s="281">
        <f>ROUND(H68,0)</f>
        <v>0</v>
      </c>
      <c r="L738" s="281">
        <f>ROUND(H70,0)</f>
        <v>0</v>
      </c>
      <c r="M738" s="281">
        <f>ROUND(H71,0)</f>
        <v>6248744</v>
      </c>
      <c r="N738" s="281">
        <f>ROUND(H76,0)</f>
        <v>44053</v>
      </c>
      <c r="O738" s="281">
        <f>ROUND(H74,0)</f>
        <v>0</v>
      </c>
      <c r="P738" s="281">
        <f>IF(H77&gt;0,ROUND(H77,0),0)</f>
        <v>50769</v>
      </c>
      <c r="Q738" s="281">
        <f>IF(H78&gt;0,ROUND(H78,0),0)</f>
        <v>7566</v>
      </c>
      <c r="R738" s="281">
        <f>IF(H79&gt;0,ROUND(H79,0),0)</f>
        <v>71084</v>
      </c>
      <c r="S738" s="281">
        <f>IF(H80&gt;0,ROUND(H80,0),0)</f>
        <v>65</v>
      </c>
      <c r="T738" s="284">
        <f>IF(H81&gt;0,ROUND(H81,2),0)</f>
        <v>0</v>
      </c>
      <c r="U738" s="281"/>
      <c r="X738" s="281"/>
      <c r="Y738" s="281"/>
      <c r="Z738" s="281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LLC*928*6150*A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1"/>
        <v>11271419</v>
      </c>
    </row>
    <row r="740" spans="1:26" ht="12.65" customHeight="1" x14ac:dyDescent="0.35">
      <c r="A740" s="209" t="str">
        <f>RIGHT($C$84,3)&amp;"*"&amp;RIGHT($C$83,4)&amp;"*"&amp;J$55&amp;"*"&amp;"A"</f>
        <v>LLC*928*6170*A</v>
      </c>
      <c r="B740" s="281">
        <f>ROUND(J59,0)</f>
        <v>0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0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LLC*928*6200*A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LLC*928*6210*A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LLC*928*6330*A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LLC*928*6400*A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LLC*928*7010*A</v>
      </c>
      <c r="B745" s="281">
        <f>ROUND(O59,0)</f>
        <v>0</v>
      </c>
      <c r="C745" s="284">
        <f>ROUND(O60,2)</f>
        <v>0</v>
      </c>
      <c r="D745" s="281">
        <f>ROUND(O61,0)</f>
        <v>0</v>
      </c>
      <c r="E745" s="281">
        <f>ROUND(O62,0)</f>
        <v>0</v>
      </c>
      <c r="F745" s="281">
        <f>ROUND(O63,0)</f>
        <v>0</v>
      </c>
      <c r="G745" s="281">
        <f>ROUND(O64,0)</f>
        <v>0</v>
      </c>
      <c r="H745" s="281">
        <f>ROUND(O65,0)</f>
        <v>0</v>
      </c>
      <c r="I745" s="281">
        <f>ROUND(O66,0)</f>
        <v>0</v>
      </c>
      <c r="J745" s="281">
        <f>ROUND(O67,0)</f>
        <v>0</v>
      </c>
      <c r="K745" s="281">
        <f>ROUND(O68,0)</f>
        <v>0</v>
      </c>
      <c r="L745" s="281">
        <f>ROUND(O70,0)</f>
        <v>0</v>
      </c>
      <c r="M745" s="281">
        <f>ROUND(O71,0)</f>
        <v>0</v>
      </c>
      <c r="N745" s="281">
        <f>ROUND(O76,0)</f>
        <v>0</v>
      </c>
      <c r="O745" s="281">
        <f>ROUND(O74,0)</f>
        <v>0</v>
      </c>
      <c r="P745" s="281">
        <f>IF(O77&gt;0,ROUND(O77,0),0)</f>
        <v>0</v>
      </c>
      <c r="Q745" s="281">
        <f>IF(O78&gt;0,ROUND(O78,0),0)</f>
        <v>0</v>
      </c>
      <c r="R745" s="281">
        <f>IF(O79&gt;0,ROUND(O79,0),0)</f>
        <v>0</v>
      </c>
      <c r="S745" s="281">
        <f>IF(O80&gt;0,ROUND(O80,0),0)</f>
        <v>0</v>
      </c>
      <c r="T745" s="284">
        <f>IF(O81&gt;0,ROUND(O81,2),0)</f>
        <v>0</v>
      </c>
      <c r="U745" s="281"/>
      <c r="X745" s="281"/>
      <c r="Y745" s="281"/>
      <c r="Z745" s="281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LLC*928*7020*A</v>
      </c>
      <c r="B746" s="281">
        <f>ROUND(P59,0)</f>
        <v>0</v>
      </c>
      <c r="C746" s="284">
        <f>ROUND(P60,2)</f>
        <v>0</v>
      </c>
      <c r="D746" s="281">
        <f>ROUND(P61,0)</f>
        <v>0</v>
      </c>
      <c r="E746" s="281">
        <f>ROUND(P62,0)</f>
        <v>0</v>
      </c>
      <c r="F746" s="281">
        <f>ROUND(P63,0)</f>
        <v>0</v>
      </c>
      <c r="G746" s="281">
        <f>ROUND(P64,0)</f>
        <v>0</v>
      </c>
      <c r="H746" s="281">
        <f>ROUND(P65,0)</f>
        <v>0</v>
      </c>
      <c r="I746" s="281">
        <f>ROUND(P66,0)</f>
        <v>0</v>
      </c>
      <c r="J746" s="281">
        <f>ROUND(P67,0)</f>
        <v>0</v>
      </c>
      <c r="K746" s="281">
        <f>ROUND(P68,0)</f>
        <v>0</v>
      </c>
      <c r="L746" s="281">
        <f>ROUND(P70,0)</f>
        <v>0</v>
      </c>
      <c r="M746" s="281">
        <f>ROUND(P71,0)</f>
        <v>0</v>
      </c>
      <c r="N746" s="281">
        <f>ROUND(P76,0)</f>
        <v>0</v>
      </c>
      <c r="O746" s="281">
        <f>ROUND(P74,0)</f>
        <v>0</v>
      </c>
      <c r="P746" s="281">
        <f>IF(P77&gt;0,ROUND(P77,0),0)</f>
        <v>0</v>
      </c>
      <c r="Q746" s="281">
        <f>IF(P78&gt;0,ROUND(P78,0),0)</f>
        <v>0</v>
      </c>
      <c r="R746" s="281">
        <f>IF(P79&gt;0,ROUND(P79,0),0)</f>
        <v>0</v>
      </c>
      <c r="S746" s="281">
        <f>IF(P80&gt;0,ROUND(P80,0),0)</f>
        <v>0</v>
      </c>
      <c r="T746" s="284">
        <f>IF(P81&gt;0,ROUND(P81,2),0)</f>
        <v>0</v>
      </c>
      <c r="U746" s="281"/>
      <c r="X746" s="281"/>
      <c r="Y746" s="281"/>
      <c r="Z746" s="281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LLC*928*7030*A</v>
      </c>
      <c r="B747" s="281">
        <f>ROUND(Q59,0)</f>
        <v>0</v>
      </c>
      <c r="C747" s="284">
        <f>ROUND(Q60,2)</f>
        <v>0</v>
      </c>
      <c r="D747" s="281">
        <f>ROUND(Q61,0)</f>
        <v>0</v>
      </c>
      <c r="E747" s="281">
        <f>ROUND(Q62,0)</f>
        <v>0</v>
      </c>
      <c r="F747" s="281">
        <f>ROUND(Q63,0)</f>
        <v>0</v>
      </c>
      <c r="G747" s="281">
        <f>ROUND(Q64,0)</f>
        <v>0</v>
      </c>
      <c r="H747" s="281">
        <f>ROUND(Q65,0)</f>
        <v>0</v>
      </c>
      <c r="I747" s="281">
        <f>ROUND(Q66,0)</f>
        <v>0</v>
      </c>
      <c r="J747" s="281">
        <f>ROUND(Q67,0)</f>
        <v>0</v>
      </c>
      <c r="K747" s="281">
        <f>ROUND(Q68,0)</f>
        <v>0</v>
      </c>
      <c r="L747" s="281">
        <f>ROUND(Q70,0)</f>
        <v>0</v>
      </c>
      <c r="M747" s="281">
        <f>ROUND(Q71,0)</f>
        <v>0</v>
      </c>
      <c r="N747" s="281">
        <f>ROUND(Q76,0)</f>
        <v>0</v>
      </c>
      <c r="O747" s="281">
        <f>ROUND(Q74,0)</f>
        <v>0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0</v>
      </c>
      <c r="S747" s="281">
        <f>IF(Q80&gt;0,ROUND(Q80,0),0)</f>
        <v>0</v>
      </c>
      <c r="T747" s="284">
        <f>IF(Q81&gt;0,ROUND(Q81,2),0)</f>
        <v>0</v>
      </c>
      <c r="U747" s="281"/>
      <c r="X747" s="281"/>
      <c r="Y747" s="281"/>
      <c r="Z747" s="281">
        <f t="shared" si="21"/>
        <v>0</v>
      </c>
    </row>
    <row r="748" spans="1:26" ht="12.65" customHeight="1" x14ac:dyDescent="0.35">
      <c r="A748" s="209" t="str">
        <f>RIGHT($C$84,3)&amp;"*"&amp;RIGHT($C$83,4)&amp;"*"&amp;R$55&amp;"*"&amp;"A"</f>
        <v>LLC*928*7040*A</v>
      </c>
      <c r="B748" s="281">
        <f>ROUND(R59,0)</f>
        <v>0</v>
      </c>
      <c r="C748" s="284">
        <f>ROUND(R60,2)</f>
        <v>0</v>
      </c>
      <c r="D748" s="281">
        <f>ROUND(R61,0)</f>
        <v>0</v>
      </c>
      <c r="E748" s="281">
        <f>ROUND(R62,0)</f>
        <v>0</v>
      </c>
      <c r="F748" s="281">
        <f>ROUND(R63,0)</f>
        <v>0</v>
      </c>
      <c r="G748" s="281">
        <f>ROUND(R64,0)</f>
        <v>0</v>
      </c>
      <c r="H748" s="281">
        <f>ROUND(R65,0)</f>
        <v>0</v>
      </c>
      <c r="I748" s="281">
        <f>ROUND(R66,0)</f>
        <v>0</v>
      </c>
      <c r="J748" s="281">
        <f>ROUND(R67,0)</f>
        <v>0</v>
      </c>
      <c r="K748" s="281">
        <f>ROUND(R68,0)</f>
        <v>0</v>
      </c>
      <c r="L748" s="281">
        <f>ROUND(R70,0)</f>
        <v>0</v>
      </c>
      <c r="M748" s="281">
        <f>ROUND(R71,0)</f>
        <v>0</v>
      </c>
      <c r="N748" s="281">
        <f>ROUND(R76,0)</f>
        <v>0</v>
      </c>
      <c r="O748" s="281">
        <f>ROUND(R74,0)</f>
        <v>0</v>
      </c>
      <c r="P748" s="281">
        <f>IF(R77&gt;0,ROUND(R77,0),0)</f>
        <v>0</v>
      </c>
      <c r="Q748" s="281">
        <f>IF(R78&gt;0,ROUND(R78,0),0)</f>
        <v>0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1"/>
        <v>0</v>
      </c>
    </row>
    <row r="749" spans="1:26" ht="12.65" customHeight="1" x14ac:dyDescent="0.35">
      <c r="A749" s="209" t="str">
        <f>RIGHT($C$84,3)&amp;"*"&amp;RIGHT($C$83,4)&amp;"*"&amp;S$55&amp;"*"&amp;"A"</f>
        <v>LLC*928*7050*A</v>
      </c>
      <c r="B749" s="281"/>
      <c r="C749" s="284">
        <f>ROUND(S60,2)</f>
        <v>0</v>
      </c>
      <c r="D749" s="281">
        <f>ROUND(S61,0)</f>
        <v>0</v>
      </c>
      <c r="E749" s="281">
        <f>ROUND(S62,0)</f>
        <v>0</v>
      </c>
      <c r="F749" s="281">
        <f>ROUND(S63,0)</f>
        <v>0</v>
      </c>
      <c r="G749" s="281">
        <f>ROUND(S64,0)</f>
        <v>0</v>
      </c>
      <c r="H749" s="281">
        <f>ROUND(S65,0)</f>
        <v>0</v>
      </c>
      <c r="I749" s="281">
        <f>ROUND(S66,0)</f>
        <v>0</v>
      </c>
      <c r="J749" s="281">
        <f>ROUND(S67,0)</f>
        <v>0</v>
      </c>
      <c r="K749" s="281">
        <f>ROUND(S68,0)</f>
        <v>0</v>
      </c>
      <c r="L749" s="281">
        <f>ROUND(S70,0)</f>
        <v>0</v>
      </c>
      <c r="M749" s="281">
        <f>ROUND(S71,0)</f>
        <v>0</v>
      </c>
      <c r="N749" s="281">
        <f>ROUND(S76,0)</f>
        <v>0</v>
      </c>
      <c r="O749" s="281">
        <f>ROUND(S74,0)</f>
        <v>0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1"/>
        <v>0</v>
      </c>
    </row>
    <row r="750" spans="1:26" ht="12.65" customHeight="1" x14ac:dyDescent="0.35">
      <c r="A750" s="209" t="str">
        <f>RIGHT($C$84,3)&amp;"*"&amp;RIGHT($C$83,4)&amp;"*"&amp;T$55&amp;"*"&amp;"A"</f>
        <v>LLC*928*7060*A</v>
      </c>
      <c r="B750" s="281"/>
      <c r="C750" s="284">
        <f>ROUND(T60,2)</f>
        <v>0</v>
      </c>
      <c r="D750" s="281">
        <f>ROUND(T61,0)</f>
        <v>0</v>
      </c>
      <c r="E750" s="281">
        <f>ROUND(T62,0)</f>
        <v>0</v>
      </c>
      <c r="F750" s="281">
        <f>ROUND(T63,0)</f>
        <v>0</v>
      </c>
      <c r="G750" s="281">
        <f>ROUND(T64,0)</f>
        <v>0</v>
      </c>
      <c r="H750" s="281">
        <f>ROUND(T65,0)</f>
        <v>0</v>
      </c>
      <c r="I750" s="281">
        <f>ROUND(T66,0)</f>
        <v>0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0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>
        <f t="shared" si="21"/>
        <v>0</v>
      </c>
    </row>
    <row r="751" spans="1:26" ht="12.65" customHeight="1" x14ac:dyDescent="0.35">
      <c r="A751" s="209" t="str">
        <f>RIGHT($C$84,3)&amp;"*"&amp;RIGHT($C$83,4)&amp;"*"&amp;U$55&amp;"*"&amp;"A"</f>
        <v>LLC*928*7070*A</v>
      </c>
      <c r="B751" s="281">
        <f>ROUND(U59,0)</f>
        <v>0</v>
      </c>
      <c r="C751" s="284">
        <f>ROUND(U60,2)</f>
        <v>0</v>
      </c>
      <c r="D751" s="281">
        <f>ROUND(U61,0)</f>
        <v>0</v>
      </c>
      <c r="E751" s="281">
        <f>ROUND(U62,0)</f>
        <v>0</v>
      </c>
      <c r="F751" s="281">
        <f>ROUND(U63,0)</f>
        <v>0</v>
      </c>
      <c r="G751" s="281">
        <f>ROUND(U64,0)</f>
        <v>0</v>
      </c>
      <c r="H751" s="281">
        <f>ROUND(U65,0)</f>
        <v>0</v>
      </c>
      <c r="I751" s="281">
        <f>ROUND(U66,0)</f>
        <v>34056</v>
      </c>
      <c r="J751" s="281">
        <f>ROUND(U67,0)</f>
        <v>1198</v>
      </c>
      <c r="K751" s="281">
        <f>ROUND(U68,0)</f>
        <v>0</v>
      </c>
      <c r="L751" s="281">
        <f>ROUND(U70,0)</f>
        <v>0</v>
      </c>
      <c r="M751" s="281">
        <f>ROUND(U71,0)</f>
        <v>35254</v>
      </c>
      <c r="N751" s="281">
        <f>ROUND(U76,0)</f>
        <v>87</v>
      </c>
      <c r="O751" s="281">
        <f>ROUND(U74,0)</f>
        <v>0</v>
      </c>
      <c r="P751" s="281">
        <f>IF(U77&gt;0,ROUND(U77,0),0)</f>
        <v>0</v>
      </c>
      <c r="Q751" s="281">
        <f>IF(U78&gt;0,ROUND(U78,0),0)</f>
        <v>0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LLC*928*7110*A</v>
      </c>
      <c r="B752" s="281">
        <f>ROUND(V59,0)</f>
        <v>0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0</v>
      </c>
      <c r="G752" s="281">
        <f>ROUND(V64,0)</f>
        <v>0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0</v>
      </c>
      <c r="L752" s="281">
        <f>ROUND(V70,0)</f>
        <v>0</v>
      </c>
      <c r="M752" s="281">
        <f>ROUND(V71,0)</f>
        <v>0</v>
      </c>
      <c r="N752" s="281">
        <f>ROUND(V76,0)</f>
        <v>0</v>
      </c>
      <c r="O752" s="281">
        <f>ROUND(V74,0)</f>
        <v>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>
        <f t="shared" si="21"/>
        <v>6642</v>
      </c>
    </row>
    <row r="753" spans="1:26" ht="12.65" customHeight="1" x14ac:dyDescent="0.35">
      <c r="A753" s="209" t="str">
        <f>RIGHT($C$84,3)&amp;"*"&amp;RIGHT($C$83,4)&amp;"*"&amp;W$55&amp;"*"&amp;"A"</f>
        <v>LLC*928*7120*A</v>
      </c>
      <c r="B753" s="281">
        <f>ROUND(W59,0)</f>
        <v>0</v>
      </c>
      <c r="C753" s="284">
        <f>ROUND(W60,2)</f>
        <v>0</v>
      </c>
      <c r="D753" s="281">
        <f>ROUND(W61,0)</f>
        <v>0</v>
      </c>
      <c r="E753" s="281">
        <f>ROUND(W62,0)</f>
        <v>0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0</v>
      </c>
      <c r="J753" s="281">
        <f>ROUND(W67,0)</f>
        <v>0</v>
      </c>
      <c r="K753" s="281">
        <f>ROUND(W68,0)</f>
        <v>0</v>
      </c>
      <c r="L753" s="281">
        <f>ROUND(W70,0)</f>
        <v>0</v>
      </c>
      <c r="M753" s="281">
        <f>ROUND(W71,0)</f>
        <v>0</v>
      </c>
      <c r="N753" s="281">
        <f>ROUND(W76,0)</f>
        <v>0</v>
      </c>
      <c r="O753" s="281">
        <f>ROUND(W74,0)</f>
        <v>0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1"/>
        <v>0</v>
      </c>
    </row>
    <row r="754" spans="1:26" ht="12.65" customHeight="1" x14ac:dyDescent="0.35">
      <c r="A754" s="209" t="str">
        <f>RIGHT($C$84,3)&amp;"*"&amp;RIGHT($C$83,4)&amp;"*"&amp;X$55&amp;"*"&amp;"A"</f>
        <v>LLC*928*7130*A</v>
      </c>
      <c r="B754" s="281">
        <f>ROUND(X59,0)</f>
        <v>0</v>
      </c>
      <c r="C754" s="284">
        <f>ROUND(X60,2)</f>
        <v>0</v>
      </c>
      <c r="D754" s="281">
        <f>ROUND(X61,0)</f>
        <v>0</v>
      </c>
      <c r="E754" s="281">
        <f>ROUND(X62,0)</f>
        <v>0</v>
      </c>
      <c r="F754" s="281">
        <f>ROUND(X63,0)</f>
        <v>0</v>
      </c>
      <c r="G754" s="281">
        <f>ROUND(X64,0)</f>
        <v>0</v>
      </c>
      <c r="H754" s="281">
        <f>ROUND(X65,0)</f>
        <v>0</v>
      </c>
      <c r="I754" s="281">
        <f>ROUND(X66,0)</f>
        <v>0</v>
      </c>
      <c r="J754" s="281">
        <f>ROUND(X67,0)</f>
        <v>0</v>
      </c>
      <c r="K754" s="281">
        <f>ROUND(X68,0)</f>
        <v>0</v>
      </c>
      <c r="L754" s="281">
        <f>ROUND(X70,0)</f>
        <v>0</v>
      </c>
      <c r="M754" s="281">
        <f>ROUND(X71,0)</f>
        <v>0</v>
      </c>
      <c r="N754" s="281">
        <f>ROUND(X76,0)</f>
        <v>0</v>
      </c>
      <c r="O754" s="281">
        <f>ROUND(X74,0)</f>
        <v>0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1"/>
        <v>0</v>
      </c>
    </row>
    <row r="755" spans="1:26" ht="12.65" customHeight="1" x14ac:dyDescent="0.35">
      <c r="A755" s="209" t="str">
        <f>RIGHT($C$84,3)&amp;"*"&amp;RIGHT($C$83,4)&amp;"*"&amp;Y$55&amp;"*"&amp;"A"</f>
        <v>LLC*928*7140*A</v>
      </c>
      <c r="B755" s="281">
        <f>ROUND(Y59,0)</f>
        <v>0</v>
      </c>
      <c r="C755" s="284">
        <f>ROUND(Y60,2)</f>
        <v>0</v>
      </c>
      <c r="D755" s="281">
        <f>ROUND(Y61,0)</f>
        <v>0</v>
      </c>
      <c r="E755" s="281">
        <f>ROUND(Y62,0)</f>
        <v>0</v>
      </c>
      <c r="F755" s="281">
        <f>ROUND(Y63,0)</f>
        <v>0</v>
      </c>
      <c r="G755" s="281">
        <f>ROUND(Y64,0)</f>
        <v>0</v>
      </c>
      <c r="H755" s="281">
        <f>ROUND(Y65,0)</f>
        <v>0</v>
      </c>
      <c r="I755" s="281">
        <f>ROUND(Y66,0)</f>
        <v>13767</v>
      </c>
      <c r="J755" s="281">
        <f>ROUND(Y67,0)</f>
        <v>0</v>
      </c>
      <c r="K755" s="281">
        <f>ROUND(Y68,0)</f>
        <v>0</v>
      </c>
      <c r="L755" s="281">
        <f>ROUND(Y70,0)</f>
        <v>0</v>
      </c>
      <c r="M755" s="281">
        <f>ROUND(Y71,0)</f>
        <v>13767</v>
      </c>
      <c r="N755" s="281">
        <f>ROUND(Y76,0)</f>
        <v>0</v>
      </c>
      <c r="O755" s="281">
        <f>ROUND(Y74,0)</f>
        <v>0</v>
      </c>
      <c r="P755" s="281">
        <f>IF(Y77&gt;0,ROUND(Y77,0),0)</f>
        <v>0</v>
      </c>
      <c r="Q755" s="281">
        <f>IF(Y78&gt;0,ROUND(Y78,0),0)</f>
        <v>0</v>
      </c>
      <c r="R755" s="281">
        <f>IF(Y79&gt;0,ROUND(Y79,0),0)</f>
        <v>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>
        <f t="shared" si="21"/>
        <v>0</v>
      </c>
    </row>
    <row r="756" spans="1:26" ht="12.65" customHeight="1" x14ac:dyDescent="0.35">
      <c r="A756" s="209" t="str">
        <f>RIGHT($C$84,3)&amp;"*"&amp;RIGHT($C$83,4)&amp;"*"&amp;Z$55&amp;"*"&amp;"A"</f>
        <v>LLC*928*7150*A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>
        <f t="shared" si="21"/>
        <v>1185</v>
      </c>
    </row>
    <row r="757" spans="1:26" ht="12.65" customHeight="1" x14ac:dyDescent="0.35">
      <c r="A757" s="209" t="str">
        <f>RIGHT($C$84,3)&amp;"*"&amp;RIGHT($C$83,4)&amp;"*"&amp;AA$55&amp;"*"&amp;"A"</f>
        <v>LLC*928*7160*A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LLC*928*7170*A</v>
      </c>
      <c r="B758" s="281"/>
      <c r="C758" s="284">
        <f>ROUND(AB60,2)</f>
        <v>0</v>
      </c>
      <c r="D758" s="281">
        <f>ROUND(AB61,0)</f>
        <v>0</v>
      </c>
      <c r="E758" s="281">
        <f>ROUND(AB62,0)</f>
        <v>0</v>
      </c>
      <c r="F758" s="281">
        <f>ROUND(AB63,0)</f>
        <v>0</v>
      </c>
      <c r="G758" s="281">
        <f>ROUND(AB64,0)</f>
        <v>198636</v>
      </c>
      <c r="H758" s="281">
        <f>ROUND(AB65,0)</f>
        <v>0</v>
      </c>
      <c r="I758" s="281">
        <f>ROUND(AB66,0)</f>
        <v>494262</v>
      </c>
      <c r="J758" s="281">
        <f>ROUND(AB67,0)</f>
        <v>4325</v>
      </c>
      <c r="K758" s="281">
        <f>ROUND(AB68,0)</f>
        <v>0</v>
      </c>
      <c r="L758" s="281">
        <f>ROUND(AB70,0)</f>
        <v>0</v>
      </c>
      <c r="M758" s="281">
        <f>ROUND(AB71,0)</f>
        <v>697223</v>
      </c>
      <c r="N758" s="281">
        <f>ROUND(AB76,0)</f>
        <v>314</v>
      </c>
      <c r="O758" s="281">
        <f>ROUND(AB74,0)</f>
        <v>0</v>
      </c>
      <c r="P758" s="281">
        <f>IF(AB77&gt;0,ROUND(AB77,0),0)</f>
        <v>0</v>
      </c>
      <c r="Q758" s="281">
        <f>IF(AB78&gt;0,ROUND(AB78,0),0)</f>
        <v>0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1"/>
        <v>0</v>
      </c>
    </row>
    <row r="759" spans="1:26" ht="12.65" customHeight="1" x14ac:dyDescent="0.35">
      <c r="A759" s="209" t="str">
        <f>RIGHT($C$84,3)&amp;"*"&amp;RIGHT($C$83,4)&amp;"*"&amp;AC$55&amp;"*"&amp;"A"</f>
        <v>LLC*928*7180*A</v>
      </c>
      <c r="B759" s="281">
        <f>ROUND(AC59,0)</f>
        <v>0</v>
      </c>
      <c r="C759" s="284">
        <f>ROUND(AC60,2)</f>
        <v>0</v>
      </c>
      <c r="D759" s="281">
        <f>ROUND(AC61,0)</f>
        <v>0</v>
      </c>
      <c r="E759" s="281">
        <f>ROUND(AC62,0)</f>
        <v>0</v>
      </c>
      <c r="F759" s="281">
        <f>ROUND(AC63,0)</f>
        <v>0</v>
      </c>
      <c r="G759" s="281">
        <f>ROUND(AC64,0)</f>
        <v>0</v>
      </c>
      <c r="H759" s="281">
        <f>ROUND(AC65,0)</f>
        <v>0</v>
      </c>
      <c r="I759" s="281">
        <f>ROUND(AC66,0)</f>
        <v>0</v>
      </c>
      <c r="J759" s="281">
        <f>ROUND(AC67,0)</f>
        <v>0</v>
      </c>
      <c r="K759" s="281">
        <f>ROUND(AC68,0)</f>
        <v>0</v>
      </c>
      <c r="L759" s="281">
        <f>ROUND(AC70,0)</f>
        <v>0</v>
      </c>
      <c r="M759" s="281">
        <f>ROUND(AC71,0)</f>
        <v>0</v>
      </c>
      <c r="N759" s="281">
        <f>ROUND(AC76,0)</f>
        <v>0</v>
      </c>
      <c r="O759" s="281">
        <f>ROUND(AC74,0)</f>
        <v>0</v>
      </c>
      <c r="P759" s="281">
        <f>IF(AC77&gt;0,ROUND(AC77,0),0)</f>
        <v>0</v>
      </c>
      <c r="Q759" s="281">
        <f>IF(AC78&gt;0,ROUND(AC78,0),0)</f>
        <v>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1"/>
        <v>76252</v>
      </c>
    </row>
    <row r="760" spans="1:26" ht="12.65" customHeight="1" x14ac:dyDescent="0.35">
      <c r="A760" s="209" t="str">
        <f>RIGHT($C$84,3)&amp;"*"&amp;RIGHT($C$83,4)&amp;"*"&amp;AD$55&amp;"*"&amp;"A"</f>
        <v>LLC*928*7190*A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>
        <f t="shared" si="21"/>
        <v>0</v>
      </c>
    </row>
    <row r="761" spans="1:26" ht="12.65" customHeight="1" x14ac:dyDescent="0.35">
      <c r="A761" s="209" t="str">
        <f>RIGHT($C$84,3)&amp;"*"&amp;RIGHT($C$83,4)&amp;"*"&amp;AE$55&amp;"*"&amp;"A"</f>
        <v>LLC*928*7200*A</v>
      </c>
      <c r="B761" s="281">
        <f>ROUND(AE59,0)</f>
        <v>0</v>
      </c>
      <c r="C761" s="284">
        <f>ROUND(AE60,2)</f>
        <v>0</v>
      </c>
      <c r="D761" s="281">
        <f>ROUND(AE61,0)</f>
        <v>0</v>
      </c>
      <c r="E761" s="281">
        <f>ROUND(AE62,0)</f>
        <v>0</v>
      </c>
      <c r="F761" s="281">
        <f>ROUND(AE63,0)</f>
        <v>0</v>
      </c>
      <c r="G761" s="281">
        <f>ROUND(AE64,0)</f>
        <v>0</v>
      </c>
      <c r="H761" s="281">
        <f>ROUND(AE65,0)</f>
        <v>0</v>
      </c>
      <c r="I761" s="281">
        <f>ROUND(AE66,0)</f>
        <v>0</v>
      </c>
      <c r="J761" s="281">
        <f>ROUND(AE67,0)</f>
        <v>0</v>
      </c>
      <c r="K761" s="281">
        <f>ROUND(AE68,0)</f>
        <v>0</v>
      </c>
      <c r="L761" s="281">
        <f>ROUND(AE70,0)</f>
        <v>0</v>
      </c>
      <c r="M761" s="281">
        <f>ROUND(AE71,0)</f>
        <v>0</v>
      </c>
      <c r="N761" s="281">
        <f>ROUND(AE76,0)</f>
        <v>0</v>
      </c>
      <c r="O761" s="281">
        <f>ROUND(AE74,0)</f>
        <v>0</v>
      </c>
      <c r="P761" s="281">
        <f>IF(AE77&gt;0,ROUND(AE77,0),0)</f>
        <v>0</v>
      </c>
      <c r="Q761" s="281">
        <f>IF(AE78&gt;0,ROUND(AE78,0),0)</f>
        <v>0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LLC*928*7220*A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1"/>
        <v>0</v>
      </c>
    </row>
    <row r="763" spans="1:26" ht="12.65" customHeight="1" x14ac:dyDescent="0.35">
      <c r="A763" s="209" t="str">
        <f>RIGHT($C$84,3)&amp;"*"&amp;RIGHT($C$83,4)&amp;"*"&amp;AG$55&amp;"*"&amp;"A"</f>
        <v>LLC*928*7230*A</v>
      </c>
      <c r="B763" s="281">
        <f>ROUND(AG59,0)</f>
        <v>0</v>
      </c>
      <c r="C763" s="284">
        <f>ROUND(AG60,2)</f>
        <v>0</v>
      </c>
      <c r="D763" s="281">
        <f>ROUND(AG61,0)</f>
        <v>0</v>
      </c>
      <c r="E763" s="281">
        <f>ROUND(AG62,0)</f>
        <v>0</v>
      </c>
      <c r="F763" s="281">
        <f>ROUND(AG63,0)</f>
        <v>0</v>
      </c>
      <c r="G763" s="281">
        <f>ROUND(AG64,0)</f>
        <v>0</v>
      </c>
      <c r="H763" s="281">
        <f>ROUND(AG65,0)</f>
        <v>0</v>
      </c>
      <c r="I763" s="281">
        <f>ROUND(AG66,0)</f>
        <v>0</v>
      </c>
      <c r="J763" s="281">
        <f>ROUND(AG67,0)</f>
        <v>0</v>
      </c>
      <c r="K763" s="281">
        <f>ROUND(AG68,0)</f>
        <v>0</v>
      </c>
      <c r="L763" s="281">
        <f>ROUND(AG70,0)</f>
        <v>0</v>
      </c>
      <c r="M763" s="281">
        <f>ROUND(AG71,0)</f>
        <v>0</v>
      </c>
      <c r="N763" s="281">
        <f>ROUND(AG76,0)</f>
        <v>0</v>
      </c>
      <c r="O763" s="281">
        <f>ROUND(AG74,0)</f>
        <v>0</v>
      </c>
      <c r="P763" s="281">
        <f>IF(AG77&gt;0,ROUND(AG77,0),0)</f>
        <v>0</v>
      </c>
      <c r="Q763" s="281">
        <f>IF(AG78&gt;0,ROUND(AG78,0),0)</f>
        <v>0</v>
      </c>
      <c r="R763" s="281">
        <f>IF(AG79&gt;0,ROUND(AG79,0),0)</f>
        <v>0</v>
      </c>
      <c r="S763" s="281">
        <f>IF(AG80&gt;0,ROUND(AG80,0),0)</f>
        <v>0</v>
      </c>
      <c r="T763" s="284">
        <f>IF(AG81&gt;0,ROUND(AG81,2),0)</f>
        <v>0</v>
      </c>
      <c r="U763" s="281"/>
      <c r="X763" s="281"/>
      <c r="Y763" s="281"/>
      <c r="Z763" s="281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LLC*928*7240*A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1"/>
        <v>0</v>
      </c>
    </row>
    <row r="765" spans="1:26" ht="12.65" customHeight="1" x14ac:dyDescent="0.35">
      <c r="A765" s="209" t="str">
        <f>RIGHT($C$84,3)&amp;"*"&amp;RIGHT($C$83,4)&amp;"*"&amp;AI$55&amp;"*"&amp;"A"</f>
        <v>LLC*928*7250*A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LLC*928*7260*A</v>
      </c>
      <c r="B766" s="281">
        <f>ROUND(AJ59,0)</f>
        <v>0</v>
      </c>
      <c r="C766" s="284">
        <f>ROUND(AJ60,2)</f>
        <v>1</v>
      </c>
      <c r="D766" s="281">
        <f>ROUND(AJ61,0)</f>
        <v>81117</v>
      </c>
      <c r="E766" s="281">
        <f>ROUND(AJ62,0)</f>
        <v>14563</v>
      </c>
      <c r="F766" s="281">
        <f>ROUND(AJ63,0)</f>
        <v>0</v>
      </c>
      <c r="G766" s="281">
        <f>ROUND(AJ64,0)</f>
        <v>0</v>
      </c>
      <c r="H766" s="281">
        <f>ROUND(AJ65,0)</f>
        <v>0</v>
      </c>
      <c r="I766" s="281">
        <f>ROUND(AJ66,0)</f>
        <v>0</v>
      </c>
      <c r="J766" s="281">
        <f>ROUND(AJ67,0)</f>
        <v>21031</v>
      </c>
      <c r="K766" s="281">
        <f>ROUND(AJ68,0)</f>
        <v>0</v>
      </c>
      <c r="L766" s="281">
        <f>ROUND(AJ70,0)</f>
        <v>0</v>
      </c>
      <c r="M766" s="281">
        <f>ROUND(AJ71,0)</f>
        <v>116711</v>
      </c>
      <c r="N766" s="281">
        <f>ROUND(AJ76,0)</f>
        <v>1527</v>
      </c>
      <c r="O766" s="281">
        <f>ROUND(AJ74,0)</f>
        <v>376900</v>
      </c>
      <c r="P766" s="281">
        <f>IF(AJ77&gt;0,ROUND(AJ77,0),0)</f>
        <v>0</v>
      </c>
      <c r="Q766" s="281">
        <f>IF(AJ78&gt;0,ROUND(AJ78,0),0)</f>
        <v>0</v>
      </c>
      <c r="R766" s="281">
        <f>IF(AJ79&gt;0,ROUND(AJ79,0),0)</f>
        <v>0</v>
      </c>
      <c r="S766" s="281">
        <f>IF(AJ80&gt;0,ROUND(AJ80,0),0)</f>
        <v>0</v>
      </c>
      <c r="T766" s="284">
        <f>IF(AJ81&gt;0,ROUND(AJ81,2),0)</f>
        <v>0</v>
      </c>
      <c r="U766" s="281"/>
      <c r="X766" s="281"/>
      <c r="Y766" s="281"/>
      <c r="Z766" s="281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LLC*928*7310*A</v>
      </c>
      <c r="B767" s="281">
        <f>ROUND(AK59,0)</f>
        <v>0</v>
      </c>
      <c r="C767" s="284">
        <f>ROUND(AK60,2)</f>
        <v>0</v>
      </c>
      <c r="D767" s="281">
        <f>ROUND(AK61,0)</f>
        <v>0</v>
      </c>
      <c r="E767" s="281">
        <f>ROUND(AK62,0)</f>
        <v>0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>
        <f>ROUND(AK67,0)</f>
        <v>0</v>
      </c>
      <c r="K767" s="281">
        <f>ROUND(AK68,0)</f>
        <v>0</v>
      </c>
      <c r="L767" s="281">
        <f>ROUND(AK70,0)</f>
        <v>0</v>
      </c>
      <c r="M767" s="281">
        <f>ROUND(AK71,0)</f>
        <v>0</v>
      </c>
      <c r="N767" s="281">
        <f>ROUND(AK76,0)</f>
        <v>0</v>
      </c>
      <c r="O767" s="281">
        <f>ROUND(AK74,0)</f>
        <v>0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1"/>
        <v>139648</v>
      </c>
    </row>
    <row r="768" spans="1:26" ht="12.65" customHeight="1" x14ac:dyDescent="0.35">
      <c r="A768" s="209" t="str">
        <f>RIGHT($C$84,3)&amp;"*"&amp;RIGHT($C$83,4)&amp;"*"&amp;AL$55&amp;"*"&amp;"A"</f>
        <v>LLC*928*7320*A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>
        <f>ROUND(AL62,0)</f>
        <v>0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LLC*928*7330*A</v>
      </c>
      <c r="B769" s="281">
        <f>ROUND(AM59,0)</f>
        <v>0</v>
      </c>
      <c r="C769" s="284">
        <f>ROUND(AM60,2)</f>
        <v>2.4</v>
      </c>
      <c r="D769" s="281">
        <f>ROUND(AM61,0)</f>
        <v>170737</v>
      </c>
      <c r="E769" s="281">
        <f>ROUND(AM62,0)</f>
        <v>30634</v>
      </c>
      <c r="F769" s="281">
        <f>ROUND(AM63,0)</f>
        <v>0</v>
      </c>
      <c r="G769" s="281">
        <f>ROUND(AM64,0)</f>
        <v>3653</v>
      </c>
      <c r="H769" s="281">
        <f>ROUND(AM65,0)</f>
        <v>0</v>
      </c>
      <c r="I769" s="281">
        <f>ROUND(AM66,0)</f>
        <v>270</v>
      </c>
      <c r="J769" s="281">
        <f>ROUND(AM67,0)</f>
        <v>27008</v>
      </c>
      <c r="K769" s="281">
        <f>ROUND(AM68,0)</f>
        <v>0</v>
      </c>
      <c r="L769" s="281">
        <f>ROUND(AM70,0)</f>
        <v>0</v>
      </c>
      <c r="M769" s="281">
        <f>ROUND(AM71,0)</f>
        <v>232302</v>
      </c>
      <c r="N769" s="281">
        <f>ROUND(AM76,0)</f>
        <v>1961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LLC*928*7340*A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1"/>
        <v>109920</v>
      </c>
    </row>
    <row r="771" spans="1:26" ht="12.65" customHeight="1" x14ac:dyDescent="0.35">
      <c r="A771" s="209" t="str">
        <f>RIGHT($C$84,3)&amp;"*"&amp;RIGHT($C$83,4)&amp;"*"&amp;AO$55&amp;"*"&amp;"A"</f>
        <v>LLC*928*7350*A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LLC*928*7380*A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>
        <f>ROUND(AP67,0)</f>
        <v>0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LLC*928*7390*A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LLC*928*7400*A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LLC*928*7410*A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LLC*928*7420*A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LLC*928*7430*A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LLC*928*7490*A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>
        <f>ROUND(AV67,0)</f>
        <v>0</v>
      </c>
      <c r="K778" s="281">
        <f>ROUND(AV68,0)</f>
        <v>0</v>
      </c>
      <c r="L778" s="281">
        <f>ROUND(AV70,0)</f>
        <v>0</v>
      </c>
      <c r="M778" s="281">
        <f>ROUND(AV71,0)</f>
        <v>0</v>
      </c>
      <c r="N778" s="281">
        <f>ROUND(AV76,0)</f>
        <v>0</v>
      </c>
      <c r="O778" s="281">
        <f>ROUND(AV74,0)</f>
        <v>0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LLC*928*8200*A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5">
      <c r="A780" s="209" t="str">
        <f>RIGHT($C$84,3)&amp;"*"&amp;RIGHT($C$83,4)&amp;"*"&amp;AX$55&amp;"*"&amp;"A"</f>
        <v>LLC*928*8310*A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5">
      <c r="A781" s="209" t="str">
        <f>RIGHT($C$84,3)&amp;"*"&amp;RIGHT($C$83,4)&amp;"*"&amp;AY$55&amp;"*"&amp;"A"</f>
        <v>LLC*928*8320*A</v>
      </c>
      <c r="B781" s="281">
        <f>ROUND(AY59,0)</f>
        <v>50769</v>
      </c>
      <c r="C781" s="284">
        <f>ROUND(AY60,2)</f>
        <v>7.6</v>
      </c>
      <c r="D781" s="281">
        <f>ROUND(AY61,0)</f>
        <v>327585</v>
      </c>
      <c r="E781" s="281">
        <f>ROUND(AY62,0)</f>
        <v>58334</v>
      </c>
      <c r="F781" s="281">
        <f>ROUND(AY63,0)</f>
        <v>0</v>
      </c>
      <c r="G781" s="281">
        <f>ROUND(AY64,0)</f>
        <v>228440</v>
      </c>
      <c r="H781" s="281">
        <f>ROUND(AY65,0)</f>
        <v>0</v>
      </c>
      <c r="I781" s="281">
        <f>ROUND(AY66,0)</f>
        <v>2568</v>
      </c>
      <c r="J781" s="281">
        <f>ROUND(AY67,0)</f>
        <v>33730</v>
      </c>
      <c r="K781" s="281">
        <f>ROUND(AY68,0)</f>
        <v>0</v>
      </c>
      <c r="L781" s="281">
        <f>ROUND(AY70,0)</f>
        <v>0</v>
      </c>
      <c r="M781" s="281">
        <f>ROUND(AY71,0)</f>
        <v>650657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5">
      <c r="A782" s="209" t="str">
        <f>RIGHT($C$84,3)&amp;"*"&amp;RIGHT($C$83,4)&amp;"*"&amp;AZ$55&amp;"*"&amp;"A"</f>
        <v>LLC*928*8330*A</v>
      </c>
      <c r="B782" s="281">
        <f>ROUND(AZ59,0)</f>
        <v>0</v>
      </c>
      <c r="C782" s="284">
        <f>ROUND(AZ60,2)</f>
        <v>0</v>
      </c>
      <c r="D782" s="281">
        <f>ROUND(AZ61,0)</f>
        <v>0</v>
      </c>
      <c r="E782" s="281">
        <f>ROUND(AZ62,0)</f>
        <v>0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>
        <f>ROUND(AZ67,0)</f>
        <v>0</v>
      </c>
      <c r="K782" s="281">
        <f>ROUND(AZ68,0)</f>
        <v>0</v>
      </c>
      <c r="L782" s="281">
        <f>ROUND(AZ70,0)</f>
        <v>0</v>
      </c>
      <c r="M782" s="281">
        <f>ROUND(AZ71,0)</f>
        <v>0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5">
      <c r="A783" s="209" t="str">
        <f>RIGHT($C$84,3)&amp;"*"&amp;RIGHT($C$83,4)&amp;"*"&amp;BA$55&amp;"*"&amp;"A"</f>
        <v>LLC*928*8350*A</v>
      </c>
      <c r="B783" s="281">
        <f>ROUND(BA59,0)</f>
        <v>0</v>
      </c>
      <c r="C783" s="284">
        <f>ROUND(BA60,2)</f>
        <v>0</v>
      </c>
      <c r="D783" s="281">
        <f>ROUND(BA61,0)</f>
        <v>0</v>
      </c>
      <c r="E783" s="281">
        <f>ROUND(BA62,0)</f>
        <v>0</v>
      </c>
      <c r="F783" s="281">
        <f>ROUND(BA63,0)</f>
        <v>0</v>
      </c>
      <c r="G783" s="281">
        <f>ROUND(BA64,0)</f>
        <v>0</v>
      </c>
      <c r="H783" s="281">
        <f>ROUND(BA65,0)</f>
        <v>0</v>
      </c>
      <c r="I783" s="281">
        <f>ROUND(BA66,0)</f>
        <v>53474</v>
      </c>
      <c r="J783" s="281">
        <f>ROUND(BA67,0)</f>
        <v>4132</v>
      </c>
      <c r="K783" s="281">
        <f>ROUND(BA68,0)</f>
        <v>0</v>
      </c>
      <c r="L783" s="281">
        <f>ROUND(BA70,0)</f>
        <v>0</v>
      </c>
      <c r="M783" s="281">
        <f>ROUND(BA71,0)</f>
        <v>57606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5">
      <c r="A784" s="209" t="str">
        <f>RIGHT($C$84,3)&amp;"*"&amp;RIGHT($C$83,4)&amp;"*"&amp;BB$55&amp;"*"&amp;"A"</f>
        <v>LLC*928*8360*A</v>
      </c>
      <c r="B784" s="281"/>
      <c r="C784" s="284">
        <f>ROUND(BB60,2)</f>
        <v>12.2</v>
      </c>
      <c r="D784" s="281">
        <f>ROUND(BB61,0)</f>
        <v>886503</v>
      </c>
      <c r="E784" s="281">
        <f>ROUND(BB62,0)</f>
        <v>158755</v>
      </c>
      <c r="F784" s="281">
        <f>ROUND(BB63,0)</f>
        <v>8540</v>
      </c>
      <c r="G784" s="281">
        <f>ROUND(BB64,0)</f>
        <v>2682</v>
      </c>
      <c r="H784" s="281">
        <f>ROUND(BB65,0)</f>
        <v>0</v>
      </c>
      <c r="I784" s="281">
        <f>ROUND(BB66,0)</f>
        <v>7908</v>
      </c>
      <c r="J784" s="281">
        <f>ROUND(BB67,0)</f>
        <v>4600</v>
      </c>
      <c r="K784" s="281">
        <f>ROUND(BB68,0)</f>
        <v>0</v>
      </c>
      <c r="L784" s="281">
        <f>ROUND(BB70,0)</f>
        <v>0</v>
      </c>
      <c r="M784" s="281">
        <f>ROUND(BB71,0)</f>
        <v>1092832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5">
      <c r="A785" s="209" t="str">
        <f>RIGHT($C$84,3)&amp;"*"&amp;RIGHT($C$83,4)&amp;"*"&amp;BC$55&amp;"*"&amp;"A"</f>
        <v>LLC*928*8370*A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5">
      <c r="A786" s="209" t="str">
        <f>RIGHT($C$84,3)&amp;"*"&amp;RIGHT($C$83,4)&amp;"*"&amp;BD$55&amp;"*"&amp;"A"</f>
        <v>LLC*928*8420*A</v>
      </c>
      <c r="B786" s="281"/>
      <c r="C786" s="284">
        <f>ROUND(BD60,2)</f>
        <v>0</v>
      </c>
      <c r="D786" s="281">
        <f>ROUND(BD61,0)</f>
        <v>0</v>
      </c>
      <c r="E786" s="281">
        <f>ROUND(BD62,0)</f>
        <v>0</v>
      </c>
      <c r="F786" s="281">
        <f>ROUND(BD63,0)</f>
        <v>0</v>
      </c>
      <c r="G786" s="281">
        <f>ROUND(BD64,0)</f>
        <v>0</v>
      </c>
      <c r="H786" s="281">
        <f>ROUND(BD65,0)</f>
        <v>0</v>
      </c>
      <c r="I786" s="281">
        <f>ROUND(BD66,0)</f>
        <v>0</v>
      </c>
      <c r="J786" s="281">
        <f>ROUND(BD67,0)</f>
        <v>2259</v>
      </c>
      <c r="K786" s="281">
        <f>ROUND(BD68,0)</f>
        <v>0</v>
      </c>
      <c r="L786" s="281">
        <f>ROUND(BD70,0)</f>
        <v>0</v>
      </c>
      <c r="M786" s="281">
        <f>ROUND(BD71,0)</f>
        <v>2259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5">
      <c r="A787" s="209" t="str">
        <f>RIGHT($C$84,3)&amp;"*"&amp;RIGHT($C$83,4)&amp;"*"&amp;BE$55&amp;"*"&amp;"A"</f>
        <v>LLC*928*8430*A</v>
      </c>
      <c r="B787" s="281">
        <f>ROUND(BE59,0)</f>
        <v>68330</v>
      </c>
      <c r="C787" s="284">
        <f>ROUND(BE60,2)</f>
        <v>2.1</v>
      </c>
      <c r="D787" s="281">
        <f>ROUND(BE61,0)</f>
        <v>150472</v>
      </c>
      <c r="E787" s="281">
        <f>ROUND(BE62,0)</f>
        <v>26172</v>
      </c>
      <c r="F787" s="281">
        <f>ROUND(BE63,0)</f>
        <v>0</v>
      </c>
      <c r="G787" s="281">
        <f>ROUND(BE64,0)</f>
        <v>15033</v>
      </c>
      <c r="H787" s="281">
        <f>ROUND(BE65,0)</f>
        <v>271122</v>
      </c>
      <c r="I787" s="281">
        <f>ROUND(BE66,0)</f>
        <v>49713</v>
      </c>
      <c r="J787" s="281">
        <f>ROUND(BE67,0)</f>
        <v>20411</v>
      </c>
      <c r="K787" s="281">
        <f>ROUND(BE68,0)</f>
        <v>1361885</v>
      </c>
      <c r="L787" s="281">
        <f>ROUND(BE70,0)</f>
        <v>0</v>
      </c>
      <c r="M787" s="281">
        <f>ROUND(BE71,0)</f>
        <v>1976356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5">
      <c r="A788" s="209" t="str">
        <f>RIGHT($C$84,3)&amp;"*"&amp;RIGHT($C$83,4)&amp;"*"&amp;BF$55&amp;"*"&amp;"A"</f>
        <v>LLC*928*8460*A</v>
      </c>
      <c r="B788" s="281"/>
      <c r="C788" s="284">
        <f>ROUND(BF60,2)</f>
        <v>3.9</v>
      </c>
      <c r="D788" s="281">
        <f>ROUND(BF61,0)</f>
        <v>136857</v>
      </c>
      <c r="E788" s="281">
        <f>ROUND(BF62,0)</f>
        <v>24927</v>
      </c>
      <c r="F788" s="281">
        <f>ROUND(BF63,0)</f>
        <v>0</v>
      </c>
      <c r="G788" s="281">
        <f>ROUND(BF64,0)</f>
        <v>35375</v>
      </c>
      <c r="H788" s="281">
        <f>ROUND(BF65,0)</f>
        <v>0</v>
      </c>
      <c r="I788" s="281">
        <f>ROUND(BF66,0)</f>
        <v>0</v>
      </c>
      <c r="J788" s="281">
        <f>ROUND(BF67,0)</f>
        <v>7658</v>
      </c>
      <c r="K788" s="281">
        <f>ROUND(BF68,0)</f>
        <v>0</v>
      </c>
      <c r="L788" s="281">
        <f>ROUND(BF70,0)</f>
        <v>0</v>
      </c>
      <c r="M788" s="281">
        <f>ROUND(BF71,0)</f>
        <v>204817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5">
      <c r="A789" s="209" t="str">
        <f>RIGHT($C$84,3)&amp;"*"&amp;RIGHT($C$83,4)&amp;"*"&amp;BG$55&amp;"*"&amp;"A"</f>
        <v>LLC*928*8470*A</v>
      </c>
      <c r="B789" s="281"/>
      <c r="C789" s="284">
        <f>ROUND(BG60,2)</f>
        <v>2.6</v>
      </c>
      <c r="D789" s="281">
        <f>ROUND(BG61,0)</f>
        <v>95982</v>
      </c>
      <c r="E789" s="281">
        <f>ROUND(BG62,0)</f>
        <v>17737</v>
      </c>
      <c r="F789" s="281">
        <f>ROUND(BG63,0)</f>
        <v>0</v>
      </c>
      <c r="G789" s="281">
        <f>ROUND(BG64,0)</f>
        <v>175</v>
      </c>
      <c r="H789" s="281">
        <f>ROUND(BG65,0)</f>
        <v>0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113894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5">
      <c r="A790" s="209" t="str">
        <f>RIGHT($C$84,3)&amp;"*"&amp;RIGHT($C$83,4)&amp;"*"&amp;BH$55&amp;"*"&amp;"A"</f>
        <v>LLC*928*8480*A</v>
      </c>
      <c r="B790" s="281"/>
      <c r="C790" s="284">
        <f>ROUND(BH60,2)</f>
        <v>0</v>
      </c>
      <c r="D790" s="281">
        <f>ROUND(BH61,0)</f>
        <v>52595</v>
      </c>
      <c r="E790" s="281">
        <f>ROUND(BH62,0)</f>
        <v>9218</v>
      </c>
      <c r="F790" s="281">
        <f>ROUND(BH63,0)</f>
        <v>0</v>
      </c>
      <c r="G790" s="281">
        <f>ROUND(BH64,0)</f>
        <v>6074</v>
      </c>
      <c r="H790" s="281">
        <f>ROUND(BH65,0)</f>
        <v>0</v>
      </c>
      <c r="I790" s="281">
        <f>ROUND(BH66,0)</f>
        <v>194964</v>
      </c>
      <c r="J790" s="281">
        <f>ROUND(BH67,0)</f>
        <v>0</v>
      </c>
      <c r="K790" s="281">
        <f>ROUND(BH68,0)</f>
        <v>0</v>
      </c>
      <c r="L790" s="281">
        <f>ROUND(BH70,0)</f>
        <v>0</v>
      </c>
      <c r="M790" s="281">
        <f>ROUND(BH71,0)</f>
        <v>270459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5">
      <c r="A791" s="209" t="str">
        <f>RIGHT($C$84,3)&amp;"*"&amp;RIGHT($C$83,4)&amp;"*"&amp;BI$55&amp;"*"&amp;"A"</f>
        <v>LLC*928*8490*A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147575</v>
      </c>
      <c r="K791" s="281">
        <f>ROUND(BI68,0)</f>
        <v>0</v>
      </c>
      <c r="L791" s="281">
        <f>ROUND(BI70,0)</f>
        <v>0</v>
      </c>
      <c r="M791" s="281">
        <f>ROUND(BI71,0)</f>
        <v>147575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5">
      <c r="A792" s="209" t="str">
        <f>RIGHT($C$84,3)&amp;"*"&amp;RIGHT($C$83,4)&amp;"*"&amp;BJ$55&amp;"*"&amp;"A"</f>
        <v>LLC*928*8510*A</v>
      </c>
      <c r="B792" s="281"/>
      <c r="C792" s="284">
        <f>ROUND(BJ60,2)</f>
        <v>2</v>
      </c>
      <c r="D792" s="281">
        <f>ROUND(BJ61,0)</f>
        <v>266976</v>
      </c>
      <c r="E792" s="281">
        <f>ROUND(BJ62,0)</f>
        <v>41550</v>
      </c>
      <c r="F792" s="281">
        <f>ROUND(BJ63,0)</f>
        <v>0</v>
      </c>
      <c r="G792" s="281">
        <f>ROUND(BJ64,0)</f>
        <v>4628</v>
      </c>
      <c r="H792" s="281">
        <f>ROUND(BJ65,0)</f>
        <v>0</v>
      </c>
      <c r="I792" s="281">
        <f>ROUND(BJ66,0)</f>
        <v>110452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423606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5">
      <c r="A793" s="209" t="str">
        <f>RIGHT($C$84,3)&amp;"*"&amp;RIGHT($C$83,4)&amp;"*"&amp;BK$55&amp;"*"&amp;"A"</f>
        <v>LLC*928*8530*A</v>
      </c>
      <c r="B793" s="281"/>
      <c r="C793" s="284">
        <f>ROUND(BK60,2)</f>
        <v>4.9000000000000004</v>
      </c>
      <c r="D793" s="281">
        <f>ROUND(BK61,0)</f>
        <v>223284</v>
      </c>
      <c r="E793" s="281">
        <f>ROUND(BK62,0)</f>
        <v>40792</v>
      </c>
      <c r="F793" s="281">
        <f>ROUND(BK63,0)</f>
        <v>0</v>
      </c>
      <c r="G793" s="281">
        <f>ROUND(BK64,0)</f>
        <v>697</v>
      </c>
      <c r="H793" s="281">
        <f>ROUND(BK65,0)</f>
        <v>0</v>
      </c>
      <c r="I793" s="281">
        <f>ROUND(BK66,0)</f>
        <v>50869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315642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5">
      <c r="A794" s="209" t="str">
        <f>RIGHT($C$84,3)&amp;"*"&amp;RIGHT($C$83,4)&amp;"*"&amp;BL$55&amp;"*"&amp;"A"</f>
        <v>LLC*928*8560*A</v>
      </c>
      <c r="B794" s="281"/>
      <c r="C794" s="284">
        <f>ROUND(BL60,2)</f>
        <v>10.3</v>
      </c>
      <c r="D794" s="281">
        <f>ROUND(BL61,0)</f>
        <v>651781</v>
      </c>
      <c r="E794" s="281">
        <f>ROUND(BL62,0)</f>
        <v>117559</v>
      </c>
      <c r="F794" s="281">
        <f>ROUND(BL63,0)</f>
        <v>19233</v>
      </c>
      <c r="G794" s="281">
        <f>ROUND(BL64,0)</f>
        <v>5598</v>
      </c>
      <c r="H794" s="281">
        <f>ROUND(BL65,0)</f>
        <v>0</v>
      </c>
      <c r="I794" s="281">
        <f>ROUND(BL66,0)</f>
        <v>1484</v>
      </c>
      <c r="J794" s="281">
        <f>ROUND(BL67,0)</f>
        <v>16638</v>
      </c>
      <c r="K794" s="281">
        <f>ROUND(BL68,0)</f>
        <v>0</v>
      </c>
      <c r="L794" s="281">
        <f>ROUND(BL70,0)</f>
        <v>0</v>
      </c>
      <c r="M794" s="281">
        <f>ROUND(BL71,0)</f>
        <v>812293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5">
      <c r="A795" s="209" t="str">
        <f>RIGHT($C$84,3)&amp;"*"&amp;RIGHT($C$83,4)&amp;"*"&amp;BM$55&amp;"*"&amp;"A"</f>
        <v>LLC*928*8590*A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5">
      <c r="A796" s="209" t="str">
        <f>RIGHT($C$84,3)&amp;"*"&amp;RIGHT($C$83,4)&amp;"*"&amp;BN$55&amp;"*"&amp;"A"</f>
        <v>LLC*928*8610*A</v>
      </c>
      <c r="B796" s="281"/>
      <c r="C796" s="284">
        <f>ROUND(BN60,2)</f>
        <v>3</v>
      </c>
      <c r="D796" s="281">
        <f>ROUND(BN61,0)</f>
        <v>382396</v>
      </c>
      <c r="E796" s="281">
        <f>ROUND(BN62,0)</f>
        <v>66526</v>
      </c>
      <c r="F796" s="281">
        <f>ROUND(BN63,0)</f>
        <v>17603</v>
      </c>
      <c r="G796" s="281">
        <f>ROUND(BN64,0)</f>
        <v>27241</v>
      </c>
      <c r="H796" s="281">
        <f>ROUND(BN65,0)</f>
        <v>0</v>
      </c>
      <c r="I796" s="281">
        <f>ROUND(BN66,0)</f>
        <v>66831</v>
      </c>
      <c r="J796" s="281">
        <f>ROUND(BN67,0)</f>
        <v>25700</v>
      </c>
      <c r="K796" s="281">
        <f>ROUND(BN68,0)</f>
        <v>0</v>
      </c>
      <c r="L796" s="281">
        <f>ROUND(BN70,0)</f>
        <v>0</v>
      </c>
      <c r="M796" s="281">
        <f>ROUND(BN71,0)</f>
        <v>690882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5">
      <c r="A797" s="209" t="str">
        <f>RIGHT($C$84,3)&amp;"*"&amp;RIGHT($C$83,4)&amp;"*"&amp;BO$55&amp;"*"&amp;"A"</f>
        <v>LLC*928*8620*A</v>
      </c>
      <c r="B797" s="281"/>
      <c r="C797" s="284">
        <f>ROUND(BO60,2)</f>
        <v>0</v>
      </c>
      <c r="D797" s="281">
        <f>ROUND(BO61,0)</f>
        <v>0</v>
      </c>
      <c r="E797" s="281">
        <f>ROUND(BO62,0)</f>
        <v>0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5">
      <c r="A798" s="209" t="str">
        <f>RIGHT($C$84,3)&amp;"*"&amp;RIGHT($C$83,4)&amp;"*"&amp;BP$55&amp;"*"&amp;"A"</f>
        <v>LLC*928*8630*A</v>
      </c>
      <c r="B798" s="281"/>
      <c r="C798" s="284">
        <f>ROUND(BP60,2)</f>
        <v>2</v>
      </c>
      <c r="D798" s="281">
        <f>ROUND(BP61,0)</f>
        <v>143743</v>
      </c>
      <c r="E798" s="281">
        <f>ROUND(BP62,0)</f>
        <v>24430</v>
      </c>
      <c r="F798" s="281">
        <f>ROUND(BP63,0)</f>
        <v>0</v>
      </c>
      <c r="G798" s="281">
        <f>ROUND(BP64,0)</f>
        <v>5162</v>
      </c>
      <c r="H798" s="281">
        <f>ROUND(BP65,0)</f>
        <v>0</v>
      </c>
      <c r="I798" s="281">
        <f>ROUND(BP66,0)</f>
        <v>4391</v>
      </c>
      <c r="J798" s="281">
        <f>ROUND(BP67,0)</f>
        <v>1377</v>
      </c>
      <c r="K798" s="281">
        <f>ROUND(BP68,0)</f>
        <v>0</v>
      </c>
      <c r="L798" s="281">
        <f>ROUND(BP70,0)</f>
        <v>0</v>
      </c>
      <c r="M798" s="281">
        <f>ROUND(BP71,0)</f>
        <v>193281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5">
      <c r="A799" s="209" t="str">
        <f>RIGHT($C$84,3)&amp;"*"&amp;RIGHT($C$83,4)&amp;"*"&amp;BQ$55&amp;"*"&amp;"A"</f>
        <v>LLC*928*8640*A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5">
      <c r="A800" s="209" t="str">
        <f>RIGHT($C$84,3)&amp;"*"&amp;RIGHT($C$83,4)&amp;"*"&amp;BR$55&amp;"*"&amp;"A"</f>
        <v>LLC*928*8650*A</v>
      </c>
      <c r="B800" s="281"/>
      <c r="C800" s="284">
        <f>ROUND(BR60,2)</f>
        <v>1</v>
      </c>
      <c r="D800" s="281">
        <f>ROUND(BR61,0)</f>
        <v>124596</v>
      </c>
      <c r="E800" s="281">
        <f>ROUND(BR62,0)</f>
        <v>18253</v>
      </c>
      <c r="F800" s="281">
        <f>ROUND(BR63,0)</f>
        <v>0</v>
      </c>
      <c r="G800" s="281">
        <f>ROUND(BR64,0)</f>
        <v>5764</v>
      </c>
      <c r="H800" s="281">
        <f>ROUND(BR65,0)</f>
        <v>0</v>
      </c>
      <c r="I800" s="281">
        <f>ROUND(BR66,0)</f>
        <v>985</v>
      </c>
      <c r="J800" s="281">
        <f>ROUND(BR67,0)</f>
        <v>1818</v>
      </c>
      <c r="K800" s="281">
        <f>ROUND(BR68,0)</f>
        <v>0</v>
      </c>
      <c r="L800" s="281">
        <f>ROUND(BR70,0)</f>
        <v>0</v>
      </c>
      <c r="M800" s="281">
        <f>ROUND(BR71,0)</f>
        <v>393503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5">
      <c r="A801" s="209" t="str">
        <f>RIGHT($C$84,3)&amp;"*"&amp;RIGHT($C$83,4)&amp;"*"&amp;BS$55&amp;"*"&amp;"A"</f>
        <v>LLC*928*8660*A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5">
      <c r="A802" s="209" t="str">
        <f>RIGHT($C$84,3)&amp;"*"&amp;RIGHT($C$83,4)&amp;"*"&amp;BT$55&amp;"*"&amp;"A"</f>
        <v>LLC*928*8670*A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5">
      <c r="A803" s="209" t="str">
        <f>RIGHT($C$84,3)&amp;"*"&amp;RIGHT($C$83,4)&amp;"*"&amp;BU$55&amp;"*"&amp;"A"</f>
        <v>LLC*928*8680*A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5">
      <c r="A804" s="209" t="str">
        <f>RIGHT($C$84,3)&amp;"*"&amp;RIGHT($C$83,4)&amp;"*"&amp;BV$55&amp;"*"&amp;"A"</f>
        <v>LLC*928*8690*A</v>
      </c>
      <c r="B804" s="281"/>
      <c r="C804" s="284">
        <f>ROUND(BV60,2)</f>
        <v>2.4</v>
      </c>
      <c r="D804" s="281">
        <f>ROUND(BV61,0)</f>
        <v>141273</v>
      </c>
      <c r="E804" s="281">
        <f>ROUND(BV62,0)</f>
        <v>24642</v>
      </c>
      <c r="F804" s="281">
        <f>ROUND(BV63,0)</f>
        <v>0</v>
      </c>
      <c r="G804" s="281">
        <f>ROUND(BV64,0)</f>
        <v>7131</v>
      </c>
      <c r="H804" s="281">
        <f>ROUND(BV65,0)</f>
        <v>0</v>
      </c>
      <c r="I804" s="281">
        <f>ROUND(BV66,0)</f>
        <v>18824</v>
      </c>
      <c r="J804" s="281">
        <f>ROUND(BV67,0)</f>
        <v>7093</v>
      </c>
      <c r="K804" s="281">
        <f>ROUND(BV68,0)</f>
        <v>0</v>
      </c>
      <c r="L804" s="281">
        <f>ROUND(BV70,0)</f>
        <v>0</v>
      </c>
      <c r="M804" s="281">
        <f>ROUND(BV71,0)</f>
        <v>198963</v>
      </c>
      <c r="N804" s="281"/>
      <c r="O804" s="281"/>
      <c r="P804" s="281">
        <f>IF(BV77&gt;0,ROUND(BV77,0),0)</f>
        <v>0</v>
      </c>
      <c r="Q804" s="281">
        <f>IF(BV78&gt;0,ROUND(BV78,0),0)</f>
        <v>0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5">
      <c r="A805" s="209" t="str">
        <f>RIGHT($C$84,3)&amp;"*"&amp;RIGHT($C$83,4)&amp;"*"&amp;BW$55&amp;"*"&amp;"A"</f>
        <v>LLC*928*8700*A</v>
      </c>
      <c r="B805" s="281"/>
      <c r="C805" s="284">
        <f>ROUND(BW60,2)</f>
        <v>2.9</v>
      </c>
      <c r="D805" s="281">
        <f>ROUND(BW61,0)</f>
        <v>0</v>
      </c>
      <c r="E805" s="281">
        <f>ROUND(BW62,0)</f>
        <v>0</v>
      </c>
      <c r="F805" s="281">
        <f>ROUND(BW63,0)</f>
        <v>1819816</v>
      </c>
      <c r="G805" s="281">
        <f>ROUND(BW64,0)</f>
        <v>977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1823669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5">
      <c r="A806" s="209" t="str">
        <f>RIGHT($C$84,3)&amp;"*"&amp;RIGHT($C$83,4)&amp;"*"&amp;BX$55&amp;"*"&amp;"A"</f>
        <v>LLC*928*8710*A</v>
      </c>
      <c r="B806" s="281"/>
      <c r="C806" s="284">
        <f>ROUND(BX60,2)</f>
        <v>3.1</v>
      </c>
      <c r="D806" s="281">
        <f>ROUND(BX61,0)</f>
        <v>222017</v>
      </c>
      <c r="E806" s="281">
        <f>ROUND(BX62,0)</f>
        <v>37861</v>
      </c>
      <c r="F806" s="281">
        <f>ROUND(BX63,0)</f>
        <v>0</v>
      </c>
      <c r="G806" s="281">
        <f>ROUND(BX64,0)</f>
        <v>376</v>
      </c>
      <c r="H806" s="281">
        <f>ROUND(BX65,0)</f>
        <v>0</v>
      </c>
      <c r="I806" s="281">
        <f>ROUND(BX66,0)</f>
        <v>0</v>
      </c>
      <c r="J806" s="281">
        <f>ROUND(BX67,0)</f>
        <v>2066</v>
      </c>
      <c r="K806" s="281">
        <f>ROUND(BX68,0)</f>
        <v>0</v>
      </c>
      <c r="L806" s="281">
        <f>ROUND(BX70,0)</f>
        <v>0</v>
      </c>
      <c r="M806" s="281">
        <f>ROUND(BX71,0)</f>
        <v>262320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5">
      <c r="A807" s="209" t="str">
        <f>RIGHT($C$84,3)&amp;"*"&amp;RIGHT($C$83,4)&amp;"*"&amp;BY$55&amp;"*"&amp;"A"</f>
        <v>LLC*928*8720*A</v>
      </c>
      <c r="B807" s="281"/>
      <c r="C807" s="284">
        <f>ROUND(BY60,2)</f>
        <v>6.3</v>
      </c>
      <c r="D807" s="281">
        <f>ROUND(BY61,0)</f>
        <v>675879</v>
      </c>
      <c r="E807" s="281">
        <f>ROUND(BY62,0)</f>
        <v>117067</v>
      </c>
      <c r="F807" s="281">
        <f>ROUND(BY63,0)</f>
        <v>0</v>
      </c>
      <c r="G807" s="281">
        <f>ROUND(BY64,0)</f>
        <v>0</v>
      </c>
      <c r="H807" s="281">
        <f>ROUND(BY65,0)</f>
        <v>0</v>
      </c>
      <c r="I807" s="281">
        <f>ROUND(BY66,0)</f>
        <v>10074</v>
      </c>
      <c r="J807" s="281">
        <f>ROUND(BY67,0)</f>
        <v>4517</v>
      </c>
      <c r="K807" s="281">
        <f>ROUND(BY68,0)</f>
        <v>0</v>
      </c>
      <c r="L807" s="281">
        <f>ROUND(BY70,0)</f>
        <v>0</v>
      </c>
      <c r="M807" s="281">
        <f>ROUND(BY71,0)</f>
        <v>811216</v>
      </c>
      <c r="N807" s="281"/>
      <c r="O807" s="281"/>
      <c r="P807" s="281">
        <f>IF(BY77&gt;0,ROUND(BY77,0),0)</f>
        <v>0</v>
      </c>
      <c r="Q807" s="281">
        <f>IF(BY78&gt;0,ROUND(BY78,0),0)</f>
        <v>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5">
      <c r="A808" s="209" t="str">
        <f>RIGHT($C$84,3)&amp;"*"&amp;RIGHT($C$83,4)&amp;"*"&amp;BZ$55&amp;"*"&amp;"A"</f>
        <v>LLC*928*8730*A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5">
      <c r="A809" s="209" t="str">
        <f>RIGHT($C$84,3)&amp;"*"&amp;RIGHT($C$83,4)&amp;"*"&amp;CA$55&amp;"*"&amp;"A"</f>
        <v>LLC*928*8740*A</v>
      </c>
      <c r="B809" s="281"/>
      <c r="C809" s="284">
        <f>ROUND(CA60,2)</f>
        <v>7.3</v>
      </c>
      <c r="D809" s="281">
        <f>ROUND(CA61,0)</f>
        <v>493270</v>
      </c>
      <c r="E809" s="281">
        <f>ROUND(CA62,0)</f>
        <v>92229</v>
      </c>
      <c r="F809" s="281">
        <f>ROUND(CA63,0)</f>
        <v>0</v>
      </c>
      <c r="G809" s="281">
        <f>ROUND(CA64,0)</f>
        <v>2</v>
      </c>
      <c r="H809" s="281">
        <f>ROUND(CA65,0)</f>
        <v>0</v>
      </c>
      <c r="I809" s="281">
        <f>ROUND(CA66,0)</f>
        <v>0</v>
      </c>
      <c r="J809" s="281">
        <f>ROUND(CA67,0)</f>
        <v>0</v>
      </c>
      <c r="K809" s="281">
        <f>ROUND(CA68,0)</f>
        <v>0</v>
      </c>
      <c r="L809" s="281">
        <f>ROUND(CA70,0)</f>
        <v>0</v>
      </c>
      <c r="M809" s="281">
        <f>ROUND(CA71,0)</f>
        <v>585501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5">
      <c r="A810" s="209" t="str">
        <f>RIGHT($C$84,3)&amp;"*"&amp;RIGHT($C$83,4)&amp;"*"&amp;CB$55&amp;"*"&amp;"A"</f>
        <v>LLC*928*8770*A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5">
      <c r="A811" s="209" t="str">
        <f>RIGHT($C$84,3)&amp;"*"&amp;RIGHT($C$83,4)&amp;"*"&amp;CC$55&amp;"*"&amp;"A"</f>
        <v>LLC*928*8790*A</v>
      </c>
      <c r="B811" s="281"/>
      <c r="C811" s="284">
        <f>ROUND(CC60,2)</f>
        <v>0</v>
      </c>
      <c r="D811" s="281">
        <f>ROUND(CC61,0)</f>
        <v>0</v>
      </c>
      <c r="E811" s="281">
        <f>ROUND(CC62,0)</f>
        <v>0</v>
      </c>
      <c r="F811" s="281">
        <f>ROUND(CC63,0)</f>
        <v>0</v>
      </c>
      <c r="G811" s="281">
        <f>ROUND(CC64,0)</f>
        <v>0</v>
      </c>
      <c r="H811" s="281">
        <f>ROUND(CC65,0)</f>
        <v>0</v>
      </c>
      <c r="I811" s="281">
        <f>ROUND(CC66,0)</f>
        <v>0</v>
      </c>
      <c r="J811" s="281">
        <f>ROUND(CC67,0)</f>
        <v>1226</v>
      </c>
      <c r="K811" s="281">
        <f>ROUND(CC68,0)</f>
        <v>0</v>
      </c>
      <c r="L811" s="281">
        <f>ROUND(CC70,0)</f>
        <v>0</v>
      </c>
      <c r="M811" s="281">
        <f>ROUND(CC71,0)</f>
        <v>1226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5">
      <c r="A812" s="209" t="str">
        <f>RIGHT($C$84,3)&amp;"*"&amp;RIGHT($C$83,4)&amp;"*"&amp;"9000"&amp;"*"&amp;"A"</f>
        <v>LLC*928*9000*A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15894</v>
      </c>
      <c r="V812" s="180">
        <f>ROUND(CD69,0)</f>
        <v>592402</v>
      </c>
      <c r="W812" s="180">
        <f>ROUND(CD71,0)</f>
        <v>576508</v>
      </c>
      <c r="X812" s="281">
        <f>ROUND(CE73,0)</f>
        <v>35748553</v>
      </c>
      <c r="Y812" s="281">
        <f>ROUND(C132,0)</f>
        <v>0</v>
      </c>
      <c r="Z812" s="281"/>
    </row>
    <row r="814" spans="1:26" ht="12.65" customHeight="1" x14ac:dyDescent="0.35">
      <c r="B814" s="199" t="s">
        <v>1004</v>
      </c>
      <c r="C814" s="263">
        <f t="shared" ref="C814:K814" si="22">SUM(C733:C812)</f>
        <v>142.00000000000003</v>
      </c>
      <c r="D814" s="180">
        <f t="shared" si="22"/>
        <v>9372249</v>
      </c>
      <c r="E814" s="180">
        <f t="shared" si="22"/>
        <v>1659337</v>
      </c>
      <c r="F814" s="180">
        <f t="shared" si="22"/>
        <v>1865192</v>
      </c>
      <c r="G814" s="180">
        <f t="shared" si="22"/>
        <v>620825</v>
      </c>
      <c r="H814" s="180">
        <f t="shared" si="22"/>
        <v>271122</v>
      </c>
      <c r="I814" s="180">
        <f t="shared" si="22"/>
        <v>1800448</v>
      </c>
      <c r="J814" s="180">
        <f t="shared" si="22"/>
        <v>941095</v>
      </c>
      <c r="K814" s="180">
        <f t="shared" si="22"/>
        <v>1361885</v>
      </c>
      <c r="L814" s="180">
        <f>SUM(L733:L812)+SUM(U733:U812)</f>
        <v>15894</v>
      </c>
      <c r="M814" s="180">
        <f>SUM(M733:M812)+SUM(W733:W812)</f>
        <v>18949066</v>
      </c>
      <c r="N814" s="180">
        <f t="shared" ref="N814:Z814" si="23">SUM(N733:N812)</f>
        <v>47942</v>
      </c>
      <c r="O814" s="180">
        <f t="shared" si="23"/>
        <v>376900</v>
      </c>
      <c r="P814" s="180">
        <f t="shared" si="23"/>
        <v>50769</v>
      </c>
      <c r="Q814" s="180">
        <f t="shared" si="23"/>
        <v>7566</v>
      </c>
      <c r="R814" s="180">
        <f t="shared" si="23"/>
        <v>71084</v>
      </c>
      <c r="S814" s="180">
        <f t="shared" si="23"/>
        <v>65</v>
      </c>
      <c r="T814" s="263">
        <f t="shared" si="23"/>
        <v>0</v>
      </c>
      <c r="U814" s="180">
        <f t="shared" si="23"/>
        <v>15894</v>
      </c>
      <c r="V814" s="180">
        <f t="shared" si="23"/>
        <v>592402</v>
      </c>
      <c r="W814" s="180">
        <f t="shared" si="23"/>
        <v>576508</v>
      </c>
      <c r="X814" s="180">
        <f t="shared" si="23"/>
        <v>35748553</v>
      </c>
      <c r="Y814" s="180">
        <f t="shared" si="23"/>
        <v>0</v>
      </c>
      <c r="Z814" s="180">
        <f t="shared" si="23"/>
        <v>11605066</v>
      </c>
    </row>
    <row r="815" spans="1:26" ht="12.65" customHeight="1" x14ac:dyDescent="0.35">
      <c r="B815" s="180" t="s">
        <v>1005</v>
      </c>
      <c r="C815" s="263">
        <f>CE60</f>
        <v>142.00000000000003</v>
      </c>
      <c r="D815" s="180">
        <f>CE61</f>
        <v>9372249</v>
      </c>
      <c r="E815" s="180">
        <f>CE62</f>
        <v>1659337</v>
      </c>
      <c r="F815" s="180">
        <f>CE63</f>
        <v>1865192</v>
      </c>
      <c r="G815" s="180">
        <f>CE64</f>
        <v>620825</v>
      </c>
      <c r="H815" s="240">
        <f>CE65</f>
        <v>271122</v>
      </c>
      <c r="I815" s="240">
        <f>CE66</f>
        <v>1800448</v>
      </c>
      <c r="J815" s="240">
        <f>CE67</f>
        <v>941095</v>
      </c>
      <c r="K815" s="240">
        <f>CE68</f>
        <v>1361885</v>
      </c>
      <c r="L815" s="240">
        <f>CE70</f>
        <v>15894</v>
      </c>
      <c r="M815" s="240">
        <f>CE71</f>
        <v>18949066</v>
      </c>
      <c r="N815" s="180">
        <f>CE76</f>
        <v>68330</v>
      </c>
      <c r="O815" s="180">
        <f>CE74</f>
        <v>376900</v>
      </c>
      <c r="P815" s="180">
        <f>CE77</f>
        <v>50769</v>
      </c>
      <c r="Q815" s="180">
        <f>CE78</f>
        <v>7566</v>
      </c>
      <c r="R815" s="180">
        <f>CE79</f>
        <v>71084</v>
      </c>
      <c r="S815" s="180">
        <f>CE80</f>
        <v>65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11605066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9372249</v>
      </c>
      <c r="G816" s="240">
        <f>C379</f>
        <v>1659337</v>
      </c>
      <c r="H816" s="240">
        <f>C380</f>
        <v>1865192</v>
      </c>
      <c r="I816" s="240">
        <f>C381</f>
        <v>620825</v>
      </c>
      <c r="J816" s="240">
        <f>C382</f>
        <v>271122</v>
      </c>
      <c r="K816" s="240">
        <f>C383</f>
        <v>1800448</v>
      </c>
      <c r="L816" s="240">
        <f>C384+C385+C386+C388</f>
        <v>2456375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Vest Thurston, LLC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H-928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605 Woodland Square Loop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Lacey, WA  98503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H-928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Vest Thurston, LLC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TJ Oreilly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Bill Parkes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Richard Kresch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360-764-8400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360-764-8421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1963</v>
      </c>
      <c r="G23" s="21">
        <f>data!D111</f>
        <v>25040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98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98</v>
      </c>
      <c r="E36" s="49" t="s">
        <v>292</v>
      </c>
      <c r="F36" s="24"/>
      <c r="G36" s="21">
        <f>data!C128</f>
        <v>108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Vest Thurston, LLC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354</v>
      </c>
      <c r="C7" s="48">
        <f>data!B139</f>
        <v>6438</v>
      </c>
      <c r="D7" s="48">
        <f>data!B140</f>
        <v>353</v>
      </c>
      <c r="E7" s="48">
        <f>data!B141</f>
        <v>21149434.976597443</v>
      </c>
      <c r="F7" s="48">
        <f>data!B142</f>
        <v>207100</v>
      </c>
      <c r="G7" s="48">
        <f>data!B141+data!B142</f>
        <v>21356534.976597443</v>
      </c>
    </row>
    <row r="8" spans="1:13" ht="20.149999999999999" customHeight="1" x14ac:dyDescent="0.35">
      <c r="A8" s="23" t="s">
        <v>297</v>
      </c>
      <c r="B8" s="48">
        <f>data!C138</f>
        <v>1148</v>
      </c>
      <c r="C8" s="48">
        <f>data!C139</f>
        <v>13505</v>
      </c>
      <c r="D8" s="48">
        <f>data!C140</f>
        <v>202</v>
      </c>
      <c r="E8" s="48">
        <f>data!C141</f>
        <v>44358544.060103834</v>
      </c>
      <c r="F8" s="48">
        <f>data!C142</f>
        <v>108000</v>
      </c>
      <c r="G8" s="48">
        <f>data!C141+data!C142</f>
        <v>44466544.060103834</v>
      </c>
    </row>
    <row r="9" spans="1:13" ht="20.149999999999999" customHeight="1" x14ac:dyDescent="0.35">
      <c r="A9" s="23" t="s">
        <v>1058</v>
      </c>
      <c r="B9" s="48">
        <f>data!D138</f>
        <v>461</v>
      </c>
      <c r="C9" s="48">
        <f>data!D139</f>
        <v>5097</v>
      </c>
      <c r="D9" s="48">
        <f>data!D140</f>
        <v>2204</v>
      </c>
      <c r="E9" s="48">
        <f>data!D141</f>
        <v>16750773.963298721</v>
      </c>
      <c r="F9" s="48">
        <f>data!D142</f>
        <v>1516400</v>
      </c>
      <c r="G9" s="48">
        <f>data!D141+data!D142</f>
        <v>18267173.963298723</v>
      </c>
    </row>
    <row r="10" spans="1:13" ht="20.149999999999999" customHeight="1" x14ac:dyDescent="0.35">
      <c r="A10" s="111" t="s">
        <v>203</v>
      </c>
      <c r="B10" s="48">
        <f>data!E138</f>
        <v>1963</v>
      </c>
      <c r="C10" s="48">
        <f>data!E139</f>
        <v>25040</v>
      </c>
      <c r="D10" s="48">
        <f>data!E140</f>
        <v>2759</v>
      </c>
      <c r="E10" s="48">
        <f>data!E141</f>
        <v>82258753</v>
      </c>
      <c r="F10" s="48">
        <f>data!E142</f>
        <v>1831500</v>
      </c>
      <c r="G10" s="48">
        <f>data!E141+data!E142</f>
        <v>84090253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3382753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Vest Thurston, LLC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947414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154641.60000000001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85182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954219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53277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83218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49108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2327059.6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1389122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40828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1429950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577317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76946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654263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28949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673535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702484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Vest Thurston, LLC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28660744</v>
      </c>
      <c r="D9" s="21">
        <f>data!C197</f>
        <v>0</v>
      </c>
      <c r="E9" s="21">
        <f>data!D197</f>
        <v>874423</v>
      </c>
      <c r="F9" s="21">
        <f>data!E197</f>
        <v>27786321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98994</v>
      </c>
      <c r="D10" s="21">
        <f>data!C198</f>
        <v>0</v>
      </c>
      <c r="E10" s="21">
        <f>data!D198</f>
        <v>0</v>
      </c>
      <c r="F10" s="21">
        <f>data!E198</f>
        <v>98994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1358866</v>
      </c>
      <c r="D12" s="21">
        <f>data!C200</f>
        <v>248203</v>
      </c>
      <c r="E12" s="21">
        <f>data!D200</f>
        <v>0</v>
      </c>
      <c r="F12" s="21">
        <f>data!E200</f>
        <v>1607069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1620</v>
      </c>
      <c r="E15" s="21">
        <f>data!D203</f>
        <v>0</v>
      </c>
      <c r="F15" s="21">
        <f>data!E203</f>
        <v>1620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30118604</v>
      </c>
      <c r="D16" s="21">
        <f>data!C204</f>
        <v>249823</v>
      </c>
      <c r="E16" s="21">
        <f>data!D204</f>
        <v>874423</v>
      </c>
      <c r="F16" s="21">
        <f>data!E204</f>
        <v>29494004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1098860</v>
      </c>
      <c r="D25" s="21">
        <f>data!C210</f>
        <v>679878</v>
      </c>
      <c r="E25" s="21">
        <f>data!D210</f>
        <v>0</v>
      </c>
      <c r="F25" s="21">
        <f>data!E210</f>
        <v>1778738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9900</v>
      </c>
      <c r="D26" s="21">
        <f>data!C211</f>
        <v>6599</v>
      </c>
      <c r="E26" s="21">
        <f>data!D211</f>
        <v>0</v>
      </c>
      <c r="F26" s="21">
        <f>data!E211</f>
        <v>16499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269203</v>
      </c>
      <c r="D28" s="21">
        <f>data!C213</f>
        <v>308834</v>
      </c>
      <c r="E28" s="21">
        <f>data!D213</f>
        <v>0</v>
      </c>
      <c r="F28" s="21">
        <f>data!E213</f>
        <v>578037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1377963</v>
      </c>
      <c r="D32" s="21">
        <f>data!C217</f>
        <v>995311</v>
      </c>
      <c r="E32" s="21">
        <f>data!D217</f>
        <v>0</v>
      </c>
      <c r="F32" s="21">
        <f>data!E217</f>
        <v>2373274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Vest Thurston, LLC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124749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7718982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36953022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2189457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7235347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2729825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56826633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36732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6218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42950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4723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136943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57135998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Vest Thurston, LLC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376283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7812478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867348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56234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67457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417616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7862720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27786321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98994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1607069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1620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29494004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2373273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27120731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34983451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Vest Thurston, LLC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165493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898792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389171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1453456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379588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-700914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-321326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-321326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43565732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-9714411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33851321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34983451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Vest Thurston, LLC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82258753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1831500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84090253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124749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56826633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42950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141666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57135998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26954255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1332498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1332498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28286753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12783379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2327060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2327949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1007075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328527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2105317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995311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1429950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654263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702484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619473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25280788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3005965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3005965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3005965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Vest Thurston, LLC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25040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93.45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6714410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1222181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150694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634123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641685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2186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9365279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12632114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82258753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82258753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44053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77769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8677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106828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93.45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Vest Thurston, LLC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Vest Thurston, LLC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99202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1267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100469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9705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87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Vest Thurston, LLC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226478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19848</v>
      </c>
      <c r="E112" s="14">
        <f>data!Z66</f>
        <v>0</v>
      </c>
      <c r="F112" s="14">
        <f>data!AA66</f>
        <v>0</v>
      </c>
      <c r="G112" s="14">
        <f>data!AB66</f>
        <v>566652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4574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19848</v>
      </c>
      <c r="E117" s="14">
        <f>data!Z71</f>
        <v>0</v>
      </c>
      <c r="F117" s="14">
        <f>data!AA71</f>
        <v>0</v>
      </c>
      <c r="G117" s="14">
        <f>data!AB71</f>
        <v>797704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1317</v>
      </c>
      <c r="E119" s="48">
        <f>+data!M691</f>
        <v>0</v>
      </c>
      <c r="F119" s="48">
        <f>+data!M692</f>
        <v>0</v>
      </c>
      <c r="G119" s="48">
        <f>+data!M693</f>
        <v>65996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314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Vest Thurston, LLC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1.46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152796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26806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20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142729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19810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142729</v>
      </c>
      <c r="G149" s="14">
        <f>data!AI71</f>
        <v>0</v>
      </c>
      <c r="H149" s="14">
        <f>data!AJ71</f>
        <v>199432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9473</v>
      </c>
      <c r="G151" s="48">
        <f>+data!M700</f>
        <v>0</v>
      </c>
      <c r="H151" s="48">
        <f>+data!M701</f>
        <v>218768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1831500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1831500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1360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Vest Thurston, LLC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3.15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217678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39818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701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28564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286761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98694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1961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Vest Thurston, LLC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77769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8.19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363374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66263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347719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1724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35673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1447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816200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2449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Vest Thurston, LLC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68330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15.73</v>
      </c>
      <c r="F234" s="26">
        <f>data!BC60</f>
        <v>0</v>
      </c>
      <c r="G234" s="26">
        <f>data!BD60</f>
        <v>0</v>
      </c>
      <c r="H234" s="26">
        <f>data!BE60</f>
        <v>2.82</v>
      </c>
      <c r="I234" s="26">
        <f>data!BF60</f>
        <v>4.17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1139328</v>
      </c>
      <c r="F235" s="14">
        <f>data!BC61</f>
        <v>0</v>
      </c>
      <c r="G235" s="14">
        <f>data!BD61</f>
        <v>0</v>
      </c>
      <c r="H235" s="14">
        <f>data!BE61</f>
        <v>195129</v>
      </c>
      <c r="I235" s="14">
        <f>data!BF61</f>
        <v>160069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208667</v>
      </c>
      <c r="F236" s="14">
        <f>data!BC62</f>
        <v>0</v>
      </c>
      <c r="G236" s="14">
        <f>data!BD62</f>
        <v>0</v>
      </c>
      <c r="H236" s="14">
        <f>data!BE62</f>
        <v>35626</v>
      </c>
      <c r="I236" s="14">
        <f>data!BF62</f>
        <v>29945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71450</v>
      </c>
      <c r="F238" s="14">
        <f>data!BC64</f>
        <v>0</v>
      </c>
      <c r="G238" s="14">
        <f>data!BD64</f>
        <v>0</v>
      </c>
      <c r="H238" s="14">
        <f>data!BE64</f>
        <v>62409</v>
      </c>
      <c r="I238" s="14">
        <f>data!BF64</f>
        <v>52335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328527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83106</v>
      </c>
      <c r="E240" s="14">
        <f>data!BB66</f>
        <v>5837</v>
      </c>
      <c r="F240" s="14">
        <f>data!BC66</f>
        <v>0</v>
      </c>
      <c r="G240" s="14">
        <f>data!BD66</f>
        <v>0</v>
      </c>
      <c r="H240" s="14">
        <f>data!BE66</f>
        <v>31827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4370</v>
      </c>
      <c r="E241" s="14">
        <f>data!BB67</f>
        <v>4865</v>
      </c>
      <c r="F241" s="14">
        <f>data!BC67</f>
        <v>0</v>
      </c>
      <c r="G241" s="14">
        <f>data!BD67</f>
        <v>2389</v>
      </c>
      <c r="H241" s="14">
        <f>data!BE67</f>
        <v>21587</v>
      </c>
      <c r="I241" s="14">
        <f>data!BF67</f>
        <v>8099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1389122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1424</v>
      </c>
      <c r="F243" s="14">
        <f>data!BC69</f>
        <v>0</v>
      </c>
      <c r="G243" s="14">
        <f>data!BD69</f>
        <v>0</v>
      </c>
      <c r="H243" s="14">
        <f>data!BE69</f>
        <v>100104</v>
      </c>
      <c r="I243" s="14">
        <f>data!BF69</f>
        <v>77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87476</v>
      </c>
      <c r="E245" s="14">
        <f>data!BB71</f>
        <v>1431571</v>
      </c>
      <c r="F245" s="14">
        <f>data!BC71</f>
        <v>0</v>
      </c>
      <c r="G245" s="14">
        <f>data!BD71</f>
        <v>2389</v>
      </c>
      <c r="H245" s="14">
        <f>data!BE71</f>
        <v>2164331</v>
      </c>
      <c r="I245" s="14">
        <f>data!BF71</f>
        <v>250525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300</v>
      </c>
      <c r="E252" s="85">
        <f>data!BB76</f>
        <v>334</v>
      </c>
      <c r="F252" s="85">
        <f>data!BC76</f>
        <v>0</v>
      </c>
      <c r="G252" s="85">
        <f>data!BD76</f>
        <v>164</v>
      </c>
      <c r="H252" s="85">
        <f>data!BE76</f>
        <v>1482</v>
      </c>
      <c r="I252" s="85">
        <f>data!BF76</f>
        <v>556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Vest Thurston, LLC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2.59</v>
      </c>
      <c r="D266" s="26">
        <f>data!BH60</f>
        <v>0.84</v>
      </c>
      <c r="E266" s="26">
        <f>data!BI60</f>
        <v>0</v>
      </c>
      <c r="F266" s="26">
        <f>data!BJ60</f>
        <v>1.83</v>
      </c>
      <c r="G266" s="26">
        <f>data!BK60</f>
        <v>4.92</v>
      </c>
      <c r="H266" s="26">
        <f>data!BL60</f>
        <v>11.18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94728</v>
      </c>
      <c r="D267" s="14">
        <f>data!BH61</f>
        <v>40165</v>
      </c>
      <c r="E267" s="14">
        <f>data!BI61</f>
        <v>0</v>
      </c>
      <c r="F267" s="14">
        <f>data!BJ61</f>
        <v>217192</v>
      </c>
      <c r="G267" s="14">
        <f>data!BK61</f>
        <v>264756</v>
      </c>
      <c r="H267" s="14">
        <f>data!BL61</f>
        <v>724819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17615</v>
      </c>
      <c r="D268" s="14">
        <f>data!BH62</f>
        <v>7256</v>
      </c>
      <c r="E268" s="14">
        <f>data!BI62</f>
        <v>0</v>
      </c>
      <c r="F268" s="14">
        <f>data!BJ62</f>
        <v>40945</v>
      </c>
      <c r="G268" s="14">
        <f>data!BK62</f>
        <v>48903</v>
      </c>
      <c r="H268" s="14">
        <f>data!BL62</f>
        <v>133269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5559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24005</v>
      </c>
      <c r="E270" s="14">
        <f>data!BI64</f>
        <v>0</v>
      </c>
      <c r="F270" s="14">
        <f>data!BJ64</f>
        <v>5401</v>
      </c>
      <c r="G270" s="14">
        <f>data!BK64</f>
        <v>0</v>
      </c>
      <c r="H270" s="14">
        <f>data!BL64</f>
        <v>8174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197067</v>
      </c>
      <c r="E272" s="14">
        <f>data!BI66</f>
        <v>0</v>
      </c>
      <c r="F272" s="14">
        <f>data!BJ66</f>
        <v>155137</v>
      </c>
      <c r="G272" s="14">
        <f>data!BK66</f>
        <v>96187</v>
      </c>
      <c r="H272" s="14">
        <f>data!BL66</f>
        <v>2189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156077</v>
      </c>
      <c r="F273" s="14">
        <f>data!BJ67</f>
        <v>0</v>
      </c>
      <c r="G273" s="14">
        <f>data!BK67</f>
        <v>0</v>
      </c>
      <c r="H273" s="14">
        <f>data!BL67</f>
        <v>17596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356</v>
      </c>
      <c r="E275" s="14">
        <f>data!BI69</f>
        <v>0</v>
      </c>
      <c r="F275" s="14">
        <f>data!BJ69</f>
        <v>2090</v>
      </c>
      <c r="G275" s="14">
        <f>data!BK69</f>
        <v>0</v>
      </c>
      <c r="H275" s="14">
        <f>data!BL69</f>
        <v>2705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112343</v>
      </c>
      <c r="D277" s="14">
        <f>data!BH71</f>
        <v>268849</v>
      </c>
      <c r="E277" s="14">
        <f>data!BI71</f>
        <v>156077</v>
      </c>
      <c r="F277" s="14">
        <f>data!BJ71</f>
        <v>426324</v>
      </c>
      <c r="G277" s="14">
        <f>data!BK71</f>
        <v>409846</v>
      </c>
      <c r="H277" s="14">
        <f>data!BL71</f>
        <v>888752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10715</v>
      </c>
      <c r="F284" s="85">
        <f>data!BJ76</f>
        <v>0</v>
      </c>
      <c r="G284" s="85">
        <f>data!BK76</f>
        <v>0</v>
      </c>
      <c r="H284" s="85">
        <f>data!BL76</f>
        <v>1208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Vest Thurston, LLC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2.42</v>
      </c>
      <c r="D298" s="26">
        <f>data!BO60</f>
        <v>0</v>
      </c>
      <c r="E298" s="26">
        <f>data!BP60</f>
        <v>2.0099999999999998</v>
      </c>
      <c r="F298" s="26">
        <f>data!BQ60</f>
        <v>0</v>
      </c>
      <c r="G298" s="26">
        <f>data!BR60</f>
        <v>1.02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420826</v>
      </c>
      <c r="D299" s="14">
        <f>data!BO61</f>
        <v>0</v>
      </c>
      <c r="E299" s="14">
        <f>data!BP61</f>
        <v>147435</v>
      </c>
      <c r="F299" s="14">
        <f>data!BQ61</f>
        <v>0</v>
      </c>
      <c r="G299" s="14">
        <f>data!BR61</f>
        <v>77820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69358</v>
      </c>
      <c r="D300" s="14">
        <f>data!BO62</f>
        <v>0</v>
      </c>
      <c r="E300" s="14">
        <f>data!BP62</f>
        <v>26120</v>
      </c>
      <c r="F300" s="14">
        <f>data!BQ62</f>
        <v>0</v>
      </c>
      <c r="G300" s="14">
        <f>data!BR62</f>
        <v>15541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38340</v>
      </c>
      <c r="D302" s="14">
        <f>data!BO64</f>
        <v>0</v>
      </c>
      <c r="E302" s="14">
        <f>data!BP64</f>
        <v>4390</v>
      </c>
      <c r="F302" s="14">
        <f>data!BQ64</f>
        <v>0</v>
      </c>
      <c r="G302" s="14">
        <f>data!BR64</f>
        <v>2986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48704</v>
      </c>
      <c r="D304" s="14">
        <f>data!BO66</f>
        <v>0</v>
      </c>
      <c r="E304" s="14">
        <f>data!BP66</f>
        <v>5082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29934</v>
      </c>
      <c r="D305" s="14">
        <f>data!BO67</f>
        <v>0</v>
      </c>
      <c r="E305" s="14">
        <f>data!BP67</f>
        <v>2433</v>
      </c>
      <c r="F305" s="14">
        <f>data!BQ67</f>
        <v>0</v>
      </c>
      <c r="G305" s="14">
        <f>data!BR67</f>
        <v>1923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40828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29818</v>
      </c>
      <c r="D307" s="14">
        <f>data!BO69</f>
        <v>0</v>
      </c>
      <c r="E307" s="14">
        <f>data!BP69</f>
        <v>15904</v>
      </c>
      <c r="F307" s="14">
        <f>data!BQ69</f>
        <v>0</v>
      </c>
      <c r="G307" s="14">
        <f>data!BR69</f>
        <v>436935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677808</v>
      </c>
      <c r="D309" s="14">
        <f>data!BO71</f>
        <v>0</v>
      </c>
      <c r="E309" s="14">
        <f>data!BP71</f>
        <v>201364</v>
      </c>
      <c r="F309" s="14">
        <f>data!BQ71</f>
        <v>0</v>
      </c>
      <c r="G309" s="14">
        <f>data!BR71</f>
        <v>535205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2055</v>
      </c>
      <c r="D316" s="85">
        <f>data!BO76</f>
        <v>0</v>
      </c>
      <c r="E316" s="85">
        <f>data!BP76</f>
        <v>167</v>
      </c>
      <c r="F316" s="85">
        <f>data!BQ76</f>
        <v>0</v>
      </c>
      <c r="G316" s="85">
        <f>data!BR76</f>
        <v>132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Vest Thurston, LLC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4.0199999999999996</v>
      </c>
      <c r="E330" s="26">
        <f>data!BW60</f>
        <v>5.46</v>
      </c>
      <c r="F330" s="26">
        <f>data!BX60</f>
        <v>2.82</v>
      </c>
      <c r="G330" s="26">
        <f>data!BY60</f>
        <v>7.38</v>
      </c>
      <c r="H330" s="26">
        <f>data!BZ60</f>
        <v>0</v>
      </c>
      <c r="I330" s="26">
        <f>data!CA60</f>
        <v>7.24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223562</v>
      </c>
      <c r="E331" s="86">
        <f>data!BW61</f>
        <v>0</v>
      </c>
      <c r="F331" s="86">
        <f>data!BX61</f>
        <v>198493</v>
      </c>
      <c r="G331" s="86">
        <f>data!BY61</f>
        <v>885795</v>
      </c>
      <c r="H331" s="86">
        <f>data!BZ61</f>
        <v>0</v>
      </c>
      <c r="I331" s="86">
        <f>data!CA61</f>
        <v>545004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40918</v>
      </c>
      <c r="E332" s="86">
        <f>data!BW62</f>
        <v>0</v>
      </c>
      <c r="F332" s="86">
        <f>data!BX62</f>
        <v>36080</v>
      </c>
      <c r="G332" s="86">
        <f>data!BY62</f>
        <v>157963</v>
      </c>
      <c r="H332" s="86">
        <f>data!BZ62</f>
        <v>0</v>
      </c>
      <c r="I332" s="86">
        <f>data!CA62</f>
        <v>103786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2322390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11157</v>
      </c>
      <c r="E334" s="86">
        <f>data!BW64</f>
        <v>0</v>
      </c>
      <c r="F334" s="86">
        <f>data!BX64</f>
        <v>711</v>
      </c>
      <c r="G334" s="86">
        <f>data!BY64</f>
        <v>0</v>
      </c>
      <c r="H334" s="86">
        <f>data!BZ64</f>
        <v>0</v>
      </c>
      <c r="I334" s="86">
        <f>data!CA64</f>
        <v>105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5361</v>
      </c>
      <c r="E336" s="86">
        <f>data!BW66</f>
        <v>0</v>
      </c>
      <c r="F336" s="86">
        <f>data!BX66</f>
        <v>0</v>
      </c>
      <c r="G336" s="86">
        <f>data!BY66</f>
        <v>10542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7502</v>
      </c>
      <c r="E337" s="86">
        <f>data!BW67</f>
        <v>0</v>
      </c>
      <c r="F337" s="86">
        <f>data!BX67</f>
        <v>2185</v>
      </c>
      <c r="G337" s="86">
        <f>data!BY67</f>
        <v>4778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4287</v>
      </c>
      <c r="G339" s="86">
        <f>data!BY69</f>
        <v>714</v>
      </c>
      <c r="H339" s="86">
        <f>data!BZ69</f>
        <v>0</v>
      </c>
      <c r="I339" s="86">
        <f>data!CA69</f>
        <v>21726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288500</v>
      </c>
      <c r="E341" s="14">
        <f>data!BW71</f>
        <v>2322390</v>
      </c>
      <c r="F341" s="14">
        <f>data!BX71</f>
        <v>241756</v>
      </c>
      <c r="G341" s="14">
        <f>data!BY71</f>
        <v>1059792</v>
      </c>
      <c r="H341" s="14">
        <f>data!BZ71</f>
        <v>0</v>
      </c>
      <c r="I341" s="14">
        <f>data!CA71</f>
        <v>670621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515</v>
      </c>
      <c r="E348" s="85">
        <f>data!BW76</f>
        <v>0</v>
      </c>
      <c r="F348" s="85">
        <f>data!BX76</f>
        <v>150</v>
      </c>
      <c r="G348" s="85">
        <f>data!BY76</f>
        <v>328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Vest Thurston, LLC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182.70000000000002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12783379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2327060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2327949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1007075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328527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2105317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995311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1429950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1356447</v>
      </c>
      <c r="F371" s="219"/>
      <c r="G371" s="219"/>
      <c r="H371" s="219"/>
      <c r="I371" s="86">
        <f>data!CE69</f>
        <v>1976220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1332498</v>
      </c>
      <c r="F372" s="220"/>
      <c r="G372" s="220"/>
      <c r="H372" s="220"/>
      <c r="I372" s="14">
        <f>-data!CE70</f>
        <v>-1332498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23949</v>
      </c>
      <c r="F373" s="219"/>
      <c r="G373" s="219"/>
      <c r="H373" s="219"/>
      <c r="I373" s="14">
        <f>data!CE71</f>
        <v>23948290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82258753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1831500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84090253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68330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77769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8677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106828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93.45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2022-05-26T16:14:54Z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2022-05-26T16:11:36Z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6d42a961-66d0-4f5e-9b23-dcf8d4ec9cb8</vt:lpwstr>
  </property>
  <property fmtid="{D5CDD505-2E9C-101B-9397-08002B2CF9AE}" pid="8" name="MSIP_Label_1520fa42-cf58-4c22-8b93-58cf1d3bd1cb_ContentBits">
    <vt:lpwstr>0</vt:lpwstr>
  </property>
</Properties>
</file>