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End\YearEnd_2021\"/>
    </mc:Choice>
  </mc:AlternateContent>
  <xr:revisionPtr revIDLastSave="0" documentId="13_ncr:1_{B08DF9BE-F06C-4C06-9ADC-EF6796BD4774}" xr6:coauthVersionLast="47" xr6:coauthVersionMax="47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9" i="10" l="1"/>
  <c r="L77" i="1" l="1"/>
  <c r="D145" i="1"/>
  <c r="AE59" i="1" l="1"/>
  <c r="C325" i="1"/>
  <c r="D138" i="1" l="1"/>
  <c r="C213" i="1"/>
  <c r="B213" i="1"/>
  <c r="B197" i="1"/>
  <c r="D139" i="1" l="1"/>
  <c r="CC69" i="1" l="1"/>
  <c r="BH69" i="1"/>
  <c r="BF69" i="1"/>
  <c r="BE69" i="1"/>
  <c r="AY69" i="1"/>
  <c r="AJ69" i="1"/>
  <c r="AG69" i="1"/>
  <c r="AE69" i="1"/>
  <c r="AC69" i="1"/>
  <c r="AB69" i="1"/>
  <c r="U69" i="1"/>
  <c r="S69" i="1"/>
  <c r="R69" i="1"/>
  <c r="C69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H545" i="10" s="1"/>
  <c r="E544" i="10"/>
  <c r="D544" i="10"/>
  <c r="B544" i="10"/>
  <c r="B543" i="10"/>
  <c r="B542" i="10"/>
  <c r="B541" i="10"/>
  <c r="H540" i="10"/>
  <c r="F540" i="10"/>
  <c r="E540" i="10"/>
  <c r="D540" i="10"/>
  <c r="B540" i="10"/>
  <c r="E539" i="10"/>
  <c r="D539" i="10"/>
  <c r="B539" i="10"/>
  <c r="F539" i="10" s="1"/>
  <c r="E538" i="10"/>
  <c r="D538" i="10"/>
  <c r="B538" i="10"/>
  <c r="H538" i="10" s="1"/>
  <c r="E537" i="10"/>
  <c r="D537" i="10"/>
  <c r="B537" i="10"/>
  <c r="E536" i="10"/>
  <c r="D536" i="10"/>
  <c r="B536" i="10"/>
  <c r="H536" i="10" s="1"/>
  <c r="E535" i="10"/>
  <c r="D535" i="10"/>
  <c r="B535" i="10"/>
  <c r="H535" i="10" s="1"/>
  <c r="E534" i="10"/>
  <c r="D534" i="10"/>
  <c r="B534" i="10"/>
  <c r="H534" i="10" s="1"/>
  <c r="E533" i="10"/>
  <c r="D533" i="10"/>
  <c r="B533" i="10"/>
  <c r="H533" i="10" s="1"/>
  <c r="E532" i="10"/>
  <c r="D532" i="10"/>
  <c r="B532" i="10"/>
  <c r="F532" i="10" s="1"/>
  <c r="E531" i="10"/>
  <c r="D531" i="10"/>
  <c r="B531" i="10"/>
  <c r="H531" i="10" s="1"/>
  <c r="E530" i="10"/>
  <c r="D530" i="10"/>
  <c r="B530" i="10"/>
  <c r="H530" i="10" s="1"/>
  <c r="E529" i="10"/>
  <c r="D529" i="10"/>
  <c r="B529" i="10"/>
  <c r="E528" i="10"/>
  <c r="D528" i="10"/>
  <c r="B528" i="10"/>
  <c r="E527" i="10"/>
  <c r="D527" i="10"/>
  <c r="B527" i="10"/>
  <c r="E526" i="10"/>
  <c r="D526" i="10"/>
  <c r="B526" i="10"/>
  <c r="E525" i="10"/>
  <c r="D525" i="10"/>
  <c r="B525" i="10"/>
  <c r="F525" i="10" s="1"/>
  <c r="E524" i="10"/>
  <c r="D524" i="10"/>
  <c r="B524" i="10"/>
  <c r="E523" i="10"/>
  <c r="D523" i="10"/>
  <c r="B523" i="10"/>
  <c r="H523" i="10" s="1"/>
  <c r="E522" i="10"/>
  <c r="D522" i="10"/>
  <c r="B522" i="10"/>
  <c r="B521" i="10"/>
  <c r="E520" i="10"/>
  <c r="D520" i="10"/>
  <c r="B520" i="10"/>
  <c r="E519" i="10"/>
  <c r="D519" i="10"/>
  <c r="B519" i="10"/>
  <c r="F519" i="10" s="1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H515" i="10" s="1"/>
  <c r="E514" i="10"/>
  <c r="D514" i="10"/>
  <c r="B514" i="10"/>
  <c r="B513" i="10"/>
  <c r="B512" i="10"/>
  <c r="F512" i="10" s="1"/>
  <c r="E511" i="10"/>
  <c r="D511" i="10"/>
  <c r="B511" i="10"/>
  <c r="E510" i="10"/>
  <c r="D510" i="10"/>
  <c r="B510" i="10"/>
  <c r="E509" i="10"/>
  <c r="D509" i="10"/>
  <c r="B509" i="10"/>
  <c r="E508" i="10"/>
  <c r="D508" i="10"/>
  <c r="B508" i="10"/>
  <c r="E507" i="10"/>
  <c r="D507" i="10"/>
  <c r="B507" i="10"/>
  <c r="F506" i="10"/>
  <c r="E506" i="10"/>
  <c r="D506" i="10"/>
  <c r="B506" i="10"/>
  <c r="H506" i="10" s="1"/>
  <c r="E505" i="10"/>
  <c r="D505" i="10"/>
  <c r="B505" i="10"/>
  <c r="E504" i="10"/>
  <c r="D504" i="10"/>
  <c r="B504" i="10"/>
  <c r="H504" i="10" s="1"/>
  <c r="E503" i="10"/>
  <c r="D503" i="10"/>
  <c r="B503" i="10"/>
  <c r="E502" i="10"/>
  <c r="D502" i="10"/>
  <c r="B502" i="10"/>
  <c r="E501" i="10"/>
  <c r="D501" i="10"/>
  <c r="B501" i="10"/>
  <c r="E500" i="10"/>
  <c r="D500" i="10"/>
  <c r="B500" i="10"/>
  <c r="F500" i="10" s="1"/>
  <c r="E499" i="10"/>
  <c r="D499" i="10"/>
  <c r="B499" i="10"/>
  <c r="E498" i="10"/>
  <c r="D498" i="10"/>
  <c r="B498" i="10"/>
  <c r="E497" i="10"/>
  <c r="D497" i="10"/>
  <c r="B497" i="10"/>
  <c r="H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28" i="10"/>
  <c r="D319" i="10"/>
  <c r="D314" i="10"/>
  <c r="D290" i="10"/>
  <c r="D283" i="10"/>
  <c r="D275" i="10"/>
  <c r="D277" i="10" s="1"/>
  <c r="D265" i="10"/>
  <c r="D260" i="10"/>
  <c r="D240" i="10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B141" i="10"/>
  <c r="E141" i="10" s="1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CE61" i="10"/>
  <c r="BF48" i="10" s="1"/>
  <c r="BF62" i="10" s="1"/>
  <c r="CE60" i="10"/>
  <c r="H612" i="10" s="1"/>
  <c r="B53" i="10"/>
  <c r="CE51" i="10"/>
  <c r="B49" i="10"/>
  <c r="CE47" i="10"/>
  <c r="F505" i="10" l="1"/>
  <c r="F517" i="10"/>
  <c r="F520" i="10"/>
  <c r="F498" i="10"/>
  <c r="H532" i="10"/>
  <c r="H539" i="10"/>
  <c r="F546" i="10"/>
  <c r="F516" i="10"/>
  <c r="F524" i="10"/>
  <c r="F550" i="10"/>
  <c r="F537" i="10"/>
  <c r="F523" i="10"/>
  <c r="C473" i="10"/>
  <c r="D438" i="10"/>
  <c r="F526" i="10"/>
  <c r="B440" i="10"/>
  <c r="F518" i="10"/>
  <c r="F497" i="10"/>
  <c r="AD48" i="10"/>
  <c r="AD62" i="10" s="1"/>
  <c r="F503" i="10"/>
  <c r="F508" i="10"/>
  <c r="W48" i="10"/>
  <c r="W62" i="10" s="1"/>
  <c r="CE75" i="10"/>
  <c r="C465" i="10" s="1"/>
  <c r="D368" i="10"/>
  <c r="D373" i="10" s="1"/>
  <c r="D391" i="10" s="1"/>
  <c r="D393" i="10" s="1"/>
  <c r="D396" i="10" s="1"/>
  <c r="F504" i="10"/>
  <c r="F529" i="10"/>
  <c r="AP48" i="10"/>
  <c r="AP62" i="10" s="1"/>
  <c r="AW48" i="10"/>
  <c r="AW62" i="10" s="1"/>
  <c r="D292" i="10"/>
  <c r="D341" i="10" s="1"/>
  <c r="C481" i="10" s="1"/>
  <c r="F515" i="10"/>
  <c r="BV48" i="10"/>
  <c r="BV62" i="10" s="1"/>
  <c r="F496" i="10"/>
  <c r="F538" i="10"/>
  <c r="AI48" i="10"/>
  <c r="AI62" i="10" s="1"/>
  <c r="BO48" i="10"/>
  <c r="BO62" i="10" s="1"/>
  <c r="E217" i="10"/>
  <c r="C478" i="10" s="1"/>
  <c r="CC48" i="10"/>
  <c r="CC62" i="10" s="1"/>
  <c r="D464" i="10"/>
  <c r="H525" i="10"/>
  <c r="F530" i="10"/>
  <c r="BC48" i="10"/>
  <c r="BC62" i="10" s="1"/>
  <c r="BJ48" i="10"/>
  <c r="BJ62" i="10" s="1"/>
  <c r="BW48" i="10"/>
  <c r="BW62" i="10" s="1"/>
  <c r="D330" i="10"/>
  <c r="D339" i="10" s="1"/>
  <c r="C482" i="10" s="1"/>
  <c r="D435" i="10"/>
  <c r="F511" i="10"/>
  <c r="F522" i="10"/>
  <c r="J48" i="10"/>
  <c r="J62" i="10" s="1"/>
  <c r="E204" i="10"/>
  <c r="C476" i="10" s="1"/>
  <c r="B476" i="10"/>
  <c r="F531" i="10"/>
  <c r="C48" i="10"/>
  <c r="C62" i="10" s="1"/>
  <c r="Q48" i="10"/>
  <c r="Q62" i="10" s="1"/>
  <c r="CF76" i="10"/>
  <c r="CA52" i="10" s="1"/>
  <c r="CA67" i="10" s="1"/>
  <c r="AM48" i="10"/>
  <c r="AM62" i="10" s="1"/>
  <c r="C472" i="10"/>
  <c r="K48" i="10"/>
  <c r="K62" i="10" s="1"/>
  <c r="Y48" i="10"/>
  <c r="Y62" i="10" s="1"/>
  <c r="AL48" i="10"/>
  <c r="AL62" i="10" s="1"/>
  <c r="AX48" i="10"/>
  <c r="AX62" i="10" s="1"/>
  <c r="BK48" i="10"/>
  <c r="BK62" i="10" s="1"/>
  <c r="F507" i="10"/>
  <c r="N48" i="10"/>
  <c r="N62" i="10" s="1"/>
  <c r="Z48" i="10"/>
  <c r="Z62" i="10" s="1"/>
  <c r="AY48" i="10"/>
  <c r="AY62" i="10" s="1"/>
  <c r="BM48" i="10"/>
  <c r="BM62" i="10" s="1"/>
  <c r="BZ48" i="10"/>
  <c r="BZ62" i="10" s="1"/>
  <c r="O48" i="10"/>
  <c r="O62" i="10" s="1"/>
  <c r="AA48" i="10"/>
  <c r="AA62" i="10" s="1"/>
  <c r="AO48" i="10"/>
  <c r="AO62" i="10" s="1"/>
  <c r="BB48" i="10"/>
  <c r="BB62" i="10" s="1"/>
  <c r="BN48" i="10"/>
  <c r="BN62" i="10" s="1"/>
  <c r="CA48" i="10"/>
  <c r="CA62" i="10" s="1"/>
  <c r="B447" i="10"/>
  <c r="D242" i="10"/>
  <c r="B448" i="10" s="1"/>
  <c r="F48" i="10"/>
  <c r="F62" i="10" s="1"/>
  <c r="AQ48" i="10"/>
  <c r="AQ62" i="10" s="1"/>
  <c r="G48" i="10"/>
  <c r="G62" i="10" s="1"/>
  <c r="AG48" i="10"/>
  <c r="AG62" i="10" s="1"/>
  <c r="G612" i="10"/>
  <c r="CF77" i="10"/>
  <c r="C427" i="10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F499" i="10"/>
  <c r="H499" i="10"/>
  <c r="R48" i="10"/>
  <c r="R62" i="10" s="1"/>
  <c r="AE48" i="10"/>
  <c r="AE62" i="10" s="1"/>
  <c r="BE48" i="10"/>
  <c r="BE62" i="10" s="1"/>
  <c r="BR48" i="10"/>
  <c r="BR62" i="10" s="1"/>
  <c r="S48" i="10"/>
  <c r="S62" i="10" s="1"/>
  <c r="AT48" i="10"/>
  <c r="AT62" i="10" s="1"/>
  <c r="BS48" i="10"/>
  <c r="BS62" i="10" s="1"/>
  <c r="I48" i="10"/>
  <c r="I62" i="10" s="1"/>
  <c r="V48" i="10"/>
  <c r="V62" i="10" s="1"/>
  <c r="AH48" i="10"/>
  <c r="AH62" i="10" s="1"/>
  <c r="AU48" i="10"/>
  <c r="AU62" i="10" s="1"/>
  <c r="BG48" i="10"/>
  <c r="BG62" i="10" s="1"/>
  <c r="BU48" i="10"/>
  <c r="BU62" i="10" s="1"/>
  <c r="D463" i="10"/>
  <c r="C430" i="10"/>
  <c r="H502" i="10"/>
  <c r="F502" i="10"/>
  <c r="F510" i="10"/>
  <c r="H527" i="10"/>
  <c r="F527" i="10"/>
  <c r="H500" i="10"/>
  <c r="H501" i="10"/>
  <c r="F501" i="10"/>
  <c r="F509" i="10"/>
  <c r="H519" i="10"/>
  <c r="F521" i="10"/>
  <c r="F528" i="10"/>
  <c r="H513" i="10"/>
  <c r="F513" i="10"/>
  <c r="F514" i="10"/>
  <c r="F536" i="10"/>
  <c r="F545" i="10"/>
  <c r="F535" i="10"/>
  <c r="F544" i="10"/>
  <c r="F534" i="10"/>
  <c r="F533" i="10"/>
  <c r="B575" i="1"/>
  <c r="F493" i="1"/>
  <c r="D493" i="1"/>
  <c r="B493" i="1"/>
  <c r="BJ52" i="10" l="1"/>
  <c r="BJ67" i="10" s="1"/>
  <c r="V52" i="10"/>
  <c r="V67" i="10" s="1"/>
  <c r="AL52" i="10"/>
  <c r="AL67" i="10" s="1"/>
  <c r="F52" i="10"/>
  <c r="F67" i="10" s="1"/>
  <c r="F71" i="10" s="1"/>
  <c r="M736" i="10" s="1"/>
  <c r="D465" i="10"/>
  <c r="BG52" i="10"/>
  <c r="BG67" i="10" s="1"/>
  <c r="BG71" i="10" s="1"/>
  <c r="M789" i="10" s="1"/>
  <c r="AT52" i="10"/>
  <c r="AT67" i="10" s="1"/>
  <c r="AT71" i="10" s="1"/>
  <c r="M776" i="10" s="1"/>
  <c r="R52" i="10"/>
  <c r="R67" i="10" s="1"/>
  <c r="R71" i="10" s="1"/>
  <c r="C683" i="10" s="1"/>
  <c r="AH52" i="10"/>
  <c r="AH67" i="10" s="1"/>
  <c r="AH71" i="10" s="1"/>
  <c r="M764" i="10" s="1"/>
  <c r="Z52" i="10"/>
  <c r="Z67" i="10" s="1"/>
  <c r="Z71" i="10" s="1"/>
  <c r="C691" i="10" s="1"/>
  <c r="AA52" i="10"/>
  <c r="AA67" i="10" s="1"/>
  <c r="AA71" i="10" s="1"/>
  <c r="C692" i="10" s="1"/>
  <c r="BA52" i="10"/>
  <c r="BA67" i="10" s="1"/>
  <c r="BA71" i="10" s="1"/>
  <c r="AD52" i="10"/>
  <c r="AD67" i="10" s="1"/>
  <c r="AD71" i="10" s="1"/>
  <c r="C695" i="10" s="1"/>
  <c r="AP52" i="10"/>
  <c r="AP67" i="10" s="1"/>
  <c r="AP71" i="10" s="1"/>
  <c r="C707" i="10" s="1"/>
  <c r="AQ52" i="10"/>
  <c r="AQ67" i="10" s="1"/>
  <c r="AQ71" i="10" s="1"/>
  <c r="M773" i="10" s="1"/>
  <c r="AB52" i="10"/>
  <c r="AB67" i="10" s="1"/>
  <c r="AB71" i="10" s="1"/>
  <c r="BF52" i="10"/>
  <c r="BF67" i="10" s="1"/>
  <c r="BF71" i="10" s="1"/>
  <c r="S52" i="10"/>
  <c r="S67" i="10" s="1"/>
  <c r="C52" i="10"/>
  <c r="AI52" i="10"/>
  <c r="AI67" i="10" s="1"/>
  <c r="AI71" i="10" s="1"/>
  <c r="C528" i="10" s="1"/>
  <c r="BJ71" i="10"/>
  <c r="B555" i="1" s="1"/>
  <c r="K52" i="10"/>
  <c r="K67" i="10" s="1"/>
  <c r="K71" i="10" s="1"/>
  <c r="C676" i="10" s="1"/>
  <c r="J52" i="10"/>
  <c r="J67" i="10" s="1"/>
  <c r="J71" i="10" s="1"/>
  <c r="C503" i="10" s="1"/>
  <c r="N52" i="10"/>
  <c r="N67" i="10" s="1"/>
  <c r="N71" i="10" s="1"/>
  <c r="M744" i="10" s="1"/>
  <c r="BE52" i="10"/>
  <c r="BE67" i="10" s="1"/>
  <c r="BE71" i="10" s="1"/>
  <c r="K612" i="10"/>
  <c r="BV52" i="10"/>
  <c r="BV67" i="10" s="1"/>
  <c r="BV71" i="10" s="1"/>
  <c r="BZ52" i="10"/>
  <c r="BZ67" i="10" s="1"/>
  <c r="BZ71" i="10" s="1"/>
  <c r="V71" i="10"/>
  <c r="M752" i="10" s="1"/>
  <c r="BO52" i="10"/>
  <c r="BO67" i="10" s="1"/>
  <c r="BO71" i="10" s="1"/>
  <c r="BN52" i="10"/>
  <c r="BN67" i="10" s="1"/>
  <c r="BN71" i="10" s="1"/>
  <c r="BR52" i="10"/>
  <c r="BR67" i="10" s="1"/>
  <c r="BR71" i="10" s="1"/>
  <c r="M800" i="10" s="1"/>
  <c r="AY52" i="10"/>
  <c r="AY67" i="10" s="1"/>
  <c r="AX52" i="10"/>
  <c r="AX67" i="10" s="1"/>
  <c r="BB52" i="10"/>
  <c r="BB67" i="10" s="1"/>
  <c r="BB71" i="10" s="1"/>
  <c r="M784" i="10" s="1"/>
  <c r="BW52" i="10"/>
  <c r="BW67" i="10" s="1"/>
  <c r="BW71" i="10" s="1"/>
  <c r="AF52" i="10"/>
  <c r="AF67" i="10" s="1"/>
  <c r="AF71" i="10" s="1"/>
  <c r="G52" i="10"/>
  <c r="G67" i="10" s="1"/>
  <c r="G71" i="10" s="1"/>
  <c r="CC52" i="10"/>
  <c r="CC67" i="10" s="1"/>
  <c r="CC71" i="10" s="1"/>
  <c r="AE52" i="10"/>
  <c r="AE67" i="10" s="1"/>
  <c r="AE71" i="10" s="1"/>
  <c r="BQ52" i="10"/>
  <c r="BQ67" i="10" s="1"/>
  <c r="BQ71" i="10" s="1"/>
  <c r="C562" i="10" s="1"/>
  <c r="AM52" i="10"/>
  <c r="AM67" i="10" s="1"/>
  <c r="AM71" i="10" s="1"/>
  <c r="BD52" i="10"/>
  <c r="BD67" i="10" s="1"/>
  <c r="BD71" i="10" s="1"/>
  <c r="E52" i="10"/>
  <c r="E67" i="10" s="1"/>
  <c r="E71" i="10" s="1"/>
  <c r="CB52" i="10"/>
  <c r="CB67" i="10" s="1"/>
  <c r="CB71" i="10" s="1"/>
  <c r="AC52" i="10"/>
  <c r="AC67" i="10" s="1"/>
  <c r="AC71" i="10" s="1"/>
  <c r="M759" i="10" s="1"/>
  <c r="P52" i="10"/>
  <c r="P67" i="10" s="1"/>
  <c r="P71" i="10" s="1"/>
  <c r="C509" i="10" s="1"/>
  <c r="I52" i="10"/>
  <c r="I67" i="10" s="1"/>
  <c r="I71" i="10" s="1"/>
  <c r="AN52" i="10"/>
  <c r="AN67" i="10" s="1"/>
  <c r="AN71" i="10" s="1"/>
  <c r="AZ52" i="10"/>
  <c r="AZ67" i="10" s="1"/>
  <c r="AZ71" i="10" s="1"/>
  <c r="T52" i="10"/>
  <c r="T67" i="10" s="1"/>
  <c r="T71" i="10" s="1"/>
  <c r="C685" i="10" s="1"/>
  <c r="BM52" i="10"/>
  <c r="BM67" i="10" s="1"/>
  <c r="BM71" i="10" s="1"/>
  <c r="BL52" i="10"/>
  <c r="BL67" i="10" s="1"/>
  <c r="BL71" i="10" s="1"/>
  <c r="BY52" i="10"/>
  <c r="BY67" i="10" s="1"/>
  <c r="BY71" i="10" s="1"/>
  <c r="Y52" i="10"/>
  <c r="Y67" i="10" s="1"/>
  <c r="Y71" i="10" s="1"/>
  <c r="C690" i="10" s="1"/>
  <c r="W52" i="10"/>
  <c r="W67" i="10" s="1"/>
  <c r="W71" i="10" s="1"/>
  <c r="B516" i="1" s="1"/>
  <c r="BU52" i="10"/>
  <c r="BU67" i="10" s="1"/>
  <c r="BU71" i="10" s="1"/>
  <c r="AS52" i="10"/>
  <c r="AS67" i="10" s="1"/>
  <c r="AS71" i="10" s="1"/>
  <c r="AV52" i="10"/>
  <c r="AV67" i="10" s="1"/>
  <c r="AV71" i="10" s="1"/>
  <c r="BT52" i="10"/>
  <c r="BT67" i="10" s="1"/>
  <c r="BT71" i="10" s="1"/>
  <c r="AU52" i="10"/>
  <c r="AU67" i="10" s="1"/>
  <c r="AU71" i="10" s="1"/>
  <c r="U52" i="10"/>
  <c r="U67" i="10" s="1"/>
  <c r="U71" i="10" s="1"/>
  <c r="AK52" i="10"/>
  <c r="AK67" i="10" s="1"/>
  <c r="AK71" i="10" s="1"/>
  <c r="BI52" i="10"/>
  <c r="BI67" i="10" s="1"/>
  <c r="BI71" i="10" s="1"/>
  <c r="C634" i="10" s="1"/>
  <c r="BS52" i="10"/>
  <c r="BS67" i="10" s="1"/>
  <c r="BS71" i="10" s="1"/>
  <c r="AR52" i="10"/>
  <c r="AR67" i="10" s="1"/>
  <c r="AR71" i="10" s="1"/>
  <c r="C537" i="10" s="1"/>
  <c r="O52" i="10"/>
  <c r="O67" i="10" s="1"/>
  <c r="O71" i="10" s="1"/>
  <c r="BK52" i="10"/>
  <c r="BK67" i="10" s="1"/>
  <c r="BK71" i="10" s="1"/>
  <c r="Q52" i="10"/>
  <c r="Q67" i="10" s="1"/>
  <c r="Q71" i="10" s="1"/>
  <c r="AJ52" i="10"/>
  <c r="AJ67" i="10" s="1"/>
  <c r="AJ71" i="10" s="1"/>
  <c r="BP52" i="10"/>
  <c r="BP67" i="10" s="1"/>
  <c r="BP71" i="10" s="1"/>
  <c r="M52" i="10"/>
  <c r="M67" i="10" s="1"/>
  <c r="M71" i="10" s="1"/>
  <c r="BH52" i="10"/>
  <c r="BH67" i="10" s="1"/>
  <c r="BH71" i="10" s="1"/>
  <c r="AG52" i="10"/>
  <c r="AG67" i="10" s="1"/>
  <c r="AG71" i="10" s="1"/>
  <c r="H52" i="10"/>
  <c r="H67" i="10" s="1"/>
  <c r="H71" i="10" s="1"/>
  <c r="BC52" i="10"/>
  <c r="BC67" i="10" s="1"/>
  <c r="BC71" i="10" s="1"/>
  <c r="D52" i="10"/>
  <c r="D67" i="10" s="1"/>
  <c r="D71" i="10" s="1"/>
  <c r="AO52" i="10"/>
  <c r="AO67" i="10" s="1"/>
  <c r="AO71" i="10" s="1"/>
  <c r="C534" i="10" s="1"/>
  <c r="G534" i="10" s="1"/>
  <c r="L52" i="10"/>
  <c r="L67" i="10" s="1"/>
  <c r="L71" i="10" s="1"/>
  <c r="C677" i="10" s="1"/>
  <c r="BX52" i="10"/>
  <c r="BX67" i="10" s="1"/>
  <c r="BX71" i="10" s="1"/>
  <c r="CA71" i="10"/>
  <c r="M809" i="10" s="1"/>
  <c r="AW52" i="10"/>
  <c r="AW67" i="10" s="1"/>
  <c r="AW71" i="10" s="1"/>
  <c r="M779" i="10" s="1"/>
  <c r="X52" i="10"/>
  <c r="X67" i="10" s="1"/>
  <c r="X71" i="10" s="1"/>
  <c r="C555" i="10"/>
  <c r="S71" i="10"/>
  <c r="M749" i="10" s="1"/>
  <c r="C67" i="10"/>
  <c r="CE48" i="10"/>
  <c r="AL71" i="10"/>
  <c r="AX71" i="10"/>
  <c r="B543" i="1" s="1"/>
  <c r="AY71" i="10"/>
  <c r="M781" i="10" s="1"/>
  <c r="C629" i="10"/>
  <c r="C551" i="10"/>
  <c r="CE62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N761" i="1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N748" i="1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N740" i="1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C16" i="8" s="1"/>
  <c r="D265" i="1"/>
  <c r="C22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E197" i="1"/>
  <c r="C269" i="1" s="1"/>
  <c r="E198" i="1"/>
  <c r="C270" i="1" s="1"/>
  <c r="B471" i="1" s="1"/>
  <c r="E199" i="1"/>
  <c r="E200" i="1"/>
  <c r="E201" i="1"/>
  <c r="F13" i="6" s="1"/>
  <c r="E202" i="1"/>
  <c r="E203" i="1"/>
  <c r="D204" i="1"/>
  <c r="E16" i="6" s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55" i="1"/>
  <c r="N74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Q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0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27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C267" i="1" s="1"/>
  <c r="B468" i="1" s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22" i="1"/>
  <c r="CD71" i="1"/>
  <c r="C615" i="1"/>
  <c r="E372" i="9"/>
  <c r="C28" i="8" l="1"/>
  <c r="M792" i="10"/>
  <c r="C617" i="10"/>
  <c r="N757" i="1"/>
  <c r="N762" i="1"/>
  <c r="C675" i="10"/>
  <c r="D435" i="1"/>
  <c r="N760" i="1"/>
  <c r="C674" i="10"/>
  <c r="M739" i="10"/>
  <c r="R730" i="1"/>
  <c r="C469" i="1"/>
  <c r="C268" i="1"/>
  <c r="N736" i="1"/>
  <c r="F15" i="6"/>
  <c r="C274" i="1"/>
  <c r="C474" i="1"/>
  <c r="C273" i="1"/>
  <c r="AX48" i="1"/>
  <c r="AX62" i="1" s="1"/>
  <c r="H204" i="9" s="1"/>
  <c r="BO48" i="1"/>
  <c r="BO62" i="1" s="1"/>
  <c r="D300" i="9" s="1"/>
  <c r="F12" i="6"/>
  <c r="C272" i="1"/>
  <c r="C472" i="1"/>
  <c r="C271" i="1"/>
  <c r="C25" i="8"/>
  <c r="O730" i="1"/>
  <c r="C686" i="10"/>
  <c r="M751" i="10"/>
  <c r="B514" i="1"/>
  <c r="C700" i="10"/>
  <c r="M765" i="10"/>
  <c r="N777" i="1"/>
  <c r="G612" i="1"/>
  <c r="Q816" i="1"/>
  <c r="CF77" i="1"/>
  <c r="C417" i="1"/>
  <c r="N751" i="1"/>
  <c r="C218" i="9"/>
  <c r="N768" i="1"/>
  <c r="C434" i="1"/>
  <c r="K816" i="1"/>
  <c r="C515" i="10"/>
  <c r="G515" i="10" s="1"/>
  <c r="B502" i="1"/>
  <c r="C523" i="10"/>
  <c r="G523" i="10" s="1"/>
  <c r="C504" i="10"/>
  <c r="G504" i="10" s="1"/>
  <c r="C141" i="8"/>
  <c r="D48" i="1"/>
  <c r="D62" i="1" s="1"/>
  <c r="D12" i="9" s="1"/>
  <c r="C521" i="10"/>
  <c r="G521" i="10" s="1"/>
  <c r="B521" i="1"/>
  <c r="M758" i="10"/>
  <c r="C693" i="10"/>
  <c r="M804" i="10"/>
  <c r="C642" i="10"/>
  <c r="C567" i="10"/>
  <c r="B546" i="1"/>
  <c r="M783" i="10"/>
  <c r="C630" i="10"/>
  <c r="C546" i="10"/>
  <c r="G546" i="10" s="1"/>
  <c r="C506" i="10"/>
  <c r="G506" i="10" s="1"/>
  <c r="C678" i="10"/>
  <c r="Q48" i="1"/>
  <c r="Q62" i="1" s="1"/>
  <c r="BJ48" i="1"/>
  <c r="BJ62" i="1" s="1"/>
  <c r="B465" i="1"/>
  <c r="C535" i="10"/>
  <c r="G535" i="10" s="1"/>
  <c r="BT48" i="1"/>
  <c r="BT62" i="1" s="1"/>
  <c r="E803" i="1" s="1"/>
  <c r="U48" i="1"/>
  <c r="U62" i="1" s="1"/>
  <c r="G76" i="9" s="1"/>
  <c r="M772" i="10"/>
  <c r="E48" i="1"/>
  <c r="E62" i="1" s="1"/>
  <c r="E12" i="9" s="1"/>
  <c r="BV48" i="1"/>
  <c r="BV62" i="1" s="1"/>
  <c r="E805" i="1" s="1"/>
  <c r="BQ48" i="1"/>
  <c r="BQ62" i="1" s="1"/>
  <c r="F300" i="9" s="1"/>
  <c r="CA48" i="1"/>
  <c r="CA62" i="1" s="1"/>
  <c r="BF48" i="1"/>
  <c r="BF62" i="1" s="1"/>
  <c r="E789" i="1" s="1"/>
  <c r="N752" i="1"/>
  <c r="O48" i="1"/>
  <c r="O62" i="1" s="1"/>
  <c r="G10" i="4"/>
  <c r="F8" i="6"/>
  <c r="AG48" i="1"/>
  <c r="AG62" i="1" s="1"/>
  <c r="E140" i="9" s="1"/>
  <c r="J48" i="1"/>
  <c r="J62" i="1" s="1"/>
  <c r="C547" i="10"/>
  <c r="AE48" i="1"/>
  <c r="AE62" i="1" s="1"/>
  <c r="C140" i="9" s="1"/>
  <c r="Z48" i="1"/>
  <c r="Z62" i="1" s="1"/>
  <c r="E757" i="1" s="1"/>
  <c r="N743" i="1"/>
  <c r="C511" i="10"/>
  <c r="G511" i="10" s="1"/>
  <c r="H511" i="10" s="1"/>
  <c r="BH48" i="1"/>
  <c r="BH62" i="1" s="1"/>
  <c r="E791" i="1" s="1"/>
  <c r="C48" i="1"/>
  <c r="C62" i="1" s="1"/>
  <c r="N765" i="1"/>
  <c r="C694" i="10"/>
  <c r="AD48" i="1"/>
  <c r="AD62" i="1" s="1"/>
  <c r="E761" i="1" s="1"/>
  <c r="AP48" i="1"/>
  <c r="AP62" i="1" s="1"/>
  <c r="AA48" i="1"/>
  <c r="AA62" i="1" s="1"/>
  <c r="F108" i="9" s="1"/>
  <c r="N766" i="1"/>
  <c r="AR48" i="1"/>
  <c r="AR62" i="1" s="1"/>
  <c r="I172" i="9" s="1"/>
  <c r="AI48" i="1"/>
  <c r="AI62" i="1" s="1"/>
  <c r="E766" i="1" s="1"/>
  <c r="D330" i="1"/>
  <c r="C86" i="8" s="1"/>
  <c r="C669" i="10"/>
  <c r="C497" i="10"/>
  <c r="G497" i="10" s="1"/>
  <c r="C712" i="10"/>
  <c r="C540" i="10"/>
  <c r="G540" i="10" s="1"/>
  <c r="M777" i="10"/>
  <c r="C622" i="10"/>
  <c r="C573" i="10"/>
  <c r="M810" i="10"/>
  <c r="C549" i="10"/>
  <c r="C624" i="10"/>
  <c r="C644" i="10"/>
  <c r="M806" i="10"/>
  <c r="B559" i="1"/>
  <c r="M796" i="10"/>
  <c r="C619" i="10"/>
  <c r="C559" i="10"/>
  <c r="C627" i="10"/>
  <c r="C560" i="10"/>
  <c r="M797" i="10"/>
  <c r="M808" i="10"/>
  <c r="C646" i="10"/>
  <c r="B571" i="1"/>
  <c r="C571" i="10"/>
  <c r="B557" i="1"/>
  <c r="C557" i="10"/>
  <c r="C697" i="10"/>
  <c r="C525" i="10"/>
  <c r="G525" i="10" s="1"/>
  <c r="C614" i="10"/>
  <c r="D615" i="10" s="1"/>
  <c r="M787" i="10"/>
  <c r="B550" i="1"/>
  <c r="C705" i="10"/>
  <c r="C533" i="10"/>
  <c r="G533" i="10" s="1"/>
  <c r="C545" i="10"/>
  <c r="G545" i="10" s="1"/>
  <c r="C628" i="10"/>
  <c r="B530" i="1"/>
  <c r="C702" i="10"/>
  <c r="C530" i="10"/>
  <c r="G530" i="10" s="1"/>
  <c r="M767" i="10"/>
  <c r="M816" i="1"/>
  <c r="BL48" i="1"/>
  <c r="BL62" i="1" s="1"/>
  <c r="AW48" i="1"/>
  <c r="AW62" i="1" s="1"/>
  <c r="G204" i="9" s="1"/>
  <c r="AU48" i="1"/>
  <c r="AU62" i="1" s="1"/>
  <c r="P816" i="1"/>
  <c r="AN48" i="1"/>
  <c r="AN62" i="1" s="1"/>
  <c r="E172" i="9" s="1"/>
  <c r="BR48" i="1"/>
  <c r="BR62" i="1" s="1"/>
  <c r="G300" i="9" s="1"/>
  <c r="K48" i="1"/>
  <c r="K62" i="1" s="1"/>
  <c r="BU48" i="1"/>
  <c r="BU62" i="1" s="1"/>
  <c r="I26" i="9"/>
  <c r="B562" i="1"/>
  <c r="C554" i="10"/>
  <c r="M780" i="10"/>
  <c r="C687" i="10"/>
  <c r="AT48" i="1"/>
  <c r="AT62" i="1" s="1"/>
  <c r="BX48" i="1"/>
  <c r="BX62" i="1" s="1"/>
  <c r="E807" i="1" s="1"/>
  <c r="AY48" i="1"/>
  <c r="AY62" i="1" s="1"/>
  <c r="E782" i="1" s="1"/>
  <c r="AK48" i="1"/>
  <c r="AK62" i="1" s="1"/>
  <c r="E768" i="1" s="1"/>
  <c r="F48" i="1"/>
  <c r="F62" i="1" s="1"/>
  <c r="AV48" i="1"/>
  <c r="AV62" i="1" s="1"/>
  <c r="E779" i="1" s="1"/>
  <c r="BY48" i="1"/>
  <c r="BY62" i="1" s="1"/>
  <c r="G332" i="9" s="1"/>
  <c r="BG48" i="1"/>
  <c r="BG62" i="1" s="1"/>
  <c r="BA48" i="1"/>
  <c r="BA62" i="1" s="1"/>
  <c r="N753" i="1"/>
  <c r="N817" i="1"/>
  <c r="M774" i="10"/>
  <c r="N48" i="1"/>
  <c r="N62" i="1" s="1"/>
  <c r="E745" i="1" s="1"/>
  <c r="AZ48" i="1"/>
  <c r="AZ62" i="1" s="1"/>
  <c r="C236" i="9" s="1"/>
  <c r="BW48" i="1"/>
  <c r="BW62" i="1" s="1"/>
  <c r="E806" i="1" s="1"/>
  <c r="E10" i="4"/>
  <c r="C632" i="10"/>
  <c r="N758" i="1"/>
  <c r="R48" i="1"/>
  <c r="R62" i="1" s="1"/>
  <c r="D76" i="9" s="1"/>
  <c r="BB48" i="1"/>
  <c r="BB62" i="1" s="1"/>
  <c r="E236" i="9" s="1"/>
  <c r="CC48" i="1"/>
  <c r="CC62" i="1" s="1"/>
  <c r="E812" i="1" s="1"/>
  <c r="M799" i="10"/>
  <c r="C681" i="10"/>
  <c r="V48" i="1"/>
  <c r="V62" i="1" s="1"/>
  <c r="BD48" i="1"/>
  <c r="BD62" i="1" s="1"/>
  <c r="I48" i="1"/>
  <c r="I62" i="1" s="1"/>
  <c r="BI48" i="1"/>
  <c r="BI62" i="1" s="1"/>
  <c r="N773" i="1"/>
  <c r="C522" i="10"/>
  <c r="G522" i="10" s="1"/>
  <c r="H522" i="10" s="1"/>
  <c r="B440" i="1"/>
  <c r="D816" i="1"/>
  <c r="AS48" i="1"/>
  <c r="AS62" i="1" s="1"/>
  <c r="C507" i="10"/>
  <c r="H507" i="10" s="1"/>
  <c r="C709" i="10"/>
  <c r="C679" i="10"/>
  <c r="AF48" i="1"/>
  <c r="AF62" i="1" s="1"/>
  <c r="E763" i="1" s="1"/>
  <c r="AO48" i="1"/>
  <c r="AO62" i="1" s="1"/>
  <c r="BS48" i="1"/>
  <c r="BS62" i="1" s="1"/>
  <c r="H300" i="9" s="1"/>
  <c r="L48" i="1"/>
  <c r="L62" i="1" s="1"/>
  <c r="C520" i="10"/>
  <c r="G520" i="10" s="1"/>
  <c r="H520" i="10" s="1"/>
  <c r="AH48" i="1"/>
  <c r="AH62" i="1" s="1"/>
  <c r="E765" i="1" s="1"/>
  <c r="X48" i="1"/>
  <c r="X62" i="1" s="1"/>
  <c r="C108" i="9" s="1"/>
  <c r="AJ48" i="1"/>
  <c r="AJ62" i="1" s="1"/>
  <c r="E767" i="1" s="1"/>
  <c r="BN48" i="1"/>
  <c r="BN62" i="1" s="1"/>
  <c r="C300" i="9" s="1"/>
  <c r="BE48" i="1"/>
  <c r="BE62" i="1" s="1"/>
  <c r="E788" i="1" s="1"/>
  <c r="AB48" i="1"/>
  <c r="AB62" i="1" s="1"/>
  <c r="G108" i="9" s="1"/>
  <c r="B537" i="1"/>
  <c r="C572" i="10"/>
  <c r="F815" i="1"/>
  <c r="AL48" i="1"/>
  <c r="AL62" i="1" s="1"/>
  <c r="E769" i="1" s="1"/>
  <c r="BP48" i="1"/>
  <c r="BP62" i="1" s="1"/>
  <c r="BM48" i="1"/>
  <c r="BM62" i="1" s="1"/>
  <c r="G48" i="1"/>
  <c r="G62" i="1" s="1"/>
  <c r="G12" i="9" s="1"/>
  <c r="D815" i="1"/>
  <c r="C514" i="10"/>
  <c r="G514" i="10" s="1"/>
  <c r="H514" i="10" s="1"/>
  <c r="C636" i="10"/>
  <c r="C553" i="10"/>
  <c r="B553" i="1"/>
  <c r="M790" i="10"/>
  <c r="C641" i="10"/>
  <c r="C566" i="10"/>
  <c r="B566" i="1"/>
  <c r="M803" i="10"/>
  <c r="B561" i="1"/>
  <c r="M798" i="10"/>
  <c r="C621" i="10"/>
  <c r="C561" i="10"/>
  <c r="C574" i="10"/>
  <c r="C620" i="10"/>
  <c r="C696" i="10"/>
  <c r="C524" i="10"/>
  <c r="G524" i="10" s="1"/>
  <c r="H524" i="10" s="1"/>
  <c r="C701" i="10"/>
  <c r="C529" i="10"/>
  <c r="C645" i="10"/>
  <c r="C570" i="10"/>
  <c r="C500" i="10"/>
  <c r="G500" i="10" s="1"/>
  <c r="B500" i="1"/>
  <c r="M737" i="10"/>
  <c r="C672" i="10"/>
  <c r="C635" i="10"/>
  <c r="M793" i="10"/>
  <c r="C556" i="10"/>
  <c r="M795" i="10"/>
  <c r="C638" i="10"/>
  <c r="C558" i="10"/>
  <c r="C643" i="10"/>
  <c r="C568" i="10"/>
  <c r="M805" i="10"/>
  <c r="C508" i="10"/>
  <c r="M745" i="10"/>
  <c r="B508" i="1"/>
  <c r="C680" i="10"/>
  <c r="C564" i="10"/>
  <c r="M801" i="10"/>
  <c r="C639" i="10"/>
  <c r="M785" i="10"/>
  <c r="C633" i="10"/>
  <c r="C548" i="10"/>
  <c r="M802" i="10"/>
  <c r="C640" i="10"/>
  <c r="C565" i="10"/>
  <c r="B498" i="1"/>
  <c r="C670" i="10"/>
  <c r="C498" i="10"/>
  <c r="G498" i="10" s="1"/>
  <c r="M735" i="10"/>
  <c r="C673" i="10"/>
  <c r="C501" i="10"/>
  <c r="G501" i="10" s="1"/>
  <c r="M778" i="10"/>
  <c r="C713" i="10"/>
  <c r="C541" i="10"/>
  <c r="M754" i="10"/>
  <c r="C689" i="10"/>
  <c r="C517" i="10"/>
  <c r="G517" i="10" s="1"/>
  <c r="H517" i="10" s="1"/>
  <c r="C526" i="10"/>
  <c r="G526" i="10" s="1"/>
  <c r="H526" i="10" s="1"/>
  <c r="M763" i="10"/>
  <c r="C698" i="10"/>
  <c r="C538" i="10"/>
  <c r="G538" i="10" s="1"/>
  <c r="C710" i="10"/>
  <c r="M775" i="10"/>
  <c r="C704" i="10"/>
  <c r="C532" i="10"/>
  <c r="G532" i="10" s="1"/>
  <c r="B532" i="1"/>
  <c r="M769" i="10"/>
  <c r="N747" i="1"/>
  <c r="N769" i="1"/>
  <c r="I366" i="9"/>
  <c r="I122" i="9"/>
  <c r="CE52" i="10"/>
  <c r="I372" i="9"/>
  <c r="G122" i="9"/>
  <c r="D368" i="1"/>
  <c r="C120" i="8" s="1"/>
  <c r="M756" i="10"/>
  <c r="C519" i="10"/>
  <c r="G519" i="10" s="1"/>
  <c r="C647" i="10"/>
  <c r="C464" i="1"/>
  <c r="B505" i="1"/>
  <c r="B534" i="1"/>
  <c r="C516" i="10"/>
  <c r="C688" i="10"/>
  <c r="D13" i="7"/>
  <c r="B10" i="4"/>
  <c r="C473" i="1"/>
  <c r="D186" i="9"/>
  <c r="B539" i="1"/>
  <c r="C90" i="9"/>
  <c r="M742" i="10"/>
  <c r="M771" i="10"/>
  <c r="M786" i="10"/>
  <c r="B518" i="1"/>
  <c r="C682" i="10"/>
  <c r="C510" i="10"/>
  <c r="M748" i="10"/>
  <c r="M750" i="10"/>
  <c r="C637" i="10"/>
  <c r="G816" i="1"/>
  <c r="C706" i="10"/>
  <c r="C513" i="10"/>
  <c r="G513" i="10" s="1"/>
  <c r="C569" i="10"/>
  <c r="C505" i="10"/>
  <c r="G505" i="10" s="1"/>
  <c r="H505" i="10" s="1"/>
  <c r="C550" i="10"/>
  <c r="G550" i="10" s="1"/>
  <c r="H550" i="10" s="1"/>
  <c r="C623" i="10"/>
  <c r="M753" i="10"/>
  <c r="M794" i="10"/>
  <c r="C542" i="10"/>
  <c r="C631" i="10"/>
  <c r="C518" i="10"/>
  <c r="G518" i="10" s="1"/>
  <c r="H518" i="10" s="1"/>
  <c r="C502" i="10"/>
  <c r="G502" i="10" s="1"/>
  <c r="C430" i="1"/>
  <c r="H58" i="9"/>
  <c r="M755" i="10"/>
  <c r="C626" i="10"/>
  <c r="C563" i="10"/>
  <c r="C671" i="10"/>
  <c r="C499" i="10"/>
  <c r="G499" i="10" s="1"/>
  <c r="C684" i="10"/>
  <c r="C512" i="10"/>
  <c r="C428" i="10"/>
  <c r="C552" i="10"/>
  <c r="C618" i="10"/>
  <c r="G528" i="10"/>
  <c r="H528" i="10" s="1"/>
  <c r="C703" i="10"/>
  <c r="C531" i="10"/>
  <c r="G531" i="10" s="1"/>
  <c r="C708" i="10"/>
  <c r="C536" i="10"/>
  <c r="G536" i="10" s="1"/>
  <c r="C699" i="10"/>
  <c r="C527" i="10"/>
  <c r="G527" i="10" s="1"/>
  <c r="C711" i="10"/>
  <c r="C539" i="10"/>
  <c r="G539" i="10" s="1"/>
  <c r="G503" i="10"/>
  <c r="H503" i="10" s="1"/>
  <c r="CE67" i="10"/>
  <c r="C433" i="10" s="1"/>
  <c r="C71" i="10"/>
  <c r="C544" i="10"/>
  <c r="C625" i="10"/>
  <c r="C616" i="10"/>
  <c r="C543" i="10"/>
  <c r="G509" i="10"/>
  <c r="H509" i="10" s="1"/>
  <c r="G537" i="10"/>
  <c r="H537" i="10" s="1"/>
  <c r="K814" i="10"/>
  <c r="B504" i="1"/>
  <c r="B509" i="1"/>
  <c r="B551" i="1"/>
  <c r="B506" i="1"/>
  <c r="B501" i="1"/>
  <c r="B564" i="1"/>
  <c r="B523" i="1"/>
  <c r="B497" i="1"/>
  <c r="B570" i="1"/>
  <c r="B545" i="1"/>
  <c r="M741" i="10"/>
  <c r="M760" i="10"/>
  <c r="M782" i="10"/>
  <c r="M788" i="10"/>
  <c r="B520" i="1"/>
  <c r="B525" i="1"/>
  <c r="B574" i="1"/>
  <c r="B522" i="1"/>
  <c r="B560" i="1"/>
  <c r="B527" i="1"/>
  <c r="B499" i="1"/>
  <c r="B531" i="1"/>
  <c r="B524" i="1"/>
  <c r="B513" i="1"/>
  <c r="B554" i="1"/>
  <c r="F814" i="10"/>
  <c r="M734" i="10"/>
  <c r="M738" i="10"/>
  <c r="M746" i="10"/>
  <c r="M791" i="10"/>
  <c r="M807" i="10"/>
  <c r="M811" i="10"/>
  <c r="B536" i="1"/>
  <c r="B544" i="1"/>
  <c r="B558" i="1"/>
  <c r="B538" i="1"/>
  <c r="B512" i="1"/>
  <c r="B503" i="1"/>
  <c r="B535" i="1"/>
  <c r="B507" i="1"/>
  <c r="B540" i="1"/>
  <c r="B541" i="1"/>
  <c r="B529" i="1"/>
  <c r="B563" i="1"/>
  <c r="B510" i="1"/>
  <c r="B528" i="1"/>
  <c r="B519" i="1"/>
  <c r="B572" i="1"/>
  <c r="B533" i="1"/>
  <c r="M761" i="10"/>
  <c r="T814" i="10"/>
  <c r="H814" i="10"/>
  <c r="R814" i="10"/>
  <c r="P814" i="10"/>
  <c r="M743" i="10"/>
  <c r="M747" i="10"/>
  <c r="M757" i="10"/>
  <c r="M762" i="10"/>
  <c r="M766" i="10"/>
  <c r="M770" i="10"/>
  <c r="B568" i="1"/>
  <c r="B565" i="1"/>
  <c r="B567" i="1"/>
  <c r="B542" i="1"/>
  <c r="B569" i="1"/>
  <c r="B549" i="1"/>
  <c r="B511" i="1"/>
  <c r="B548" i="1"/>
  <c r="B515" i="1"/>
  <c r="B556" i="1"/>
  <c r="B573" i="1"/>
  <c r="B552" i="1"/>
  <c r="B547" i="1"/>
  <c r="B526" i="1"/>
  <c r="B517" i="1"/>
  <c r="E373" i="9"/>
  <c r="C575" i="1"/>
  <c r="E752" i="10"/>
  <c r="C14" i="5"/>
  <c r="D428" i="1"/>
  <c r="D612" i="1"/>
  <c r="CF76" i="1"/>
  <c r="CB52" i="1" s="1"/>
  <c r="CB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I376" i="9"/>
  <c r="C463" i="1"/>
  <c r="D58" i="9"/>
  <c r="N742" i="1"/>
  <c r="G26" i="9"/>
  <c r="N738" i="1"/>
  <c r="E217" i="1"/>
  <c r="C276" i="1" s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H521" i="10" l="1"/>
  <c r="H546" i="10"/>
  <c r="E781" i="1"/>
  <c r="E798" i="1"/>
  <c r="E736" i="1"/>
  <c r="U730" i="1"/>
  <c r="B474" i="1"/>
  <c r="C31" i="8"/>
  <c r="V730" i="1"/>
  <c r="B475" i="1"/>
  <c r="C32" i="8"/>
  <c r="P730" i="1"/>
  <c r="B469" i="1"/>
  <c r="C26" i="8"/>
  <c r="D275" i="1"/>
  <c r="B476" i="1" s="1"/>
  <c r="G44" i="9"/>
  <c r="E762" i="1"/>
  <c r="E108" i="9"/>
  <c r="I300" i="9"/>
  <c r="B478" i="1"/>
  <c r="X730" i="1"/>
  <c r="C34" i="8"/>
  <c r="T730" i="1"/>
  <c r="C30" i="8"/>
  <c r="B473" i="1"/>
  <c r="S730" i="1"/>
  <c r="B472" i="1"/>
  <c r="C29" i="8"/>
  <c r="D373" i="1"/>
  <c r="C126" i="8" s="1"/>
  <c r="G507" i="10"/>
  <c r="E755" i="1"/>
  <c r="E735" i="1"/>
  <c r="G529" i="10"/>
  <c r="H529" i="10" s="1"/>
  <c r="C441" i="10"/>
  <c r="D52" i="1"/>
  <c r="D67" i="1" s="1"/>
  <c r="D71" i="1" s="1"/>
  <c r="C497" i="1" s="1"/>
  <c r="G497" i="1" s="1"/>
  <c r="I332" i="9"/>
  <c r="G52" i="1"/>
  <c r="G67" i="1" s="1"/>
  <c r="G71" i="1" s="1"/>
  <c r="C672" i="1" s="1"/>
  <c r="BM52" i="1"/>
  <c r="BM67" i="1" s="1"/>
  <c r="BM71" i="1" s="1"/>
  <c r="BY52" i="1"/>
  <c r="BY67" i="1" s="1"/>
  <c r="BY71" i="1" s="1"/>
  <c r="C570" i="1" s="1"/>
  <c r="AA52" i="1"/>
  <c r="AA67" i="1" s="1"/>
  <c r="F113" i="9" s="1"/>
  <c r="I236" i="9"/>
  <c r="E797" i="1"/>
  <c r="E332" i="9"/>
  <c r="E777" i="1"/>
  <c r="D204" i="9"/>
  <c r="D268" i="9"/>
  <c r="D332" i="9"/>
  <c r="E746" i="1"/>
  <c r="I108" i="9"/>
  <c r="H268" i="9"/>
  <c r="E795" i="1"/>
  <c r="C12" i="9"/>
  <c r="E773" i="1"/>
  <c r="E810" i="1"/>
  <c r="G172" i="9"/>
  <c r="E758" i="1"/>
  <c r="E753" i="1"/>
  <c r="H44" i="9"/>
  <c r="I12" i="9"/>
  <c r="D364" i="9"/>
  <c r="E740" i="1"/>
  <c r="E801" i="1"/>
  <c r="E785" i="1"/>
  <c r="H76" i="9"/>
  <c r="E742" i="1"/>
  <c r="C172" i="9"/>
  <c r="D44" i="9"/>
  <c r="E775" i="1"/>
  <c r="F332" i="9"/>
  <c r="E771" i="1"/>
  <c r="E752" i="1"/>
  <c r="G140" i="9"/>
  <c r="C76" i="9"/>
  <c r="E778" i="1"/>
  <c r="E738" i="1"/>
  <c r="E808" i="1"/>
  <c r="E811" i="1"/>
  <c r="E804" i="1"/>
  <c r="CE48" i="1"/>
  <c r="H236" i="9"/>
  <c r="E764" i="1"/>
  <c r="D236" i="9"/>
  <c r="H140" i="9"/>
  <c r="I268" i="9"/>
  <c r="F12" i="9"/>
  <c r="E748" i="1"/>
  <c r="E800" i="1"/>
  <c r="C332" i="9"/>
  <c r="D140" i="9"/>
  <c r="E793" i="1"/>
  <c r="F268" i="9"/>
  <c r="F172" i="9"/>
  <c r="F204" i="9"/>
  <c r="E772" i="1"/>
  <c r="E796" i="1"/>
  <c r="E734" i="1"/>
  <c r="CE62" i="1"/>
  <c r="E741" i="1"/>
  <c r="C44" i="9"/>
  <c r="E737" i="1"/>
  <c r="D339" i="1"/>
  <c r="C102" i="8" s="1"/>
  <c r="E784" i="1"/>
  <c r="I204" i="9"/>
  <c r="E204" i="9"/>
  <c r="AB52" i="1"/>
  <c r="AB67" i="1" s="1"/>
  <c r="G113" i="9" s="1"/>
  <c r="E799" i="1"/>
  <c r="E300" i="9"/>
  <c r="C268" i="9"/>
  <c r="E790" i="1"/>
  <c r="AX52" i="1"/>
  <c r="AX67" i="1" s="1"/>
  <c r="V52" i="1"/>
  <c r="V67" i="1" s="1"/>
  <c r="J753" i="1" s="1"/>
  <c r="BE52" i="1"/>
  <c r="BE67" i="1" s="1"/>
  <c r="J788" i="1" s="1"/>
  <c r="E776" i="1"/>
  <c r="E780" i="1"/>
  <c r="AK52" i="1"/>
  <c r="AK67" i="1" s="1"/>
  <c r="AK71" i="1" s="1"/>
  <c r="G508" i="10"/>
  <c r="H508" i="10" s="1"/>
  <c r="BV52" i="1"/>
  <c r="BV67" i="1" s="1"/>
  <c r="BV71" i="1" s="1"/>
  <c r="BN52" i="1"/>
  <c r="BN67" i="1" s="1"/>
  <c r="E749" i="1"/>
  <c r="AY52" i="1"/>
  <c r="AY67" i="1" s="1"/>
  <c r="J782" i="1" s="1"/>
  <c r="E744" i="1"/>
  <c r="F140" i="9"/>
  <c r="E783" i="1"/>
  <c r="J52" i="1"/>
  <c r="J67" i="1" s="1"/>
  <c r="J71" i="1" s="1"/>
  <c r="C53" i="9" s="1"/>
  <c r="C204" i="9"/>
  <c r="I140" i="9"/>
  <c r="BF52" i="1"/>
  <c r="BF67" i="1" s="1"/>
  <c r="I241" i="9" s="1"/>
  <c r="AF52" i="1"/>
  <c r="AF67" i="1" s="1"/>
  <c r="D145" i="9" s="1"/>
  <c r="E743" i="1"/>
  <c r="E44" i="9"/>
  <c r="G236" i="9"/>
  <c r="E787" i="1"/>
  <c r="E268" i="9"/>
  <c r="E792" i="1"/>
  <c r="AM52" i="1"/>
  <c r="AM67" i="1" s="1"/>
  <c r="J770" i="1" s="1"/>
  <c r="AG52" i="1"/>
  <c r="AG67" i="1" s="1"/>
  <c r="AG71" i="1" s="1"/>
  <c r="C698" i="1" s="1"/>
  <c r="H498" i="10"/>
  <c r="E802" i="1"/>
  <c r="BQ52" i="1"/>
  <c r="BQ67" i="1" s="1"/>
  <c r="F305" i="9" s="1"/>
  <c r="BD52" i="1"/>
  <c r="BD67" i="1" s="1"/>
  <c r="J787" i="1" s="1"/>
  <c r="E759" i="1"/>
  <c r="BX52" i="1"/>
  <c r="BX67" i="1" s="1"/>
  <c r="J807" i="1" s="1"/>
  <c r="AJ52" i="1"/>
  <c r="AJ67" i="1" s="1"/>
  <c r="AJ71" i="1" s="1"/>
  <c r="H149" i="9" s="1"/>
  <c r="E756" i="1"/>
  <c r="BR52" i="1"/>
  <c r="BR67" i="1" s="1"/>
  <c r="G305" i="9" s="1"/>
  <c r="F52" i="1"/>
  <c r="F67" i="1" s="1"/>
  <c r="J737" i="1" s="1"/>
  <c r="D108" i="9"/>
  <c r="BP52" i="1"/>
  <c r="BP67" i="1" s="1"/>
  <c r="BP71" i="1" s="1"/>
  <c r="AH52" i="1"/>
  <c r="AH67" i="1" s="1"/>
  <c r="H172" i="9"/>
  <c r="P52" i="1"/>
  <c r="P67" i="1" s="1"/>
  <c r="I49" i="9" s="1"/>
  <c r="G510" i="10"/>
  <c r="H510" i="10" s="1"/>
  <c r="G516" i="10"/>
  <c r="H516" i="10" s="1"/>
  <c r="M52" i="1"/>
  <c r="M67" i="1" s="1"/>
  <c r="J744" i="1" s="1"/>
  <c r="AN52" i="1"/>
  <c r="AN67" i="1" s="1"/>
  <c r="J771" i="1" s="1"/>
  <c r="BO52" i="1"/>
  <c r="BO67" i="1" s="1"/>
  <c r="T52" i="1"/>
  <c r="T67" i="1" s="1"/>
  <c r="F81" i="9" s="1"/>
  <c r="BT52" i="1"/>
  <c r="BT67" i="1" s="1"/>
  <c r="BT71" i="1" s="1"/>
  <c r="C640" i="1" s="1"/>
  <c r="AW52" i="1"/>
  <c r="AW67" i="1" s="1"/>
  <c r="AW71" i="1" s="1"/>
  <c r="H52" i="1"/>
  <c r="H67" i="1" s="1"/>
  <c r="J739" i="1" s="1"/>
  <c r="G544" i="10"/>
  <c r="H544" i="10" s="1"/>
  <c r="C668" i="10"/>
  <c r="C715" i="10" s="1"/>
  <c r="C496" i="10"/>
  <c r="D710" i="10"/>
  <c r="D702" i="10"/>
  <c r="D694" i="10"/>
  <c r="D686" i="10"/>
  <c r="D678" i="10"/>
  <c r="D670" i="10"/>
  <c r="D647" i="10"/>
  <c r="D646" i="10"/>
  <c r="D645" i="10"/>
  <c r="D716" i="10"/>
  <c r="D707" i="10"/>
  <c r="D699" i="10"/>
  <c r="D691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712" i="10"/>
  <c r="D704" i="10"/>
  <c r="D696" i="10"/>
  <c r="D688" i="10"/>
  <c r="D680" i="10"/>
  <c r="D672" i="10"/>
  <c r="D709" i="10"/>
  <c r="D701" i="10"/>
  <c r="D693" i="10"/>
  <c r="D685" i="10"/>
  <c r="D677" i="10"/>
  <c r="D669" i="10"/>
  <c r="D706" i="10"/>
  <c r="D698" i="10"/>
  <c r="D690" i="10"/>
  <c r="D682" i="10"/>
  <c r="D674" i="10"/>
  <c r="D708" i="10"/>
  <c r="D700" i="10"/>
  <c r="D692" i="10"/>
  <c r="D684" i="10"/>
  <c r="D676" i="10"/>
  <c r="D668" i="10"/>
  <c r="D713" i="10"/>
  <c r="D705" i="10"/>
  <c r="D697" i="10"/>
  <c r="D689" i="10"/>
  <c r="D681" i="10"/>
  <c r="D673" i="10"/>
  <c r="D679" i="10"/>
  <c r="D624" i="10"/>
  <c r="D630" i="10"/>
  <c r="D620" i="10"/>
  <c r="D616" i="10"/>
  <c r="D695" i="10"/>
  <c r="D627" i="10"/>
  <c r="D671" i="10"/>
  <c r="D631" i="10"/>
  <c r="D623" i="10"/>
  <c r="D619" i="10"/>
  <c r="D711" i="10"/>
  <c r="D625" i="10"/>
  <c r="D687" i="10"/>
  <c r="D628" i="10"/>
  <c r="D622" i="10"/>
  <c r="D618" i="10"/>
  <c r="D703" i="10"/>
  <c r="D629" i="10"/>
  <c r="D626" i="10"/>
  <c r="D621" i="10"/>
  <c r="D617" i="10"/>
  <c r="CE71" i="10"/>
  <c r="C716" i="10" s="1"/>
  <c r="C648" i="10"/>
  <c r="M716" i="10" s="1"/>
  <c r="H512" i="10"/>
  <c r="G512" i="10"/>
  <c r="F76" i="9"/>
  <c r="E751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C511" i="1" s="1"/>
  <c r="Z52" i="1"/>
  <c r="Z67" i="1" s="1"/>
  <c r="Z71" i="1" s="1"/>
  <c r="E117" i="9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C620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C528" i="1" s="1"/>
  <c r="G528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708" i="1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BU52" i="1"/>
  <c r="BU67" i="1" s="1"/>
  <c r="BU71" i="1" s="1"/>
  <c r="C341" i="9" s="1"/>
  <c r="AD52" i="1"/>
  <c r="AD67" i="1" s="1"/>
  <c r="AD71" i="1" s="1"/>
  <c r="C695" i="1" s="1"/>
  <c r="AT52" i="1"/>
  <c r="AT67" i="1" s="1"/>
  <c r="AT71" i="1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BI52" i="1"/>
  <c r="BI67" i="1" s="1"/>
  <c r="BI71" i="1" s="1"/>
  <c r="K52" i="1"/>
  <c r="K67" i="1" s="1"/>
  <c r="K71" i="1" s="1"/>
  <c r="D465" i="1"/>
  <c r="CB71" i="1"/>
  <c r="C573" i="1" s="1"/>
  <c r="F505" i="1"/>
  <c r="F499" i="1"/>
  <c r="H499" i="1"/>
  <c r="E739" i="1"/>
  <c r="H12" i="9"/>
  <c r="E52" i="1"/>
  <c r="E67" i="1" s="1"/>
  <c r="E71" i="1" s="1"/>
  <c r="E21" i="9" s="1"/>
  <c r="X52" i="1"/>
  <c r="X67" i="1" s="1"/>
  <c r="X71" i="1" s="1"/>
  <c r="BH52" i="1"/>
  <c r="BH67" i="1" s="1"/>
  <c r="BH71" i="1" s="1"/>
  <c r="C636" i="1" s="1"/>
  <c r="I52" i="1"/>
  <c r="I67" i="1" s="1"/>
  <c r="I71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38" i="1"/>
  <c r="I273" i="9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F520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F32" i="6"/>
  <c r="C478" i="1"/>
  <c r="J748" i="10"/>
  <c r="J763" i="10"/>
  <c r="J795" i="10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C369" i="9"/>
  <c r="J811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J796" i="1" l="1"/>
  <c r="D391" i="1"/>
  <c r="G17" i="9"/>
  <c r="D277" i="1"/>
  <c r="H145" i="9"/>
  <c r="J767" i="1"/>
  <c r="C33" i="8"/>
  <c r="J780" i="1"/>
  <c r="I145" i="9"/>
  <c r="D21" i="9"/>
  <c r="G209" i="9"/>
  <c r="J735" i="1"/>
  <c r="G337" i="9"/>
  <c r="C35" i="8"/>
  <c r="D292" i="1"/>
  <c r="J768" i="1"/>
  <c r="D17" i="9"/>
  <c r="C669" i="1"/>
  <c r="C482" i="1"/>
  <c r="J805" i="1"/>
  <c r="D337" i="9"/>
  <c r="J758" i="1"/>
  <c r="J801" i="1"/>
  <c r="J808" i="1"/>
  <c r="AA71" i="1"/>
  <c r="C520" i="1" s="1"/>
  <c r="G520" i="1" s="1"/>
  <c r="F49" i="9"/>
  <c r="C498" i="1"/>
  <c r="G498" i="1" s="1"/>
  <c r="P71" i="1"/>
  <c r="C681" i="1" s="1"/>
  <c r="C670" i="1"/>
  <c r="C642" i="1"/>
  <c r="D341" i="9"/>
  <c r="C567" i="1"/>
  <c r="C546" i="1"/>
  <c r="G546" i="1" s="1"/>
  <c r="C630" i="1"/>
  <c r="C677" i="1"/>
  <c r="E53" i="9"/>
  <c r="BQ71" i="1"/>
  <c r="F309" i="9" s="1"/>
  <c r="H241" i="9"/>
  <c r="AY71" i="1"/>
  <c r="I213" i="9" s="1"/>
  <c r="BE71" i="1"/>
  <c r="C614" i="1" s="1"/>
  <c r="C710" i="1"/>
  <c r="C538" i="1"/>
  <c r="G538" i="1" s="1"/>
  <c r="C213" i="9"/>
  <c r="C638" i="1"/>
  <c r="I277" i="9"/>
  <c r="C558" i="1"/>
  <c r="C676" i="1"/>
  <c r="D53" i="9"/>
  <c r="C504" i="1"/>
  <c r="G504" i="1" s="1"/>
  <c r="C524" i="1"/>
  <c r="C149" i="9"/>
  <c r="C696" i="1"/>
  <c r="C555" i="1"/>
  <c r="F277" i="9"/>
  <c r="C617" i="1"/>
  <c r="C707" i="1"/>
  <c r="C535" i="1"/>
  <c r="G535" i="1" s="1"/>
  <c r="G181" i="9"/>
  <c r="C568" i="1"/>
  <c r="C643" i="1"/>
  <c r="E341" i="9"/>
  <c r="C277" i="9"/>
  <c r="C552" i="1"/>
  <c r="C618" i="1"/>
  <c r="D117" i="9"/>
  <c r="C690" i="1"/>
  <c r="C518" i="1"/>
  <c r="G518" i="1" s="1"/>
  <c r="D213" i="9"/>
  <c r="C711" i="1"/>
  <c r="C539" i="1"/>
  <c r="G539" i="1" s="1"/>
  <c r="I21" i="9"/>
  <c r="C502" i="1"/>
  <c r="G502" i="1" s="1"/>
  <c r="C674" i="1"/>
  <c r="C85" i="9"/>
  <c r="C682" i="1"/>
  <c r="C510" i="1"/>
  <c r="G510" i="1" s="1"/>
  <c r="C572" i="1"/>
  <c r="I341" i="9"/>
  <c r="C647" i="1"/>
  <c r="E213" i="9"/>
  <c r="C540" i="1"/>
  <c r="G540" i="1" s="1"/>
  <c r="C712" i="1"/>
  <c r="F181" i="9"/>
  <c r="C534" i="1"/>
  <c r="G534" i="1" s="1"/>
  <c r="C706" i="1"/>
  <c r="C557" i="1"/>
  <c r="H277" i="9"/>
  <c r="C637" i="1"/>
  <c r="C689" i="1"/>
  <c r="C117" i="9"/>
  <c r="C517" i="1"/>
  <c r="G517" i="1" s="1"/>
  <c r="T71" i="1"/>
  <c r="F85" i="9" s="1"/>
  <c r="C686" i="1"/>
  <c r="F71" i="1"/>
  <c r="J798" i="1"/>
  <c r="BO71" i="1"/>
  <c r="AF71" i="1"/>
  <c r="C697" i="1" s="1"/>
  <c r="C553" i="1"/>
  <c r="BD71" i="1"/>
  <c r="C508" i="1"/>
  <c r="G508" i="1" s="1"/>
  <c r="D277" i="9"/>
  <c r="F17" i="9"/>
  <c r="J759" i="1"/>
  <c r="C566" i="1"/>
  <c r="C519" i="1"/>
  <c r="G519" i="1" s="1"/>
  <c r="AN71" i="1"/>
  <c r="E181" i="9" s="1"/>
  <c r="BR71" i="1"/>
  <c r="C563" i="1" s="1"/>
  <c r="BX71" i="1"/>
  <c r="C644" i="1" s="1"/>
  <c r="C680" i="1"/>
  <c r="C691" i="1"/>
  <c r="H71" i="1"/>
  <c r="C514" i="1"/>
  <c r="G514" i="1" s="1"/>
  <c r="C641" i="1"/>
  <c r="I309" i="9"/>
  <c r="F145" i="9"/>
  <c r="AH71" i="1"/>
  <c r="J781" i="1"/>
  <c r="AX71" i="1"/>
  <c r="BF71" i="1"/>
  <c r="J797" i="1"/>
  <c r="BN71" i="1"/>
  <c r="C565" i="1"/>
  <c r="G53" i="9"/>
  <c r="C688" i="1"/>
  <c r="AM71" i="1"/>
  <c r="C532" i="1" s="1"/>
  <c r="G532" i="1" s="1"/>
  <c r="D245" i="9"/>
  <c r="C675" i="1"/>
  <c r="C679" i="1"/>
  <c r="I85" i="9"/>
  <c r="F337" i="9"/>
  <c r="M71" i="1"/>
  <c r="C678" i="1" s="1"/>
  <c r="V71" i="1"/>
  <c r="AB71" i="1"/>
  <c r="C521" i="1" s="1"/>
  <c r="G521" i="1" s="1"/>
  <c r="C505" i="1"/>
  <c r="G505" i="1" s="1"/>
  <c r="C503" i="1"/>
  <c r="G503" i="1" s="1"/>
  <c r="I117" i="9"/>
  <c r="C523" i="1"/>
  <c r="G523" i="1" s="1"/>
  <c r="G21" i="9"/>
  <c r="C500" i="1"/>
  <c r="G500" i="1" s="1"/>
  <c r="C645" i="1"/>
  <c r="G341" i="9"/>
  <c r="C574" i="1"/>
  <c r="D373" i="9"/>
  <c r="E149" i="9"/>
  <c r="C526" i="1"/>
  <c r="G526" i="1" s="1"/>
  <c r="C545" i="1"/>
  <c r="G545" i="1" s="1"/>
  <c r="C628" i="1"/>
  <c r="C709" i="1"/>
  <c r="C537" i="1"/>
  <c r="G537" i="1" s="1"/>
  <c r="C529" i="1"/>
  <c r="G529" i="1" s="1"/>
  <c r="C632" i="1"/>
  <c r="G149" i="9"/>
  <c r="C701" i="1"/>
  <c r="C700" i="1"/>
  <c r="C547" i="1"/>
  <c r="H528" i="1"/>
  <c r="H117" i="9"/>
  <c r="C531" i="1"/>
  <c r="G531" i="1" s="1"/>
  <c r="E815" i="1"/>
  <c r="C694" i="1"/>
  <c r="C703" i="1"/>
  <c r="J800" i="1"/>
  <c r="C713" i="1"/>
  <c r="F213" i="9"/>
  <c r="D305" i="9"/>
  <c r="I209" i="9"/>
  <c r="J763" i="1"/>
  <c r="I364" i="9"/>
  <c r="C428" i="1"/>
  <c r="E816" i="1"/>
  <c r="G241" i="9"/>
  <c r="G511" i="1"/>
  <c r="H511" i="1" s="1"/>
  <c r="J747" i="1"/>
  <c r="H516" i="1"/>
  <c r="H81" i="9"/>
  <c r="J789" i="1"/>
  <c r="J764" i="1"/>
  <c r="E145" i="9"/>
  <c r="C49" i="9"/>
  <c r="J741" i="1"/>
  <c r="C530" i="1"/>
  <c r="G530" i="1" s="1"/>
  <c r="I149" i="9"/>
  <c r="D85" i="9"/>
  <c r="C683" i="1"/>
  <c r="C554" i="1"/>
  <c r="C634" i="1"/>
  <c r="E277" i="9"/>
  <c r="C702" i="1"/>
  <c r="C305" i="9"/>
  <c r="D177" i="9"/>
  <c r="G213" i="9"/>
  <c r="C631" i="1"/>
  <c r="C542" i="1"/>
  <c r="H209" i="9"/>
  <c r="C639" i="1"/>
  <c r="H309" i="9"/>
  <c r="C564" i="1"/>
  <c r="C561" i="1"/>
  <c r="C621" i="1"/>
  <c r="E309" i="9"/>
  <c r="H17" i="9"/>
  <c r="H181" i="9"/>
  <c r="J799" i="1"/>
  <c r="E305" i="9"/>
  <c r="C536" i="1"/>
  <c r="G536" i="1" s="1"/>
  <c r="J765" i="1"/>
  <c r="C373" i="9"/>
  <c r="J751" i="1"/>
  <c r="C622" i="1"/>
  <c r="E623" i="10"/>
  <c r="J803" i="1"/>
  <c r="I305" i="9"/>
  <c r="E177" i="9"/>
  <c r="E612" i="10"/>
  <c r="G496" i="10"/>
  <c r="H496" i="10" s="1"/>
  <c r="E814" i="10"/>
  <c r="D715" i="10"/>
  <c r="B496" i="1"/>
  <c r="F496" i="1" s="1"/>
  <c r="M733" i="10"/>
  <c r="M814" i="10" s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H522" i="1" s="1"/>
  <c r="F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H518" i="1" l="1"/>
  <c r="C50" i="8"/>
  <c r="D341" i="1"/>
  <c r="C481" i="1" s="1"/>
  <c r="F117" i="9"/>
  <c r="C692" i="1"/>
  <c r="H498" i="1"/>
  <c r="C509" i="1"/>
  <c r="G509" i="1" s="1"/>
  <c r="I53" i="9"/>
  <c r="C569" i="1"/>
  <c r="D181" i="9"/>
  <c r="C704" i="1"/>
  <c r="C533" i="1"/>
  <c r="G533" i="1" s="1"/>
  <c r="H520" i="1"/>
  <c r="H546" i="1"/>
  <c r="F341" i="9"/>
  <c r="C562" i="1"/>
  <c r="C623" i="1"/>
  <c r="H245" i="9"/>
  <c r="H505" i="1"/>
  <c r="H503" i="1"/>
  <c r="H508" i="1"/>
  <c r="C544" i="1"/>
  <c r="G544" i="1" s="1"/>
  <c r="G309" i="9"/>
  <c r="C550" i="1"/>
  <c r="G550" i="1" s="1"/>
  <c r="D615" i="1"/>
  <c r="C626" i="1"/>
  <c r="C513" i="1"/>
  <c r="G513" i="1" s="1"/>
  <c r="C705" i="1"/>
  <c r="C685" i="1"/>
  <c r="H510" i="1"/>
  <c r="H517" i="1"/>
  <c r="C625" i="1"/>
  <c r="F53" i="9"/>
  <c r="H514" i="1"/>
  <c r="G117" i="9"/>
  <c r="C687" i="1"/>
  <c r="C515" i="1"/>
  <c r="G515" i="1" s="1"/>
  <c r="H85" i="9"/>
  <c r="F149" i="9"/>
  <c r="C527" i="1"/>
  <c r="G527" i="1" s="1"/>
  <c r="C699" i="1"/>
  <c r="G245" i="9"/>
  <c r="C624" i="1"/>
  <c r="C549" i="1"/>
  <c r="G524" i="1"/>
  <c r="H524" i="1" s="1"/>
  <c r="C496" i="1"/>
  <c r="G496" i="1" s="1"/>
  <c r="C668" i="1"/>
  <c r="C21" i="9"/>
  <c r="H21" i="9"/>
  <c r="C501" i="1"/>
  <c r="G501" i="1" s="1"/>
  <c r="C673" i="1"/>
  <c r="D309" i="9"/>
  <c r="C560" i="1"/>
  <c r="C627" i="1"/>
  <c r="F21" i="9"/>
  <c r="C499" i="1"/>
  <c r="G499" i="1" s="1"/>
  <c r="C671" i="1"/>
  <c r="D149" i="9"/>
  <c r="H213" i="9"/>
  <c r="C616" i="1"/>
  <c r="C543" i="1"/>
  <c r="E680" i="10"/>
  <c r="C525" i="1"/>
  <c r="G525" i="1" s="1"/>
  <c r="C693" i="1"/>
  <c r="C559" i="1"/>
  <c r="C309" i="9"/>
  <c r="C619" i="1"/>
  <c r="C506" i="1"/>
  <c r="G506" i="1" s="1"/>
  <c r="C629" i="1"/>
  <c r="C551" i="1"/>
  <c r="I245" i="9"/>
  <c r="H526" i="1"/>
  <c r="E687" i="10"/>
  <c r="E642" i="10"/>
  <c r="E625" i="10"/>
  <c r="E706" i="10"/>
  <c r="E635" i="10"/>
  <c r="E643" i="10"/>
  <c r="E716" i="10"/>
  <c r="H512" i="1"/>
  <c r="E646" i="10"/>
  <c r="E673" i="10"/>
  <c r="E624" i="10"/>
  <c r="E700" i="10"/>
  <c r="E647" i="10"/>
  <c r="E681" i="10"/>
  <c r="E695" i="10"/>
  <c r="E669" i="10"/>
  <c r="E688" i="10"/>
  <c r="E636" i="10"/>
  <c r="E644" i="10"/>
  <c r="E668" i="10"/>
  <c r="E631" i="10"/>
  <c r="E670" i="10"/>
  <c r="E689" i="10"/>
  <c r="E703" i="10"/>
  <c r="E677" i="10"/>
  <c r="E696" i="10"/>
  <c r="E637" i="10"/>
  <c r="E675" i="10"/>
  <c r="E626" i="10"/>
  <c r="E627" i="10"/>
  <c r="E678" i="10"/>
  <c r="E697" i="10"/>
  <c r="E711" i="10"/>
  <c r="E685" i="10"/>
  <c r="E704" i="10"/>
  <c r="E638" i="10"/>
  <c r="E683" i="10"/>
  <c r="E629" i="10"/>
  <c r="E684" i="10"/>
  <c r="E686" i="10"/>
  <c r="E705" i="10"/>
  <c r="E674" i="10"/>
  <c r="E693" i="10"/>
  <c r="E712" i="10"/>
  <c r="E639" i="10"/>
  <c r="E691" i="10"/>
  <c r="E692" i="10"/>
  <c r="E630" i="10"/>
  <c r="E694" i="10"/>
  <c r="E713" i="10"/>
  <c r="E682" i="10"/>
  <c r="E701" i="10"/>
  <c r="E632" i="10"/>
  <c r="E640" i="10"/>
  <c r="E699" i="10"/>
  <c r="E628" i="10"/>
  <c r="E708" i="10"/>
  <c r="E702" i="10"/>
  <c r="E671" i="10"/>
  <c r="E690" i="10"/>
  <c r="E709" i="10"/>
  <c r="E633" i="10"/>
  <c r="E641" i="10"/>
  <c r="E707" i="10"/>
  <c r="E676" i="10"/>
  <c r="E645" i="10"/>
  <c r="E710" i="10"/>
  <c r="E679" i="10"/>
  <c r="E698" i="10"/>
  <c r="E672" i="10"/>
  <c r="E634" i="10"/>
  <c r="M815" i="10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648" i="1"/>
  <c r="M716" i="1" s="1"/>
  <c r="Y816" i="1" s="1"/>
  <c r="H544" i="1"/>
  <c r="H509" i="1"/>
  <c r="H550" i="1"/>
  <c r="I373" i="9"/>
  <c r="D668" i="1"/>
  <c r="D678" i="1"/>
  <c r="D619" i="1"/>
  <c r="D680" i="1"/>
  <c r="D626" i="1"/>
  <c r="D632" i="1"/>
  <c r="D672" i="1"/>
  <c r="D639" i="1"/>
  <c r="D671" i="1"/>
  <c r="D685" i="1"/>
  <c r="D692" i="1"/>
  <c r="D621" i="1"/>
  <c r="D700" i="1"/>
  <c r="D698" i="1"/>
  <c r="D645" i="1"/>
  <c r="D716" i="1"/>
  <c r="D679" i="1"/>
  <c r="D640" i="1"/>
  <c r="D631" i="1"/>
  <c r="D633" i="1"/>
  <c r="D683" i="1"/>
  <c r="D702" i="1"/>
  <c r="D712" i="1"/>
  <c r="D704" i="1"/>
  <c r="D635" i="1"/>
  <c r="D693" i="1"/>
  <c r="D705" i="1"/>
  <c r="D677" i="1"/>
  <c r="D709" i="1"/>
  <c r="D627" i="1"/>
  <c r="D681" i="1"/>
  <c r="D642" i="1"/>
  <c r="D697" i="1"/>
  <c r="D669" i="1"/>
  <c r="D647" i="1"/>
  <c r="D682" i="1"/>
  <c r="D706" i="1"/>
  <c r="D674" i="1"/>
  <c r="D703" i="1"/>
  <c r="D624" i="1"/>
  <c r="D643" i="1"/>
  <c r="D637" i="1"/>
  <c r="D691" i="1"/>
  <c r="D638" i="1"/>
  <c r="D670" i="1"/>
  <c r="D711" i="1"/>
  <c r="D684" i="1"/>
  <c r="D634" i="1"/>
  <c r="D695" i="1"/>
  <c r="D699" i="1"/>
  <c r="D707" i="1"/>
  <c r="D689" i="1"/>
  <c r="D617" i="1"/>
  <c r="D696" i="1"/>
  <c r="D710" i="1"/>
  <c r="D628" i="1"/>
  <c r="D630" i="1"/>
  <c r="D625" i="1"/>
  <c r="D686" i="1"/>
  <c r="D623" i="1"/>
  <c r="D708" i="1"/>
  <c r="D644" i="1"/>
  <c r="D673" i="1"/>
  <c r="D620" i="1"/>
  <c r="D701" i="1"/>
  <c r="D622" i="1"/>
  <c r="D694" i="1"/>
  <c r="D687" i="1"/>
  <c r="D618" i="1"/>
  <c r="D636" i="1"/>
  <c r="D675" i="1"/>
  <c r="D690" i="1"/>
  <c r="D629" i="1"/>
  <c r="D688" i="1"/>
  <c r="D676" i="1"/>
  <c r="D616" i="1"/>
  <c r="D646" i="1"/>
  <c r="D713" i="1"/>
  <c r="D641" i="1"/>
  <c r="H496" i="1"/>
  <c r="E715" i="10"/>
  <c r="F624" i="10"/>
  <c r="C433" i="1"/>
  <c r="C441" i="1" s="1"/>
  <c r="J816" i="1"/>
  <c r="I369" i="9"/>
  <c r="J815" i="10"/>
  <c r="E612" i="1" l="1"/>
  <c r="E623" i="1"/>
  <c r="E716" i="1" s="1"/>
  <c r="D715" i="1"/>
  <c r="F712" i="10"/>
  <c r="F704" i="10"/>
  <c r="F696" i="10"/>
  <c r="F688" i="10"/>
  <c r="F680" i="10"/>
  <c r="F672" i="10"/>
  <c r="F709" i="10"/>
  <c r="F701" i="10"/>
  <c r="F693" i="10"/>
  <c r="F685" i="10"/>
  <c r="F677" i="10"/>
  <c r="F669" i="10"/>
  <c r="F706" i="10"/>
  <c r="F698" i="10"/>
  <c r="F690" i="10"/>
  <c r="F682" i="10"/>
  <c r="F674" i="10"/>
  <c r="F711" i="10"/>
  <c r="F703" i="10"/>
  <c r="F695" i="10"/>
  <c r="F687" i="10"/>
  <c r="F679" i="10"/>
  <c r="F671" i="10"/>
  <c r="F708" i="10"/>
  <c r="F700" i="10"/>
  <c r="F692" i="10"/>
  <c r="F684" i="10"/>
  <c r="F676" i="10"/>
  <c r="F668" i="10"/>
  <c r="F710" i="10"/>
  <c r="F702" i="10"/>
  <c r="F694" i="10"/>
  <c r="F686" i="10"/>
  <c r="F678" i="10"/>
  <c r="F670" i="10"/>
  <c r="F647" i="10"/>
  <c r="F646" i="10"/>
  <c r="F645" i="10"/>
  <c r="F716" i="10"/>
  <c r="F707" i="10"/>
  <c r="F699" i="10"/>
  <c r="F691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73" i="10"/>
  <c r="F627" i="10"/>
  <c r="F713" i="10"/>
  <c r="F631" i="10"/>
  <c r="F689" i="10"/>
  <c r="F625" i="10"/>
  <c r="F628" i="10"/>
  <c r="F705" i="10"/>
  <c r="F681" i="10"/>
  <c r="F629" i="10"/>
  <c r="F626" i="10"/>
  <c r="F697" i="10"/>
  <c r="F630" i="10"/>
  <c r="E707" i="1" l="1"/>
  <c r="E677" i="1"/>
  <c r="E672" i="1"/>
  <c r="E669" i="1"/>
  <c r="E689" i="1"/>
  <c r="E626" i="1"/>
  <c r="E709" i="1"/>
  <c r="E705" i="1"/>
  <c r="E642" i="1"/>
  <c r="E638" i="1"/>
  <c r="E639" i="1"/>
  <c r="E712" i="1"/>
  <c r="E701" i="1"/>
  <c r="E700" i="1"/>
  <c r="E627" i="1"/>
  <c r="E624" i="1"/>
  <c r="F624" i="1" s="1"/>
  <c r="F636" i="1" s="1"/>
  <c r="E625" i="1"/>
  <c r="E668" i="1"/>
  <c r="E703" i="1"/>
  <c r="E640" i="1"/>
  <c r="E671" i="1"/>
  <c r="E647" i="1"/>
  <c r="E646" i="1"/>
  <c r="E704" i="1"/>
  <c r="E673" i="1"/>
  <c r="E698" i="1"/>
  <c r="E670" i="1"/>
  <c r="E706" i="1"/>
  <c r="E637" i="1"/>
  <c r="E681" i="1"/>
  <c r="E678" i="1"/>
  <c r="E686" i="1"/>
  <c r="E641" i="1"/>
  <c r="E643" i="1"/>
  <c r="E683" i="1"/>
  <c r="E680" i="1"/>
  <c r="E691" i="1"/>
  <c r="E634" i="1"/>
  <c r="E636" i="1"/>
  <c r="E632" i="1"/>
  <c r="E682" i="1"/>
  <c r="E628" i="1"/>
  <c r="E675" i="1"/>
  <c r="E693" i="1"/>
  <c r="E699" i="1"/>
  <c r="E711" i="1"/>
  <c r="E702" i="1"/>
  <c r="E644" i="1"/>
  <c r="E679" i="1"/>
  <c r="E674" i="1"/>
  <c r="E676" i="1"/>
  <c r="E697" i="1"/>
  <c r="E633" i="1"/>
  <c r="E631" i="1"/>
  <c r="E684" i="1"/>
  <c r="E692" i="1"/>
  <c r="E690" i="1"/>
  <c r="E694" i="1"/>
  <c r="E713" i="1"/>
  <c r="E710" i="1"/>
  <c r="E685" i="1"/>
  <c r="E695" i="1"/>
  <c r="E708" i="1"/>
  <c r="E688" i="1"/>
  <c r="E687" i="1"/>
  <c r="E645" i="1"/>
  <c r="E696" i="1"/>
  <c r="E630" i="1"/>
  <c r="E629" i="1"/>
  <c r="E635" i="1"/>
  <c r="F715" i="10"/>
  <c r="G625" i="10"/>
  <c r="F692" i="1" l="1"/>
  <c r="F680" i="1"/>
  <c r="F641" i="1"/>
  <c r="F716" i="1"/>
  <c r="F707" i="1"/>
  <c r="F642" i="1"/>
  <c r="F698" i="1"/>
  <c r="F703" i="1"/>
  <c r="F668" i="1"/>
  <c r="F672" i="1"/>
  <c r="F690" i="1"/>
  <c r="F697" i="1"/>
  <c r="F670" i="1"/>
  <c r="F713" i="1"/>
  <c r="F625" i="1"/>
  <c r="G625" i="1" s="1"/>
  <c r="G713" i="1" s="1"/>
  <c r="F712" i="1"/>
  <c r="F637" i="1"/>
  <c r="F694" i="1"/>
  <c r="F710" i="1"/>
  <c r="F633" i="1"/>
  <c r="F674" i="1"/>
  <c r="F689" i="1"/>
  <c r="F682" i="1"/>
  <c r="F629" i="1"/>
  <c r="F675" i="1"/>
  <c r="F693" i="1"/>
  <c r="F706" i="1"/>
  <c r="F640" i="1"/>
  <c r="F632" i="1"/>
  <c r="F673" i="1"/>
  <c r="F643" i="1"/>
  <c r="F638" i="1"/>
  <c r="F700" i="1"/>
  <c r="F699" i="1"/>
  <c r="F688" i="1"/>
  <c r="F645" i="1"/>
  <c r="F702" i="1"/>
  <c r="F711" i="1"/>
  <c r="F679" i="1"/>
  <c r="F671" i="1"/>
  <c r="F696" i="1"/>
  <c r="F676" i="1"/>
  <c r="F691" i="1"/>
  <c r="F627" i="1"/>
  <c r="F678" i="1"/>
  <c r="F709" i="1"/>
  <c r="F708" i="1"/>
  <c r="F687" i="1"/>
  <c r="F685" i="1"/>
  <c r="F644" i="1"/>
  <c r="F647" i="1"/>
  <c r="F639" i="1"/>
  <c r="F630" i="1"/>
  <c r="F704" i="1"/>
  <c r="F634" i="1"/>
  <c r="F701" i="1"/>
  <c r="F684" i="1"/>
  <c r="F631" i="1"/>
  <c r="F669" i="1"/>
  <c r="F628" i="1"/>
  <c r="F626" i="1"/>
  <c r="F686" i="1"/>
  <c r="F646" i="1"/>
  <c r="F705" i="1"/>
  <c r="F695" i="1"/>
  <c r="F635" i="1"/>
  <c r="F683" i="1"/>
  <c r="F681" i="1"/>
  <c r="F677" i="1"/>
  <c r="E715" i="1"/>
  <c r="G709" i="10"/>
  <c r="G701" i="10"/>
  <c r="G693" i="10"/>
  <c r="G685" i="10"/>
  <c r="G677" i="10"/>
  <c r="G669" i="10"/>
  <c r="G706" i="10"/>
  <c r="G698" i="10"/>
  <c r="G690" i="10"/>
  <c r="G682" i="10"/>
  <c r="G674" i="10"/>
  <c r="G711" i="10"/>
  <c r="G703" i="10"/>
  <c r="G695" i="10"/>
  <c r="G687" i="10"/>
  <c r="G679" i="10"/>
  <c r="G671" i="10"/>
  <c r="G708" i="10"/>
  <c r="G700" i="10"/>
  <c r="G692" i="10"/>
  <c r="G684" i="10"/>
  <c r="G676" i="10"/>
  <c r="G668" i="10"/>
  <c r="G713" i="10"/>
  <c r="G705" i="10"/>
  <c r="G697" i="10"/>
  <c r="G689" i="10"/>
  <c r="G681" i="10"/>
  <c r="G673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704" i="10"/>
  <c r="G696" i="10"/>
  <c r="G688" i="10"/>
  <c r="G680" i="10"/>
  <c r="G672" i="10"/>
  <c r="G702" i="10"/>
  <c r="G647" i="10"/>
  <c r="G678" i="10"/>
  <c r="G646" i="10"/>
  <c r="G645" i="10"/>
  <c r="G628" i="10"/>
  <c r="G694" i="10"/>
  <c r="G670" i="10"/>
  <c r="G629" i="10"/>
  <c r="G626" i="10"/>
  <c r="G710" i="10"/>
  <c r="G686" i="10"/>
  <c r="G627" i="10"/>
  <c r="G689" i="1" l="1"/>
  <c r="G700" i="1"/>
  <c r="G716" i="1"/>
  <c r="G704" i="1"/>
  <c r="G636" i="1"/>
  <c r="G710" i="1"/>
  <c r="G711" i="1"/>
  <c r="G687" i="1"/>
  <c r="G677" i="1"/>
  <c r="G698" i="1"/>
  <c r="G696" i="1"/>
  <c r="G640" i="1"/>
  <c r="G628" i="1"/>
  <c r="G683" i="1"/>
  <c r="G641" i="1"/>
  <c r="G669" i="1"/>
  <c r="G708" i="1"/>
  <c r="G632" i="1"/>
  <c r="G646" i="1"/>
  <c r="G712" i="1"/>
  <c r="G685" i="1"/>
  <c r="G697" i="1"/>
  <c r="G693" i="1"/>
  <c r="G691" i="1"/>
  <c r="G643" i="1"/>
  <c r="F715" i="1"/>
  <c r="G680" i="1"/>
  <c r="G705" i="1"/>
  <c r="G699" i="1"/>
  <c r="G672" i="1"/>
  <c r="G668" i="1"/>
  <c r="G702" i="1"/>
  <c r="G630" i="1"/>
  <c r="G645" i="1"/>
  <c r="G637" i="1"/>
  <c r="G684" i="1"/>
  <c r="G670" i="1"/>
  <c r="G635" i="1"/>
  <c r="G706" i="1"/>
  <c r="G627" i="1"/>
  <c r="G678" i="1"/>
  <c r="G690" i="1"/>
  <c r="G639" i="1"/>
  <c r="G688" i="1"/>
  <c r="G681" i="1"/>
  <c r="G631" i="1"/>
  <c r="G629" i="1"/>
  <c r="G642" i="1"/>
  <c r="G695" i="1"/>
  <c r="G633" i="1"/>
  <c r="G682" i="1"/>
  <c r="G701" i="1"/>
  <c r="G692" i="1"/>
  <c r="G703" i="1"/>
  <c r="G674" i="1"/>
  <c r="G675" i="1"/>
  <c r="G634" i="1"/>
  <c r="G647" i="1"/>
  <c r="G679" i="1"/>
  <c r="G638" i="1"/>
  <c r="G707" i="1"/>
  <c r="G694" i="1"/>
  <c r="G673" i="1"/>
  <c r="G644" i="1"/>
  <c r="G709" i="1"/>
  <c r="G676" i="1"/>
  <c r="G671" i="1"/>
  <c r="G686" i="1"/>
  <c r="G626" i="1"/>
  <c r="H628" i="10"/>
  <c r="H703" i="10" s="1"/>
  <c r="H690" i="10"/>
  <c r="H631" i="10"/>
  <c r="G715" i="10"/>
  <c r="H697" i="10" l="1"/>
  <c r="H698" i="10"/>
  <c r="H668" i="10"/>
  <c r="H711" i="10"/>
  <c r="H705" i="10"/>
  <c r="H713" i="10"/>
  <c r="H640" i="10"/>
  <c r="H674" i="10"/>
  <c r="H632" i="10"/>
  <c r="H691" i="10"/>
  <c r="H638" i="10"/>
  <c r="H707" i="10"/>
  <c r="H682" i="10"/>
  <c r="H639" i="10"/>
  <c r="H706" i="10"/>
  <c r="H669" i="10"/>
  <c r="H677" i="10"/>
  <c r="H680" i="10"/>
  <c r="H688" i="10"/>
  <c r="H716" i="10"/>
  <c r="H645" i="10"/>
  <c r="H630" i="10"/>
  <c r="H629" i="10"/>
  <c r="I629" i="10" s="1"/>
  <c r="H670" i="10"/>
  <c r="H681" i="10"/>
  <c r="H646" i="10"/>
  <c r="H647" i="10"/>
  <c r="H636" i="10"/>
  <c r="H644" i="10"/>
  <c r="H678" i="10"/>
  <c r="H637" i="10"/>
  <c r="H683" i="10"/>
  <c r="H689" i="10"/>
  <c r="H628" i="1"/>
  <c r="H680" i="1" s="1"/>
  <c r="G715" i="1"/>
  <c r="H633" i="10"/>
  <c r="H696" i="10"/>
  <c r="H692" i="10"/>
  <c r="H676" i="10"/>
  <c r="H684" i="10"/>
  <c r="H641" i="10"/>
  <c r="H704" i="10"/>
  <c r="H634" i="10"/>
  <c r="H712" i="10"/>
  <c r="H700" i="10"/>
  <c r="H671" i="10"/>
  <c r="H708" i="10"/>
  <c r="H642" i="10"/>
  <c r="H686" i="10"/>
  <c r="H694" i="10"/>
  <c r="H635" i="10"/>
  <c r="H702" i="10"/>
  <c r="H709" i="10"/>
  <c r="H685" i="10"/>
  <c r="H675" i="10"/>
  <c r="H693" i="10"/>
  <c r="H679" i="10"/>
  <c r="H701" i="10"/>
  <c r="H687" i="10"/>
  <c r="H643" i="10"/>
  <c r="H710" i="10"/>
  <c r="H695" i="10"/>
  <c r="H699" i="10"/>
  <c r="H672" i="10"/>
  <c r="H673" i="10"/>
  <c r="H631" i="1" l="1"/>
  <c r="H637" i="1"/>
  <c r="H669" i="1"/>
  <c r="H630" i="1"/>
  <c r="H692" i="1"/>
  <c r="H645" i="1"/>
  <c r="H682" i="1"/>
  <c r="H696" i="1"/>
  <c r="H646" i="1"/>
  <c r="H673" i="1"/>
  <c r="H640" i="1"/>
  <c r="H702" i="1"/>
  <c r="H694" i="1"/>
  <c r="H690" i="1"/>
  <c r="H711" i="1"/>
  <c r="H636" i="1"/>
  <c r="H698" i="1"/>
  <c r="H685" i="1"/>
  <c r="H635" i="1"/>
  <c r="H634" i="1"/>
  <c r="H688" i="1"/>
  <c r="H674" i="1"/>
  <c r="H693" i="1"/>
  <c r="H678" i="1"/>
  <c r="H681" i="1"/>
  <c r="H699" i="1"/>
  <c r="H668" i="1"/>
  <c r="H700" i="1"/>
  <c r="H708" i="1"/>
  <c r="H687" i="1"/>
  <c r="H632" i="1"/>
  <c r="H639" i="1"/>
  <c r="H684" i="1"/>
  <c r="H672" i="1"/>
  <c r="H644" i="1"/>
  <c r="H706" i="1"/>
  <c r="H710" i="1"/>
  <c r="H677" i="1"/>
  <c r="H704" i="1"/>
  <c r="H691" i="1"/>
  <c r="H689" i="1"/>
  <c r="H670" i="1"/>
  <c r="H703" i="1"/>
  <c r="H643" i="1"/>
  <c r="H633" i="1"/>
  <c r="H679" i="1"/>
  <c r="H629" i="1"/>
  <c r="I629" i="1" s="1"/>
  <c r="I693" i="1" s="1"/>
  <c r="H695" i="1"/>
  <c r="H701" i="1"/>
  <c r="H713" i="1"/>
  <c r="H647" i="1"/>
  <c r="H675" i="1"/>
  <c r="H641" i="1"/>
  <c r="H716" i="1"/>
  <c r="H686" i="1"/>
  <c r="H709" i="1"/>
  <c r="H671" i="1"/>
  <c r="H642" i="1"/>
  <c r="H638" i="1"/>
  <c r="H712" i="1"/>
  <c r="H705" i="1"/>
  <c r="H683" i="1"/>
  <c r="H697" i="1"/>
  <c r="H676" i="1"/>
  <c r="H707" i="1"/>
  <c r="H715" i="10"/>
  <c r="I711" i="10"/>
  <c r="I703" i="10"/>
  <c r="I695" i="10"/>
  <c r="I687" i="10"/>
  <c r="I679" i="10"/>
  <c r="I671" i="10"/>
  <c r="I708" i="10"/>
  <c r="I700" i="10"/>
  <c r="I692" i="10"/>
  <c r="I684" i="10"/>
  <c r="I676" i="10"/>
  <c r="I668" i="10"/>
  <c r="I713" i="10"/>
  <c r="I705" i="10"/>
  <c r="I697" i="10"/>
  <c r="I689" i="10"/>
  <c r="I681" i="10"/>
  <c r="I673" i="10"/>
  <c r="I710" i="10"/>
  <c r="I702" i="10"/>
  <c r="I694" i="10"/>
  <c r="I686" i="10"/>
  <c r="I678" i="10"/>
  <c r="I670" i="10"/>
  <c r="I647" i="10"/>
  <c r="I646" i="10"/>
  <c r="I645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709" i="10"/>
  <c r="I701" i="10"/>
  <c r="I693" i="10"/>
  <c r="I685" i="10"/>
  <c r="I677" i="10"/>
  <c r="I669" i="10"/>
  <c r="I706" i="10"/>
  <c r="I698" i="10"/>
  <c r="I690" i="10"/>
  <c r="I682" i="10"/>
  <c r="I674" i="10"/>
  <c r="I696" i="10"/>
  <c r="I672" i="10"/>
  <c r="I712" i="10"/>
  <c r="I688" i="10"/>
  <c r="I704" i="10"/>
  <c r="I630" i="10"/>
  <c r="I680" i="10"/>
  <c r="I687" i="1" l="1"/>
  <c r="I645" i="1"/>
  <c r="I641" i="1"/>
  <c r="I669" i="1"/>
  <c r="I706" i="1"/>
  <c r="I701" i="1"/>
  <c r="I668" i="1"/>
  <c r="I694" i="1"/>
  <c r="I644" i="1"/>
  <c r="I630" i="1"/>
  <c r="J630" i="1" s="1"/>
  <c r="J633" i="1" s="1"/>
  <c r="I634" i="1"/>
  <c r="I638" i="1"/>
  <c r="I670" i="1"/>
  <c r="I682" i="1"/>
  <c r="I632" i="1"/>
  <c r="I636" i="1"/>
  <c r="I637" i="1"/>
  <c r="I704" i="1"/>
  <c r="I700" i="1"/>
  <c r="I697" i="1"/>
  <c r="I707" i="1"/>
  <c r="I685" i="1"/>
  <c r="I705" i="1"/>
  <c r="I688" i="1"/>
  <c r="I709" i="1"/>
  <c r="I672" i="1"/>
  <c r="I711" i="1"/>
  <c r="I640" i="1"/>
  <c r="I676" i="1"/>
  <c r="I710" i="1"/>
  <c r="I680" i="1"/>
  <c r="I671" i="1"/>
  <c r="I699" i="1"/>
  <c r="I692" i="1"/>
  <c r="I684" i="1"/>
  <c r="I646" i="1"/>
  <c r="I696" i="1"/>
  <c r="I677" i="1"/>
  <c r="I635" i="1"/>
  <c r="I681" i="1"/>
  <c r="I679" i="1"/>
  <c r="I716" i="1"/>
  <c r="I713" i="1"/>
  <c r="I647" i="1"/>
  <c r="I633" i="1"/>
  <c r="I698" i="1"/>
  <c r="I631" i="1"/>
  <c r="I689" i="1"/>
  <c r="I691" i="1"/>
  <c r="I712" i="1"/>
  <c r="I686" i="1"/>
  <c r="I678" i="1"/>
  <c r="I683" i="1"/>
  <c r="I642" i="1"/>
  <c r="I708" i="1"/>
  <c r="I675" i="1"/>
  <c r="I702" i="1"/>
  <c r="I674" i="1"/>
  <c r="I695" i="1"/>
  <c r="I690" i="1"/>
  <c r="I639" i="1"/>
  <c r="I673" i="1"/>
  <c r="I643" i="1"/>
  <c r="I703" i="1"/>
  <c r="H715" i="1"/>
  <c r="I715" i="10"/>
  <c r="J630" i="10"/>
  <c r="J694" i="1" l="1"/>
  <c r="J681" i="1"/>
  <c r="J713" i="1"/>
  <c r="J671" i="1"/>
  <c r="J683" i="1"/>
  <c r="J707" i="1"/>
  <c r="J670" i="1"/>
  <c r="J708" i="1"/>
  <c r="J711" i="1"/>
  <c r="J690" i="1"/>
  <c r="J645" i="1"/>
  <c r="J685" i="1"/>
  <c r="J712" i="1"/>
  <c r="J688" i="1"/>
  <c r="J702" i="1"/>
  <c r="J643" i="1"/>
  <c r="J647" i="1"/>
  <c r="J634" i="1"/>
  <c r="J684" i="1"/>
  <c r="J673" i="1"/>
  <c r="J635" i="1"/>
  <c r="J699" i="1"/>
  <c r="J697" i="1"/>
  <c r="J641" i="1"/>
  <c r="J705" i="1"/>
  <c r="J679" i="1"/>
  <c r="J672" i="1"/>
  <c r="J716" i="1"/>
  <c r="I715" i="1"/>
  <c r="J691" i="1"/>
  <c r="J668" i="1"/>
  <c r="J676" i="1"/>
  <c r="J674" i="1"/>
  <c r="J636" i="1"/>
  <c r="J639" i="1"/>
  <c r="J682" i="1"/>
  <c r="J704" i="1"/>
  <c r="J680" i="1"/>
  <c r="J701" i="1"/>
  <c r="J700" i="1"/>
  <c r="J710" i="1"/>
  <c r="J646" i="1"/>
  <c r="J698" i="1"/>
  <c r="J642" i="1"/>
  <c r="J644" i="1"/>
  <c r="J693" i="1"/>
  <c r="J709" i="1"/>
  <c r="J675" i="1"/>
  <c r="J706" i="1"/>
  <c r="J637" i="1"/>
  <c r="J695" i="1"/>
  <c r="J632" i="1"/>
  <c r="J696" i="1"/>
  <c r="J686" i="1"/>
  <c r="J677" i="1"/>
  <c r="J689" i="1"/>
  <c r="J669" i="1"/>
  <c r="J631" i="1"/>
  <c r="J678" i="1"/>
  <c r="J703" i="1"/>
  <c r="J687" i="1"/>
  <c r="J638" i="1"/>
  <c r="J640" i="1"/>
  <c r="J692" i="1"/>
  <c r="J708" i="10"/>
  <c r="J700" i="10"/>
  <c r="J692" i="10"/>
  <c r="J684" i="10"/>
  <c r="J676" i="10"/>
  <c r="J668" i="10"/>
  <c r="J713" i="10"/>
  <c r="J705" i="10"/>
  <c r="J697" i="10"/>
  <c r="J689" i="10"/>
  <c r="J681" i="10"/>
  <c r="J673" i="10"/>
  <c r="J710" i="10"/>
  <c r="J702" i="10"/>
  <c r="J694" i="10"/>
  <c r="J686" i="10"/>
  <c r="J678" i="10"/>
  <c r="J670" i="10"/>
  <c r="J647" i="10"/>
  <c r="J646" i="10"/>
  <c r="J645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2" i="10"/>
  <c r="J704" i="10"/>
  <c r="J696" i="10"/>
  <c r="J688" i="10"/>
  <c r="J680" i="10"/>
  <c r="J672" i="10"/>
  <c r="J706" i="10"/>
  <c r="J698" i="10"/>
  <c r="J690" i="10"/>
  <c r="J682" i="10"/>
  <c r="J674" i="10"/>
  <c r="J711" i="10"/>
  <c r="J703" i="10"/>
  <c r="J695" i="10"/>
  <c r="J687" i="10"/>
  <c r="J679" i="10"/>
  <c r="J671" i="10"/>
  <c r="J701" i="10"/>
  <c r="J677" i="10"/>
  <c r="J693" i="10"/>
  <c r="J669" i="10"/>
  <c r="J709" i="10"/>
  <c r="J685" i="10"/>
  <c r="L647" i="1" l="1"/>
  <c r="L711" i="1" s="1"/>
  <c r="J715" i="1"/>
  <c r="K644" i="1"/>
  <c r="K695" i="1" s="1"/>
  <c r="L708" i="1"/>
  <c r="L696" i="1"/>
  <c r="L699" i="1"/>
  <c r="L716" i="1"/>
  <c r="L686" i="1"/>
  <c r="L705" i="1"/>
  <c r="L677" i="1"/>
  <c r="L684" i="1"/>
  <c r="L675" i="1"/>
  <c r="L691" i="1"/>
  <c r="K644" i="10"/>
  <c r="L647" i="10"/>
  <c r="J715" i="10"/>
  <c r="L678" i="1" l="1"/>
  <c r="L706" i="1"/>
  <c r="L670" i="1"/>
  <c r="L673" i="1"/>
  <c r="L693" i="1"/>
  <c r="L692" i="1"/>
  <c r="L698" i="1"/>
  <c r="L712" i="1"/>
  <c r="L701" i="1"/>
  <c r="L672" i="1"/>
  <c r="L668" i="1"/>
  <c r="L707" i="1"/>
  <c r="L680" i="1"/>
  <c r="L713" i="1"/>
  <c r="L683" i="1"/>
  <c r="L695" i="1"/>
  <c r="M695" i="1" s="1"/>
  <c r="I119" i="9" s="1"/>
  <c r="L687" i="1"/>
  <c r="L689" i="1"/>
  <c r="L688" i="1"/>
  <c r="L704" i="1"/>
  <c r="L681" i="1"/>
  <c r="L674" i="1"/>
  <c r="L710" i="1"/>
  <c r="L671" i="1"/>
  <c r="L685" i="1"/>
  <c r="L709" i="1"/>
  <c r="L702" i="1"/>
  <c r="L676" i="1"/>
  <c r="L703" i="1"/>
  <c r="L679" i="1"/>
  <c r="L690" i="1"/>
  <c r="L700" i="1"/>
  <c r="L669" i="1"/>
  <c r="L682" i="1"/>
  <c r="L697" i="1"/>
  <c r="L694" i="1"/>
  <c r="K706" i="1"/>
  <c r="M706" i="1" s="1"/>
  <c r="Y772" i="1" s="1"/>
  <c r="K681" i="1"/>
  <c r="K709" i="1"/>
  <c r="K685" i="1"/>
  <c r="K671" i="1"/>
  <c r="K694" i="1"/>
  <c r="K686" i="1"/>
  <c r="M686" i="1" s="1"/>
  <c r="Y752" i="1" s="1"/>
  <c r="K689" i="1"/>
  <c r="K693" i="1"/>
  <c r="M693" i="1" s="1"/>
  <c r="G119" i="9" s="1"/>
  <c r="K710" i="1"/>
  <c r="K707" i="1"/>
  <c r="M707" i="1" s="1"/>
  <c r="G183" i="9" s="1"/>
  <c r="K668" i="1"/>
  <c r="M668" i="1" s="1"/>
  <c r="C23" i="9" s="1"/>
  <c r="K713" i="1"/>
  <c r="K679" i="1"/>
  <c r="K678" i="1"/>
  <c r="M678" i="1" s="1"/>
  <c r="F55" i="9" s="1"/>
  <c r="K716" i="1"/>
  <c r="K680" i="1"/>
  <c r="K688" i="1"/>
  <c r="K674" i="1"/>
  <c r="K690" i="1"/>
  <c r="K705" i="1"/>
  <c r="M705" i="1" s="1"/>
  <c r="E183" i="9" s="1"/>
  <c r="K672" i="1"/>
  <c r="K669" i="1"/>
  <c r="K708" i="1"/>
  <c r="M708" i="1" s="1"/>
  <c r="Y774" i="1" s="1"/>
  <c r="K699" i="1"/>
  <c r="M699" i="1" s="1"/>
  <c r="F151" i="9" s="1"/>
  <c r="K702" i="1"/>
  <c r="K698" i="1"/>
  <c r="M698" i="1" s="1"/>
  <c r="Y764" i="1" s="1"/>
  <c r="K704" i="1"/>
  <c r="M704" i="1" s="1"/>
  <c r="D183" i="9" s="1"/>
  <c r="K692" i="1"/>
  <c r="K701" i="1"/>
  <c r="K684" i="1"/>
  <c r="M684" i="1" s="1"/>
  <c r="E87" i="9" s="1"/>
  <c r="K683" i="1"/>
  <c r="K691" i="1"/>
  <c r="M691" i="1" s="1"/>
  <c r="Y757" i="1" s="1"/>
  <c r="K712" i="1"/>
  <c r="K696" i="1"/>
  <c r="M696" i="1" s="1"/>
  <c r="Y762" i="1" s="1"/>
  <c r="K675" i="1"/>
  <c r="M675" i="1" s="1"/>
  <c r="Y741" i="1" s="1"/>
  <c r="K676" i="1"/>
  <c r="K711" i="1"/>
  <c r="M711" i="1" s="1"/>
  <c r="D215" i="9" s="1"/>
  <c r="K673" i="1"/>
  <c r="M673" i="1" s="1"/>
  <c r="H23" i="9" s="1"/>
  <c r="K700" i="1"/>
  <c r="K687" i="1"/>
  <c r="K677" i="1"/>
  <c r="M677" i="1" s="1"/>
  <c r="Y743" i="1" s="1"/>
  <c r="K703" i="1"/>
  <c r="M703" i="1" s="1"/>
  <c r="C183" i="9" s="1"/>
  <c r="K670" i="1"/>
  <c r="M670" i="1" s="1"/>
  <c r="E23" i="9" s="1"/>
  <c r="K697" i="1"/>
  <c r="K682" i="1"/>
  <c r="L710" i="10"/>
  <c r="L702" i="10"/>
  <c r="L694" i="10"/>
  <c r="L686" i="10"/>
  <c r="L678" i="10"/>
  <c r="L670" i="10"/>
  <c r="L716" i="10"/>
  <c r="L707" i="10"/>
  <c r="L699" i="10"/>
  <c r="L691" i="10"/>
  <c r="L683" i="10"/>
  <c r="L675" i="10"/>
  <c r="L712" i="10"/>
  <c r="L704" i="10"/>
  <c r="L696" i="10"/>
  <c r="L688" i="10"/>
  <c r="L680" i="10"/>
  <c r="L672" i="10"/>
  <c r="L709" i="10"/>
  <c r="L701" i="10"/>
  <c r="L693" i="10"/>
  <c r="L685" i="10"/>
  <c r="L677" i="10"/>
  <c r="L669" i="10"/>
  <c r="L706" i="10"/>
  <c r="L698" i="10"/>
  <c r="L690" i="10"/>
  <c r="L682" i="10"/>
  <c r="L674" i="10"/>
  <c r="L708" i="10"/>
  <c r="L700" i="10"/>
  <c r="L692" i="10"/>
  <c r="L684" i="10"/>
  <c r="L676" i="10"/>
  <c r="L668" i="10"/>
  <c r="L713" i="10"/>
  <c r="L705" i="10"/>
  <c r="L697" i="10"/>
  <c r="L689" i="10"/>
  <c r="L681" i="10"/>
  <c r="L673" i="10"/>
  <c r="L695" i="10"/>
  <c r="L671" i="10"/>
  <c r="L711" i="10"/>
  <c r="L687" i="10"/>
  <c r="L703" i="10"/>
  <c r="L679" i="10"/>
  <c r="K713" i="10"/>
  <c r="K705" i="10"/>
  <c r="K697" i="10"/>
  <c r="K689" i="10"/>
  <c r="K681" i="10"/>
  <c r="K673" i="10"/>
  <c r="K710" i="10"/>
  <c r="K702" i="10"/>
  <c r="K694" i="10"/>
  <c r="K686" i="10"/>
  <c r="K678" i="10"/>
  <c r="K670" i="10"/>
  <c r="K716" i="10"/>
  <c r="K707" i="10"/>
  <c r="K699" i="10"/>
  <c r="K691" i="10"/>
  <c r="K683" i="10"/>
  <c r="K675" i="10"/>
  <c r="K712" i="10"/>
  <c r="K704" i="10"/>
  <c r="K696" i="10"/>
  <c r="K688" i="10"/>
  <c r="K680" i="10"/>
  <c r="K672" i="10"/>
  <c r="K709" i="10"/>
  <c r="K701" i="10"/>
  <c r="K693" i="10"/>
  <c r="K685" i="10"/>
  <c r="K677" i="10"/>
  <c r="K669" i="10"/>
  <c r="K711" i="10"/>
  <c r="K703" i="10"/>
  <c r="K695" i="10"/>
  <c r="K687" i="10"/>
  <c r="K679" i="10"/>
  <c r="K671" i="10"/>
  <c r="K708" i="10"/>
  <c r="K700" i="10"/>
  <c r="K692" i="10"/>
  <c r="K684" i="10"/>
  <c r="K676" i="10"/>
  <c r="K668" i="10"/>
  <c r="K690" i="10"/>
  <c r="K706" i="10"/>
  <c r="K682" i="10"/>
  <c r="K698" i="10"/>
  <c r="K674" i="10"/>
  <c r="M689" i="10" l="1"/>
  <c r="Z755" i="10" s="1"/>
  <c r="M672" i="1"/>
  <c r="Y738" i="1" s="1"/>
  <c r="M681" i="1"/>
  <c r="Y747" i="1" s="1"/>
  <c r="M710" i="1"/>
  <c r="C215" i="9" s="1"/>
  <c r="M701" i="1"/>
  <c r="Y767" i="1" s="1"/>
  <c r="M692" i="1"/>
  <c r="F119" i="9" s="1"/>
  <c r="M713" i="1"/>
  <c r="Y779" i="1" s="1"/>
  <c r="M712" i="1"/>
  <c r="E215" i="9" s="1"/>
  <c r="M680" i="1"/>
  <c r="H55" i="9" s="1"/>
  <c r="M683" i="1"/>
  <c r="Y749" i="1" s="1"/>
  <c r="M687" i="1"/>
  <c r="Y753" i="1" s="1"/>
  <c r="M689" i="1"/>
  <c r="C119" i="9" s="1"/>
  <c r="M688" i="1"/>
  <c r="Y754" i="1" s="1"/>
  <c r="M679" i="1"/>
  <c r="Y745" i="1" s="1"/>
  <c r="M685" i="1"/>
  <c r="F87" i="9" s="1"/>
  <c r="M702" i="1"/>
  <c r="Y768" i="1" s="1"/>
  <c r="M674" i="1"/>
  <c r="Y740" i="1" s="1"/>
  <c r="M671" i="1"/>
  <c r="F23" i="9" s="1"/>
  <c r="M676" i="1"/>
  <c r="D55" i="9" s="1"/>
  <c r="M690" i="1"/>
  <c r="Y756" i="1" s="1"/>
  <c r="M709" i="1"/>
  <c r="I183" i="9" s="1"/>
  <c r="M682" i="1"/>
  <c r="C87" i="9" s="1"/>
  <c r="M700" i="1"/>
  <c r="Y766" i="1" s="1"/>
  <c r="M669" i="1"/>
  <c r="D23" i="9" s="1"/>
  <c r="Y761" i="1"/>
  <c r="M694" i="1"/>
  <c r="H119" i="9" s="1"/>
  <c r="L715" i="1"/>
  <c r="M697" i="1"/>
  <c r="D151" i="9" s="1"/>
  <c r="Y739" i="1"/>
  <c r="F183" i="9"/>
  <c r="M692" i="10"/>
  <c r="Z758" i="10" s="1"/>
  <c r="M688" i="10"/>
  <c r="Z754" i="10" s="1"/>
  <c r="M708" i="10"/>
  <c r="Z774" i="10" s="1"/>
  <c r="M679" i="10"/>
  <c r="Z745" i="10" s="1"/>
  <c r="G87" i="9"/>
  <c r="M681" i="10"/>
  <c r="Z747" i="10" s="1"/>
  <c r="Y734" i="1"/>
  <c r="H183" i="9"/>
  <c r="Y765" i="1"/>
  <c r="E151" i="9"/>
  <c r="Y776" i="1"/>
  <c r="Y771" i="1"/>
  <c r="C55" i="9"/>
  <c r="Y777" i="1"/>
  <c r="Y746" i="1"/>
  <c r="Y750" i="1"/>
  <c r="Y773" i="1"/>
  <c r="K715" i="1"/>
  <c r="Y770" i="1"/>
  <c r="Y736" i="1"/>
  <c r="Y744" i="1"/>
  <c r="E119" i="9"/>
  <c r="E55" i="9"/>
  <c r="Y759" i="1"/>
  <c r="Y769" i="1"/>
  <c r="C151" i="9"/>
  <c r="M697" i="10"/>
  <c r="Z763" i="10" s="1"/>
  <c r="M687" i="10"/>
  <c r="Z753" i="10" s="1"/>
  <c r="M705" i="10"/>
  <c r="Z771" i="10" s="1"/>
  <c r="M707" i="10"/>
  <c r="Z773" i="10" s="1"/>
  <c r="M669" i="10"/>
  <c r="Z735" i="10" s="1"/>
  <c r="M685" i="10"/>
  <c r="Z751" i="10" s="1"/>
  <c r="M700" i="10"/>
  <c r="Z766" i="10" s="1"/>
  <c r="M677" i="10"/>
  <c r="Z743" i="10" s="1"/>
  <c r="M696" i="10"/>
  <c r="Z762" i="10" s="1"/>
  <c r="M703" i="10"/>
  <c r="Z769" i="10" s="1"/>
  <c r="M704" i="10"/>
  <c r="Z770" i="10" s="1"/>
  <c r="M670" i="10"/>
  <c r="Z736" i="10" s="1"/>
  <c r="M674" i="10"/>
  <c r="Z740" i="10" s="1"/>
  <c r="M693" i="10"/>
  <c r="Z759" i="10" s="1"/>
  <c r="M712" i="10"/>
  <c r="Z778" i="10" s="1"/>
  <c r="M678" i="10"/>
  <c r="Z744" i="10" s="1"/>
  <c r="M711" i="10"/>
  <c r="Z777" i="10" s="1"/>
  <c r="M713" i="10"/>
  <c r="M682" i="10"/>
  <c r="Z748" i="10" s="1"/>
  <c r="M701" i="10"/>
  <c r="Z767" i="10" s="1"/>
  <c r="M675" i="10"/>
  <c r="Z741" i="10" s="1"/>
  <c r="M686" i="10"/>
  <c r="Z752" i="10" s="1"/>
  <c r="M671" i="10"/>
  <c r="Z737" i="10" s="1"/>
  <c r="L715" i="10"/>
  <c r="M668" i="10"/>
  <c r="M690" i="10"/>
  <c r="Z756" i="10" s="1"/>
  <c r="M709" i="10"/>
  <c r="Z775" i="10" s="1"/>
  <c r="M683" i="10"/>
  <c r="Z749" i="10" s="1"/>
  <c r="M694" i="10"/>
  <c r="Z760" i="10" s="1"/>
  <c r="M695" i="10"/>
  <c r="Z761" i="10" s="1"/>
  <c r="M676" i="10"/>
  <c r="Z742" i="10" s="1"/>
  <c r="M698" i="10"/>
  <c r="Z764" i="10" s="1"/>
  <c r="M672" i="10"/>
  <c r="Z738" i="10" s="1"/>
  <c r="M691" i="10"/>
  <c r="Z757" i="10" s="1"/>
  <c r="M702" i="10"/>
  <c r="Z768" i="10" s="1"/>
  <c r="K715" i="10"/>
  <c r="M673" i="10"/>
  <c r="Z739" i="10" s="1"/>
  <c r="M684" i="10"/>
  <c r="Z750" i="10" s="1"/>
  <c r="M706" i="10"/>
  <c r="Z772" i="10" s="1"/>
  <c r="M680" i="10"/>
  <c r="Z746" i="10" s="1"/>
  <c r="M699" i="10"/>
  <c r="Z765" i="10" s="1"/>
  <c r="M710" i="10"/>
  <c r="Z776" i="10" s="1"/>
  <c r="H151" i="9" l="1"/>
  <c r="F215" i="9"/>
  <c r="Y758" i="1"/>
  <c r="I55" i="9"/>
  <c r="G23" i="9"/>
  <c r="H87" i="9"/>
  <c r="Y778" i="1"/>
  <c r="D87" i="9"/>
  <c r="Y751" i="1"/>
  <c r="G55" i="9"/>
  <c r="Y737" i="1"/>
  <c r="I87" i="9"/>
  <c r="Y755" i="1"/>
  <c r="I151" i="9"/>
  <c r="Y742" i="1"/>
  <c r="I23" i="9"/>
  <c r="Y775" i="1"/>
  <c r="G151" i="9"/>
  <c r="Y760" i="1"/>
  <c r="Y735" i="1"/>
  <c r="D119" i="9"/>
  <c r="Y748" i="1"/>
  <c r="Y763" i="1"/>
  <c r="M715" i="1"/>
  <c r="M715" i="10"/>
  <c r="Z815" i="10" s="1"/>
  <c r="Z734" i="10"/>
  <c r="Z814" i="10" s="1"/>
  <c r="Y815" i="1" l="1"/>
</calcChain>
</file>

<file path=xl/sharedStrings.xml><?xml version="1.0" encoding="utf-8"?>
<sst xmlns="http://schemas.openxmlformats.org/spreadsheetml/2006/main" count="4939" uniqueCount="1279">
  <si>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</si>
  <si>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</si>
  <si>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</si>
  <si>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</si>
  <si>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</si>
  <si>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</si>
  <si>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</si>
  <si>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</si>
  <si>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</si>
  <si>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</si>
  <si>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</si>
  <si>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</si>
  <si>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</si>
  <si>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</si>
  <si>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</si>
  <si>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</si>
  <si>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</si>
  <si>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</si>
  <si>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</si>
  <si>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</si>
  <si>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</si>
  <si>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</si>
  <si>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</si>
  <si>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</si>
  <si>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</si>
  <si>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</si>
  <si>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</si>
  <si>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</si>
  <si>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</si>
  <si>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</si>
  <si>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</si>
  <si>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</si>
  <si>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</si>
  <si>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</si>
  <si>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</si>
  <si>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</si>
  <si>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</si>
  <si>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</si>
  <si>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</si>
  <si>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</si>
  <si>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</si>
  <si>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</si>
  <si>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</si>
  <si>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</si>
  <si>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</si>
  <si>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</si>
  <si>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</si>
  <si>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</si>
  <si>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</si>
  <si>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</si>
  <si>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</si>
  <si>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</si>
  <si>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</si>
  <si>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</si>
  <si>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</si>
  <si>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</si>
  <si>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</si>
  <si>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</si>
  <si>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</si>
  <si>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</si>
  <si>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</si>
  <si>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</si>
  <si>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</si>
  <si>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</si>
  <si>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</si>
  <si>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</si>
  <si>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</si>
  <si>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</si>
  <si>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</si>
  <si>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</si>
  <si>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</si>
  <si>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</si>
  <si>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</si>
  <si>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</si>
  <si>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</si>
  <si>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</si>
  <si>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</si>
  <si>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</si>
  <si>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</si>
  <si>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</si>
  <si>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</si>
  <si>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</si>
  <si>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</si>
  <si>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</si>
  <si>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</si>
  <si>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</si>
  <si>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</si>
  <si>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</si>
  <si>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</si>
  <si>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</si>
  <si>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</si>
  <si>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</si>
  <si>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</si>
  <si>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</si>
  <si>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</si>
  <si>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</si>
  <si>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</si>
  <si>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</si>
  <si>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</si>
  <si>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</si>
  <si>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</si>
  <si>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</si>
  <si>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</si>
  <si>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</si>
  <si>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</si>
  <si>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</si>
  <si>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</si>
  <si>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</si>
  <si>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</si>
  <si>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</si>
  <si>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</si>
  <si>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</si>
  <si>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</si>
  <si>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</si>
  <si>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</si>
  <si>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</si>
  <si>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</si>
  <si>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</si>
  <si>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</si>
  <si>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</si>
  <si>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</si>
  <si>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</si>
  <si>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</si>
  <si>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</si>
  <si>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</si>
  <si>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</si>
  <si>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</si>
  <si>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</si>
  <si>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</si>
  <si>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</si>
  <si>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</si>
  <si>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</si>
  <si>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</si>
  <si>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</si>
  <si>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</si>
  <si>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</si>
  <si>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</si>
  <si>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</si>
  <si>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</si>
  <si>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</si>
  <si>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</si>
  <si>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</si>
  <si>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</si>
  <si>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</si>
  <si>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</si>
  <si>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</si>
  <si>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</si>
  <si>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</si>
  <si>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</si>
  <si>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</si>
  <si>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</si>
  <si>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</si>
  <si>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</si>
  <si>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</si>
  <si>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</si>
  <si>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</si>
  <si>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</si>
  <si>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</si>
  <si>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</si>
  <si>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</si>
  <si>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</si>
  <si>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</si>
  <si>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</si>
  <si>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</si>
  <si>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</si>
  <si>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</si>
  <si>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</si>
  <si>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</si>
  <si>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</si>
  <si>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</si>
  <si>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</si>
  <si>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</si>
  <si>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</si>
  <si>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</si>
  <si>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</si>
  <si>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</si>
  <si>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</si>
  <si>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</si>
  <si>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</si>
  <si>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</si>
  <si>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</si>
  <si>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</si>
  <si>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</si>
  <si>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</si>
  <si>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</si>
  <si>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</si>
  <si>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</si>
  <si>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</si>
  <si>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</si>
  <si>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</si>
  <si>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</si>
  <si>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</si>
  <si>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</si>
  <si>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</si>
  <si>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</si>
  <si>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</si>
  <si>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</si>
  <si>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</si>
  <si>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</si>
  <si>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</si>
  <si>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</si>
  <si>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</si>
  <si>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</si>
  <si>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</si>
  <si>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</si>
  <si>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</si>
  <si>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</si>
  <si>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</si>
  <si>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</si>
  <si>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</si>
  <si>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</si>
  <si>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</si>
  <si>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</si>
  <si>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</si>
  <si>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</si>
  <si>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</si>
  <si>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</si>
  <si>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</si>
  <si>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</si>
  <si>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</si>
  <si>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</si>
  <si>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</si>
  <si>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</si>
  <si>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</si>
  <si>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</si>
  <si>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</si>
  <si>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</si>
  <si>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</si>
  <si>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</si>
  <si>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</si>
  <si>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</si>
  <si>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</si>
  <si>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</si>
  <si>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</si>
  <si>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</si>
  <si>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</si>
  <si>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</si>
  <si>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</si>
  <si>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</si>
  <si>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</si>
  <si>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</si>
  <si>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</si>
  <si>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</si>
  <si>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</si>
  <si>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</si>
  <si>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</si>
  <si>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</si>
  <si>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</si>
  <si>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</si>
  <si>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</si>
  <si>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</si>
  <si>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</si>
  <si>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</si>
  <si>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</si>
  <si>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</si>
  <si>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</si>
  <si>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</si>
  <si>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</si>
  <si>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</si>
  <si>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</si>
  <si>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</si>
  <si>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</si>
  <si>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</si>
  <si>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</si>
  <si>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</si>
  <si>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</si>
  <si>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</si>
  <si>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</si>
  <si>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</si>
  <si>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</si>
  <si>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</si>
  <si>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</si>
  <si>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</si>
  <si>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</si>
  <si>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</si>
  <si>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</si>
  <si>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</si>
  <si>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</si>
  <si>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</si>
  <si>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</si>
  <si>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</si>
  <si>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</si>
  <si>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</si>
  <si>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</si>
  <si>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</si>
  <si>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</si>
  <si>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</si>
  <si>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</si>
  <si>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</si>
  <si>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</si>
  <si>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</si>
  <si>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</si>
  <si>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</si>
  <si>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</si>
  <si>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</si>
  <si>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</si>
  <si>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</si>
  <si>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</si>
  <si>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</si>
  <si>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</si>
  <si>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</si>
  <si>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</si>
  <si>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</si>
  <si>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</si>
  <si>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</si>
  <si>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</si>
  <si>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</si>
  <si>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</si>
  <si>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</si>
  <si>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</si>
  <si>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</si>
  <si>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</si>
  <si>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</si>
  <si>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</si>
  <si>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</si>
  <si>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</si>
  <si>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</si>
  <si>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</si>
  <si>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</si>
  <si>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</si>
  <si>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</si>
  <si>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</si>
  <si>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</si>
  <si>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</si>
  <si>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</si>
  <si>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</si>
  <si>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</si>
  <si>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</si>
  <si>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</si>
  <si>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</si>
  <si>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</si>
  <si>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</si>
  <si>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</si>
  <si>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</si>
  <si>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</si>
  <si>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</si>
  <si>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</si>
  <si>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</si>
  <si>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</si>
  <si>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</si>
  <si>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</si>
  <si>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</si>
  <si>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</si>
  <si>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</si>
  <si>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</si>
  <si>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</si>
  <si>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</si>
  <si>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</si>
  <si>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</si>
  <si>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</si>
  <si>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</si>
  <si>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</si>
  <si>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</si>
  <si>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</si>
  <si>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</si>
  <si>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</si>
  <si>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</si>
  <si>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</si>
  <si>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</si>
  <si>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</si>
  <si>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</si>
  <si>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</si>
  <si>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</si>
  <si>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</si>
  <si>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</si>
  <si>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</si>
  <si>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</si>
  <si>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</si>
  <si>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</si>
  <si>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</si>
  <si>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</si>
  <si>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</si>
  <si>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</si>
  <si>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</si>
  <si>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</si>
  <si>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</si>
  <si>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</si>
  <si>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</si>
  <si>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</si>
  <si>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</si>
  <si>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</si>
  <si>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</si>
  <si>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</si>
  <si>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</si>
  <si>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</si>
  <si>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</si>
  <si>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</si>
  <si>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</si>
  <si>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</si>
  <si>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</si>
  <si>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</si>
  <si>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</si>
  <si>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</si>
  <si>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</si>
  <si>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</si>
  <si>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</si>
  <si>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</si>
  <si>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</si>
  <si>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</si>
  <si>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</si>
  <si>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</si>
  <si>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</si>
  <si>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</si>
  <si>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</si>
  <si>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</si>
  <si>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</si>
  <si>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</si>
  <si>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</si>
  <si>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</si>
  <si>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</si>
  <si>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</si>
  <si>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</si>
  <si>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</si>
  <si>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</si>
  <si>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</si>
  <si>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</si>
  <si>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</si>
  <si>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</si>
  <si>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</si>
  <si>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</si>
  <si>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</si>
  <si>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</si>
  <si>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</si>
  <si>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</si>
  <si>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</si>
  <si>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</si>
  <si>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</si>
  <si>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</si>
  <si>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</si>
  <si>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</si>
  <si>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</si>
  <si>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</si>
  <si>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</si>
  <si>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</si>
  <si>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</si>
  <si>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</si>
  <si>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</si>
  <si>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</si>
  <si>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</si>
  <si>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</si>
  <si>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</si>
  <si>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</si>
  <si>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</si>
  <si>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</si>
  <si>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</si>
  <si>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</si>
  <si>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</si>
  <si>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</si>
  <si>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</si>
  <si>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</si>
  <si>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</si>
  <si>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</si>
  <si>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</si>
  <si>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</si>
  <si>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</si>
  <si>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</si>
  <si>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</si>
  <si>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</si>
  <si>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</si>
  <si>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</si>
  <si>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</si>
  <si>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</si>
  <si>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</si>
  <si>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</si>
  <si>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</si>
  <si>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</si>
  <si>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</si>
  <si>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</si>
  <si>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</si>
  <si>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</si>
  <si>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</si>
  <si>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</si>
  <si>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</si>
  <si>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</si>
  <si>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</si>
  <si>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</si>
  <si>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</si>
  <si>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</si>
  <si>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</si>
  <si>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</si>
  <si>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</si>
  <si>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</si>
  <si>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</si>
  <si>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</si>
  <si>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</si>
  <si>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</si>
  <si>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</si>
  <si>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</si>
  <si>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</si>
  <si>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</si>
  <si>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</si>
  <si>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</si>
  <si>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</si>
  <si>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</si>
  <si>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</si>
  <si>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</si>
  <si>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</si>
  <si>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</si>
  <si>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</si>
  <si>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</si>
  <si>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</si>
  <si>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</si>
  <si>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</si>
  <si>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</si>
  <si>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</si>
  <si>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</si>
  <si>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</si>
  <si>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</si>
  <si>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</si>
  <si>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</si>
  <si>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</si>
  <si>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</si>
  <si>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</si>
  <si>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</si>
  <si>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</si>
  <si>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</si>
  <si>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</si>
  <si>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</si>
  <si>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</si>
  <si>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</si>
  <si>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</si>
  <si>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</si>
  <si>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</si>
  <si>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</si>
  <si>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</si>
  <si>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</si>
  <si>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</si>
  <si>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</si>
  <si>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</si>
  <si>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</si>
  <si>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</si>
  <si>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</si>
  <si>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</si>
  <si>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</si>
  <si>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</si>
  <si>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</si>
  <si>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</si>
  <si>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</si>
  <si>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</si>
  <si>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</si>
  <si>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</si>
  <si>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</si>
  <si>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</si>
  <si>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</si>
  <si>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</si>
  <si>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</si>
  <si>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</si>
  <si>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</si>
  <si>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</si>
  <si>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</si>
  <si>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</si>
  <si>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</si>
  <si>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</si>
  <si>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</si>
  <si>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</si>
  <si>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</si>
  <si>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</si>
  <si>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</si>
  <si>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</si>
  <si>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</si>
  <si>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</si>
  <si>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</si>
  <si>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</si>
  <si>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</si>
  <si>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</si>
  <si>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</si>
  <si>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</si>
  <si>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</si>
  <si>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</si>
  <si>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</si>
  <si>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</si>
  <si>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</si>
  <si>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</si>
  <si>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</si>
  <si>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</si>
  <si>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</si>
  <si>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</si>
  <si>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</si>
  <si>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</si>
  <si>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</si>
  <si>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</si>
  <si>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</si>
  <si>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</si>
  <si>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</si>
  <si>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</si>
  <si>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</si>
  <si>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</si>
  <si>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</si>
  <si>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</si>
  <si>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</si>
  <si>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</si>
  <si>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</si>
  <si>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</si>
  <si>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</si>
  <si>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</si>
  <si>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</si>
  <si>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</si>
  <si>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</si>
  <si>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</si>
  <si>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</si>
  <si>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</si>
  <si>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</si>
  <si>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</si>
  <si>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</si>
  <si>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</si>
  <si>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</si>
  <si>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</si>
  <si>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</si>
  <si>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</si>
  <si>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</si>
  <si>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</si>
  <si>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</si>
  <si>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</si>
  <si>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</si>
  <si>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</si>
  <si>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</si>
  <si>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</si>
  <si>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</si>
  <si>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</si>
  <si>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</si>
  <si>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</si>
  <si>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</si>
  <si>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</si>
  <si>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</si>
  <si>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</si>
  <si>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</si>
  <si>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</si>
  <si>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</si>
  <si>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</si>
  <si>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</si>
  <si>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</si>
  <si>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</si>
  <si>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</si>
  <si>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</si>
  <si>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</si>
  <si>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</si>
  <si>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</si>
  <si>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</si>
  <si>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</si>
  <si>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</si>
  <si>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</si>
  <si>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</si>
  <si>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</si>
  <si>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</si>
  <si>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</si>
  <si>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</si>
  <si>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</si>
  <si>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</si>
  <si>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</si>
  <si>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</si>
  <si>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</si>
  <si>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</si>
  <si>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</si>
  <si>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</si>
  <si>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</si>
  <si>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</si>
  <si>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</si>
  <si>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</si>
  <si>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</si>
  <si>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</si>
  <si>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</si>
  <si>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</si>
  <si>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</si>
  <si>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</si>
  <si>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</si>
  <si>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</si>
  <si>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</si>
  <si>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</si>
  <si>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</si>
  <si>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</si>
  <si>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</si>
  <si>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</si>
  <si>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</si>
  <si>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</si>
  <si>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</si>
  <si>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</si>
  <si>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</si>
  <si>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</si>
  <si>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</si>
  <si>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</si>
  <si>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</si>
  <si>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</si>
  <si>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</si>
  <si>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</si>
  <si>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</si>
  <si>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</si>
  <si>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</si>
  <si>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</si>
  <si>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</si>
  <si>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</si>
  <si>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</si>
  <si>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</si>
  <si>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</si>
  <si>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</si>
  <si>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</si>
  <si>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</si>
  <si>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</si>
  <si>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</si>
  <si>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</si>
  <si>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</si>
  <si>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</si>
  <si>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</si>
  <si>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</si>
  <si>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</si>
  <si>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</si>
  <si>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</si>
  <si>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</si>
  <si>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</si>
  <si>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</si>
  <si>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</si>
  <si>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</si>
  <si>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</si>
  <si>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</si>
  <si>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</si>
  <si>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</si>
  <si>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</si>
  <si>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</si>
  <si>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</si>
  <si>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</si>
  <si>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</si>
  <si>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</si>
  <si>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</si>
  <si>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</si>
  <si>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</si>
  <si>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</si>
  <si>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</si>
  <si>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</si>
  <si>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</si>
  <si>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</si>
  <si>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</si>
  <si>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</si>
  <si>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</si>
  <si>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</si>
  <si>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</si>
  <si>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</si>
  <si>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</si>
  <si>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</si>
  <si>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</si>
  <si>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</si>
  <si>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</si>
  <si>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</si>
  <si>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</si>
  <si>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</si>
  <si>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</si>
  <si>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</si>
  <si>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</si>
  <si>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</si>
  <si>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</si>
  <si>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</si>
  <si>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</si>
  <si>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</si>
  <si>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</si>
  <si>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</si>
  <si>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</si>
  <si>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</si>
  <si>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</si>
  <si>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</si>
  <si>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</si>
  <si>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</si>
  <si>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</si>
  <si>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</si>
  <si>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</si>
  <si>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</si>
  <si>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</si>
  <si>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</si>
  <si>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</si>
  <si>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</si>
  <si>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</si>
  <si>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</si>
  <si>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</si>
  <si>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</si>
  <si>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</si>
  <si>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</si>
  <si>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</si>
  <si>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</si>
  <si>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</si>
  <si>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</si>
  <si>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</si>
  <si>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</si>
  <si>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</si>
  <si>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</si>
  <si>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</si>
  <si>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</si>
  <si>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</si>
  <si>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</si>
  <si>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</si>
  <si>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</si>
  <si>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</si>
  <si>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</si>
  <si>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</si>
  <si>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</si>
  <si>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</si>
  <si>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</si>
  <si>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</si>
  <si>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</si>
  <si>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</si>
  <si>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</si>
  <si>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</si>
  <si>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</si>
  <si>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</si>
  <si>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</si>
  <si>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</si>
  <si>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</si>
  <si>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</si>
  <si>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</si>
  <si>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</si>
  <si>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</si>
  <si>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</si>
  <si>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</si>
  <si>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</si>
  <si>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</si>
  <si>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</si>
  <si>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</si>
  <si>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</si>
  <si>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</si>
  <si>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</si>
  <si>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</si>
  <si>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</si>
  <si>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</si>
  <si>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</si>
  <si>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</si>
  <si>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</si>
  <si>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</si>
  <si>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</si>
  <si>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</si>
  <si>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</si>
  <si>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</si>
  <si>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</si>
  <si>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</si>
  <si>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</si>
  <si>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</si>
  <si>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</si>
  <si>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</si>
  <si>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</si>
  <si>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</si>
  <si>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</si>
  <si>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</si>
  <si>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</si>
  <si>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</si>
  <si>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</si>
  <si>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</si>
  <si>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</si>
  <si>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</si>
  <si>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</si>
  <si>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</si>
  <si>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</si>
  <si>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</si>
  <si>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</si>
  <si>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</si>
  <si>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</si>
  <si>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</si>
  <si>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</si>
  <si>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</si>
  <si>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</si>
  <si>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</si>
  <si>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</si>
  <si>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</si>
  <si>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</si>
  <si>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</si>
  <si>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</si>
  <si>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</si>
  <si>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</si>
  <si>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</si>
  <si>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</si>
  <si>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</si>
  <si>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</si>
  <si>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</si>
  <si>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</si>
  <si>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</si>
  <si>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</si>
  <si>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</si>
  <si>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</si>
  <si>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</si>
  <si>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</si>
  <si>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</si>
  <si>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</si>
  <si>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</si>
  <si>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</si>
  <si>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</si>
  <si>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</si>
  <si>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</si>
  <si>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</si>
  <si>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</si>
  <si>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</si>
  <si>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</si>
  <si>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</si>
  <si>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</si>
  <si>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</si>
  <si>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</si>
  <si>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</si>
  <si>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</si>
  <si>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</si>
  <si>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</si>
  <si>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</si>
  <si>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</si>
  <si>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</si>
  <si>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</si>
  <si>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</si>
  <si>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</si>
  <si>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</si>
  <si>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</si>
  <si>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</si>
  <si>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</si>
  <si>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</si>
  <si>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</si>
  <si>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</si>
  <si>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</si>
  <si>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</si>
  <si>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</si>
  <si>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</si>
  <si>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</si>
  <si>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</si>
  <si>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</si>
  <si>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</si>
  <si>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</si>
  <si>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</si>
  <si>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</si>
  <si>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</si>
  <si>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</si>
  <si>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</si>
  <si>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</si>
  <si>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</si>
  <si>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</si>
  <si>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</si>
  <si>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</si>
  <si>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</si>
  <si>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</si>
  <si>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</si>
  <si>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</si>
  <si>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</si>
  <si>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</si>
  <si>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</si>
  <si>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</si>
  <si>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</si>
  <si>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</si>
  <si>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</si>
  <si>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</si>
  <si>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</si>
  <si>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</si>
  <si>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</si>
  <si>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</si>
  <si>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</si>
  <si>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</si>
  <si>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</si>
  <si>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</si>
  <si>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</si>
  <si>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</si>
  <si>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</si>
  <si>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</si>
  <si>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</si>
  <si>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</si>
  <si>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</si>
  <si>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</si>
  <si>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</si>
  <si>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</si>
  <si>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</si>
  <si>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</si>
  <si>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</si>
  <si>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</si>
  <si>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</si>
  <si>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</si>
  <si>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</si>
  <si>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</si>
  <si>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</si>
  <si>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</si>
  <si>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</si>
  <si>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</si>
  <si>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</si>
  <si>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</si>
  <si>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</si>
  <si>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</si>
  <si>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</si>
  <si>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</si>
  <si>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</si>
  <si>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</si>
  <si>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</si>
  <si>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</si>
  <si>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</si>
  <si>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</si>
  <si>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</si>
  <si>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</si>
  <si>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</si>
  <si>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</si>
  <si>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</si>
  <si>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</si>
  <si>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</si>
  <si>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</si>
  <si>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</si>
  <si>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</si>
  <si>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</si>
  <si>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</si>
  <si>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</si>
  <si>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</si>
  <si>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</si>
  <si>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</si>
  <si>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</si>
  <si>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</si>
  <si>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</si>
  <si>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</si>
  <si>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</si>
  <si>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</si>
  <si>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</si>
  <si>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</si>
  <si>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</si>
  <si>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</si>
  <si>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</si>
  <si>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</si>
  <si>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</si>
  <si>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</si>
  <si>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</si>
  <si>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</si>
  <si>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</si>
  <si>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</si>
  <si>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</si>
  <si>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</si>
  <si>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</si>
  <si>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</si>
  <si>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</si>
  <si>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</si>
  <si>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</si>
  <si>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</si>
  <si>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</si>
  <si>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</si>
  <si>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</si>
  <si>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</si>
  <si>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</si>
  <si>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</si>
  <si>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</si>
  <si>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</si>
  <si>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</si>
  <si>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</si>
  <si>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</si>
  <si>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</si>
  <si>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</si>
  <si>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</si>
  <si>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</si>
  <si>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</si>
  <si>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</si>
  <si>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</si>
  <si>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</si>
  <si>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</si>
  <si>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</si>
  <si>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</si>
  <si>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</si>
  <si>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</si>
  <si>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</si>
  <si>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</si>
  <si>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</si>
  <si>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</si>
  <si>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</si>
  <si>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</si>
  <si>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</si>
  <si>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</si>
  <si>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</si>
  <si>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</si>
  <si>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</si>
  <si>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</si>
  <si>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</si>
  <si>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</si>
  <si>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</si>
  <si>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</si>
  <si>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</si>
  <si>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</si>
  <si>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</si>
  <si>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</si>
  <si>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</si>
  <si>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</si>
  <si>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</si>
  <si>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</si>
  <si>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</si>
  <si>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</si>
  <si>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</si>
  <si>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</si>
  <si>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</si>
  <si>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</si>
  <si>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</si>
  <si>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</si>
  <si>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</si>
  <si>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</si>
  <si>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</si>
  <si>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</si>
  <si>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</si>
  <si>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</si>
  <si>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</si>
  <si>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</si>
  <si>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</si>
  <si>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</si>
  <si>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</si>
  <si>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</si>
  <si>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</si>
  <si>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</si>
  <si>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</si>
  <si>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</si>
  <si>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</si>
  <si>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</si>
  <si>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</si>
  <si>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</si>
  <si>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</si>
  <si>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</si>
  <si>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</si>
  <si>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</si>
  <si>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</si>
  <si>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</si>
  <si>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</si>
  <si>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</si>
  <si>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</si>
  <si>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</si>
  <si>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</si>
  <si>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</si>
  <si>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</si>
  <si>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</si>
  <si>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</si>
  <si>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</si>
  <si>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</si>
  <si>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</si>
  <si>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</si>
  <si>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</si>
  <si>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</si>
  <si>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</si>
  <si>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</si>
  <si>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</si>
  <si>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</si>
  <si>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</si>
  <si>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</si>
  <si>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</si>
  <si>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</si>
  <si>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</si>
  <si>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</si>
  <si>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</si>
  <si>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</si>
  <si>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</si>
  <si>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</si>
  <si>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</si>
  <si>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</si>
  <si>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</si>
  <si>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</si>
  <si>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</si>
  <si>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</si>
  <si>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</si>
  <si>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</si>
  <si>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</si>
  <si>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</si>
  <si>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</si>
  <si>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</si>
  <si>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</si>
  <si>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</si>
  <si>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</si>
  <si>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</si>
  <si>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</si>
  <si>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</si>
  <si>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</si>
  <si>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</si>
  <si>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</si>
  <si>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</si>
  <si>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</si>
  <si>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</si>
  <si>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</si>
  <si>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</si>
  <si>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</si>
  <si>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</si>
  <si>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</si>
  <si>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</si>
  <si>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</si>
  <si>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</si>
  <si>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</si>
  <si>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</si>
  <si>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</si>
  <si>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</si>
  <si>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</si>
  <si>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</si>
  <si>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</si>
  <si>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</si>
  <si>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</si>
  <si>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</si>
  <si>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</si>
  <si>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</si>
  <si>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</si>
  <si>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</si>
  <si>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</si>
  <si>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</si>
  <si>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</si>
  <si>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</si>
  <si>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</si>
  <si>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</si>
  <si>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</si>
  <si>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</si>
  <si>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</si>
  <si>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</si>
  <si>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</si>
  <si>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</si>
  <si>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</si>
  <si>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</si>
  <si>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</si>
  <si>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</si>
  <si>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</si>
  <si>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</si>
  <si>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</si>
  <si>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</si>
  <si>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</si>
  <si>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</si>
  <si>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</si>
  <si>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</si>
  <si>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</si>
  <si>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</si>
  <si>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</si>
  <si>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</si>
  <si>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</si>
  <si>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</si>
  <si>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</si>
  <si>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</si>
  <si>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</si>
  <si>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</si>
  <si>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</si>
  <si>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</si>
  <si>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</si>
  <si>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</si>
  <si>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</si>
  <si>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</si>
  <si>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</si>
  <si>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</si>
  <si>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</si>
  <si>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</si>
  <si>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</si>
  <si>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</si>
  <si>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</si>
  <si>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</si>
  <si>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</si>
  <si>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</si>
  <si>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</si>
  <si>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</si>
  <si>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</si>
  <si>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</si>
  <si>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</si>
  <si>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</si>
  <si>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</si>
  <si>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</si>
  <si>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</si>
  <si>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</si>
  <si>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</si>
  <si>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</si>
  <si>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</si>
  <si>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</si>
  <si>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</si>
  <si>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</si>
  <si>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</si>
  <si>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</si>
  <si>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</si>
  <si>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</si>
  <si>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</si>
  <si>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</si>
  <si>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</si>
  <si>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</si>
  <si>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</si>
  <si>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</si>
  <si>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</si>
  <si>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</si>
  <si>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</si>
  <si>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</si>
  <si>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</si>
  <si>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</si>
  <si>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</si>
  <si>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</si>
  <si>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</si>
  <si>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</si>
  <si>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</si>
  <si>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</si>
  <si>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</si>
  <si>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</si>
  <si>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085</t>
  </si>
  <si>
    <t>Jefferson County Public Hospital District No 2</t>
  </si>
  <si>
    <t>834 Sheridan Street</t>
  </si>
  <si>
    <t>Port Townsend, WA 98368</t>
  </si>
  <si>
    <t>Jefferson County</t>
  </si>
  <si>
    <t>Mike Glenn</t>
  </si>
  <si>
    <t>Tyler Freeman</t>
  </si>
  <si>
    <t>Jill Rienstra</t>
  </si>
  <si>
    <t>360-385-2200</t>
  </si>
  <si>
    <t>360-379-2242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</si>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</sst>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#,##0.0_);\(#,##0.0\)"/>
    <numFmt numFmtId="169" formatCode="General_)"/>
    <numFmt numFmtId="170" formatCode="&quot; &quot;#,##0.00&quot; &quot;;&quot; (&quot;#,##0.00&quot;)&quot;;&quot; -&quot;#&quot; &quot;;&quot; &quot;@&quot; &quot;"/>
  </numFmts>
  <fonts count="10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Helv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ourier"/>
    </font>
    <font>
      <sz val="10"/>
      <name val="Arial"/>
    </font>
    <font>
      <sz val="10"/>
      <color indexed="12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sz val="18"/>
      <name val="Arial"/>
    </font>
    <font>
      <b/>
      <sz val="13"/>
      <color indexed="62"/>
      <name val="Calibri"/>
      <family val="2"/>
    </font>
    <font>
      <sz val="12"/>
      <name val="Arial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i/>
      <sz val="1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color indexed="12"/>
      <name val="Times New Roman"/>
      <family val="1"/>
    </font>
    <font>
      <sz val="11"/>
      <color indexed="12"/>
      <name val="Times New Roman"/>
      <family val="1"/>
    </font>
    <font>
      <sz val="8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Times New Roman"/>
      <family val="1"/>
    </font>
    <font>
      <sz val="11"/>
      <name val="Times New Roman"/>
    </font>
    <font>
      <sz val="8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7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charset val="1"/>
    </font>
  </fonts>
  <fills count="6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</borders>
  <cellStyleXfs count="4760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3" applyNumberFormat="0" applyFill="0" applyAlignment="0" applyProtection="0"/>
    <xf numFmtId="0" fontId="20" fillId="0" borderId="34" applyNumberFormat="0" applyFill="0" applyAlignment="0" applyProtection="0"/>
    <xf numFmtId="0" fontId="21" fillId="0" borderId="35" applyNumberFormat="0" applyFill="0" applyAlignment="0" applyProtection="0"/>
    <xf numFmtId="0" fontId="21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36" applyNumberFormat="0" applyAlignment="0" applyProtection="0"/>
    <xf numFmtId="0" fontId="26" fillId="13" borderId="37" applyNumberFormat="0" applyAlignment="0" applyProtection="0"/>
    <xf numFmtId="0" fontId="27" fillId="13" borderId="36" applyNumberFormat="0" applyAlignment="0" applyProtection="0"/>
    <xf numFmtId="0" fontId="28" fillId="0" borderId="38" applyNumberFormat="0" applyFill="0" applyAlignment="0" applyProtection="0"/>
    <xf numFmtId="0" fontId="29" fillId="14" borderId="3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1" applyNumberFormat="0" applyFill="0" applyAlignment="0" applyProtection="0"/>
    <xf numFmtId="0" fontId="3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3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5" borderId="40" applyNumberFormat="0" applyFont="0" applyAlignment="0" applyProtection="0"/>
    <xf numFmtId="0" fontId="34" fillId="0" borderId="0"/>
    <xf numFmtId="43" fontId="3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11" borderId="0" applyNumberFormat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3" fillId="19" borderId="0" applyNumberFormat="0" applyBorder="0" applyAlignment="0" applyProtection="0"/>
    <xf numFmtId="44" fontId="3" fillId="0" borderId="0" applyFont="0" applyFill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2" fillId="15" borderId="40" applyNumberFormat="0" applyFon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3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22" borderId="0" applyNumberFormat="0" applyBorder="0" applyAlignment="0" applyProtection="0"/>
    <xf numFmtId="0" fontId="2" fillId="47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50" borderId="0" applyNumberFormat="0" applyBorder="0" applyAlignment="0" applyProtection="0"/>
    <xf numFmtId="0" fontId="33" fillId="56" borderId="0" applyNumberFormat="0" applyBorder="0" applyAlignment="0" applyProtection="0"/>
    <xf numFmtId="0" fontId="23" fillId="41" borderId="0" applyNumberFormat="0" applyBorder="0" applyAlignment="0" applyProtection="0"/>
    <xf numFmtId="0" fontId="39" fillId="44" borderId="36" applyNumberFormat="0" applyAlignment="0" applyProtection="0"/>
    <xf numFmtId="44" fontId="38" fillId="0" borderId="0" applyFont="0" applyFill="0" applyBorder="0" applyAlignment="0" applyProtection="0"/>
    <xf numFmtId="0" fontId="22" fillId="42" borderId="0" applyNumberFormat="0" applyBorder="0" applyAlignment="0" applyProtection="0"/>
    <xf numFmtId="0" fontId="40" fillId="0" borderId="42" applyNumberFormat="0" applyFill="0" applyAlignment="0" applyProtection="0"/>
    <xf numFmtId="0" fontId="41" fillId="0" borderId="43" applyNumberFormat="0" applyFill="0" applyAlignment="0" applyProtection="0"/>
    <xf numFmtId="0" fontId="42" fillId="0" borderId="44" applyNumberFormat="0" applyFill="0" applyAlignment="0" applyProtection="0"/>
    <xf numFmtId="0" fontId="42" fillId="0" borderId="0" applyNumberFormat="0" applyFill="0" applyBorder="0" applyAlignment="0" applyProtection="0"/>
    <xf numFmtId="0" fontId="25" fillId="44" borderId="36" applyNumberFormat="0" applyAlignment="0" applyProtection="0"/>
    <xf numFmtId="0" fontId="43" fillId="0" borderId="45" applyNumberFormat="0" applyFill="0" applyAlignment="0" applyProtection="0"/>
    <xf numFmtId="0" fontId="44" fillId="11" borderId="0" applyNumberFormat="0" applyBorder="0" applyAlignment="0" applyProtection="0"/>
    <xf numFmtId="0" fontId="38" fillId="15" borderId="40" applyNumberFormat="0" applyFont="0" applyAlignment="0" applyProtection="0"/>
    <xf numFmtId="0" fontId="26" fillId="44" borderId="37" applyNumberFormat="0" applyAlignment="0" applyProtection="0"/>
    <xf numFmtId="0" fontId="45" fillId="0" borderId="0" applyNumberFormat="0" applyFill="0" applyBorder="0" applyAlignment="0" applyProtection="0"/>
    <xf numFmtId="0" fontId="32" fillId="0" borderId="46" applyNumberFormat="0" applyFill="0" applyAlignment="0" applyProtection="0"/>
    <xf numFmtId="0" fontId="46" fillId="0" borderId="0" applyBorder="0"/>
    <xf numFmtId="9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6" fillId="0" borderId="0" applyBorder="0"/>
    <xf numFmtId="9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37" fontId="48" fillId="0" borderId="0"/>
    <xf numFmtId="0" fontId="3" fillId="0" borderId="0"/>
    <xf numFmtId="0" fontId="1" fillId="0" borderId="0"/>
    <xf numFmtId="0" fontId="3" fillId="0" borderId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57" borderId="0" applyNumberFormat="0" applyBorder="0" applyAlignment="0" applyProtection="0"/>
    <xf numFmtId="0" fontId="38" fillId="59" borderId="0" applyNumberFormat="0" applyBorder="0" applyAlignment="0" applyProtection="0"/>
    <xf numFmtId="0" fontId="38" fillId="46" borderId="0" applyNumberFormat="0" applyBorder="0" applyAlignment="0" applyProtection="0"/>
    <xf numFmtId="0" fontId="38" fillId="60" borderId="0" applyNumberFormat="0" applyBorder="0" applyAlignment="0" applyProtection="0"/>
    <xf numFmtId="0" fontId="38" fillId="41" borderId="0" applyNumberFormat="0" applyBorder="0" applyAlignment="0" applyProtection="0"/>
    <xf numFmtId="0" fontId="38" fillId="59" borderId="0" applyNumberFormat="0" applyBorder="0" applyAlignment="0" applyProtection="0"/>
    <xf numFmtId="0" fontId="38" fillId="57" borderId="0" applyNumberFormat="0" applyBorder="0" applyAlignment="0" applyProtection="0"/>
    <xf numFmtId="0" fontId="51" fillId="59" borderId="0" applyNumberFormat="0" applyBorder="0" applyAlignment="0" applyProtection="0"/>
    <xf numFmtId="0" fontId="51" fillId="56" borderId="0" applyNumberFormat="0" applyBorder="0" applyAlignment="0" applyProtection="0"/>
    <xf numFmtId="0" fontId="51" fillId="48" borderId="0" applyNumberFormat="0" applyBorder="0" applyAlignment="0" applyProtection="0"/>
    <xf numFmtId="0" fontId="51" fillId="41" borderId="0" applyNumberFormat="0" applyBorder="0" applyAlignment="0" applyProtection="0"/>
    <xf numFmtId="0" fontId="51" fillId="59" borderId="0" applyNumberFormat="0" applyBorder="0" applyAlignment="0" applyProtection="0"/>
    <xf numFmtId="0" fontId="51" fillId="46" borderId="0" applyNumberFormat="0" applyBorder="0" applyAlignment="0" applyProtection="0"/>
    <xf numFmtId="0" fontId="51" fillId="61" borderId="0" applyNumberFormat="0" applyBorder="0" applyAlignment="0" applyProtection="0"/>
    <xf numFmtId="0" fontId="51" fillId="56" borderId="0" applyNumberFormat="0" applyBorder="0" applyAlignment="0" applyProtection="0"/>
    <xf numFmtId="0" fontId="51" fillId="48" borderId="0" applyNumberFormat="0" applyBorder="0" applyAlignment="0" applyProtection="0"/>
    <xf numFmtId="0" fontId="51" fillId="62" borderId="0" applyNumberFormat="0" applyBorder="0" applyAlignment="0" applyProtection="0"/>
    <xf numFmtId="0" fontId="51" fillId="51" borderId="0" applyNumberFormat="0" applyBorder="0" applyAlignment="0" applyProtection="0"/>
    <xf numFmtId="0" fontId="51" fillId="54" borderId="0" applyNumberFormat="0" applyBorder="0" applyAlignment="0" applyProtection="0"/>
    <xf numFmtId="0" fontId="52" fillId="43" borderId="0" applyNumberFormat="0" applyBorder="0" applyAlignment="0" applyProtection="0"/>
    <xf numFmtId="0" fontId="53" fillId="63" borderId="47" applyNumberFormat="0" applyAlignment="0" applyProtection="0"/>
    <xf numFmtId="0" fontId="54" fillId="64" borderId="48" applyNumberFormat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>
      <alignment vertical="top"/>
    </xf>
    <xf numFmtId="3" fontId="49" fillId="0" borderId="0" applyFont="0" applyFill="0" applyBorder="0" applyAlignment="0" applyProtection="0">
      <alignment vertical="top"/>
    </xf>
    <xf numFmtId="3" fontId="3" fillId="0" borderId="0" applyFont="0" applyFill="0" applyBorder="0" applyAlignment="0" applyProtection="0">
      <alignment vertical="top"/>
    </xf>
    <xf numFmtId="5" fontId="3" fillId="0" borderId="0" applyFont="0" applyFill="0" applyBorder="0" applyAlignment="0" applyProtection="0">
      <alignment vertical="top"/>
    </xf>
    <xf numFmtId="5" fontId="49" fillId="0" borderId="0" applyFont="0" applyFill="0" applyBorder="0" applyAlignment="0" applyProtection="0">
      <alignment vertical="top"/>
    </xf>
    <xf numFmtId="5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49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55" fillId="0" borderId="0" applyNumberFormat="0" applyFill="0" applyBorder="0" applyAlignment="0" applyProtection="0"/>
    <xf numFmtId="2" fontId="3" fillId="0" borderId="0" applyFont="0" applyFill="0" applyBorder="0" applyAlignment="0" applyProtection="0">
      <alignment vertical="top"/>
    </xf>
    <xf numFmtId="2" fontId="49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56" fillId="59" borderId="0" applyNumberFormat="0" applyBorder="0" applyAlignment="0" applyProtection="0"/>
    <xf numFmtId="0" fontId="57" fillId="0" borderId="49" applyNumberFormat="0" applyFill="0" applyAlignment="0" applyProtection="0"/>
    <xf numFmtId="0" fontId="58" fillId="0" borderId="0" applyNumberFormat="0" applyFill="0" applyBorder="0" applyAlignment="0" applyProtection="0">
      <alignment vertical="top"/>
    </xf>
    <xf numFmtId="0" fontId="59" fillId="0" borderId="0" applyNumberFormat="0" applyFill="0" applyBorder="0" applyAlignment="0" applyProtection="0">
      <alignment vertical="top"/>
    </xf>
    <xf numFmtId="0" fontId="58" fillId="0" borderId="0" applyNumberFormat="0" applyFill="0" applyBorder="0" applyAlignment="0" applyProtection="0">
      <alignment vertical="top"/>
    </xf>
    <xf numFmtId="0" fontId="60" fillId="0" borderId="50" applyNumberFormat="0" applyFill="0" applyAlignment="0" applyProtection="0"/>
    <xf numFmtId="0" fontId="7" fillId="0" borderId="0" applyNumberFormat="0" applyFill="0" applyBorder="0" applyAlignment="0" applyProtection="0">
      <alignment vertical="top"/>
    </xf>
    <xf numFmtId="0" fontId="61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62" fillId="0" borderId="51" applyNumberFormat="0" applyFill="0" applyAlignment="0" applyProtection="0"/>
    <xf numFmtId="0" fontId="62" fillId="0" borderId="0" applyNumberFormat="0" applyFill="0" applyBorder="0" applyAlignment="0" applyProtection="0"/>
    <xf numFmtId="0" fontId="63" fillId="60" borderId="47" applyNumberFormat="0" applyAlignment="0" applyProtection="0"/>
    <xf numFmtId="0" fontId="64" fillId="0" borderId="52" applyNumberFormat="0" applyFill="0" applyAlignment="0" applyProtection="0"/>
    <xf numFmtId="0" fontId="65" fillId="60" borderId="0" applyNumberFormat="0" applyBorder="0" applyAlignment="0" applyProtection="0"/>
    <xf numFmtId="0" fontId="1" fillId="0" borderId="0"/>
    <xf numFmtId="37" fontId="8" fillId="0" borderId="0"/>
    <xf numFmtId="0" fontId="8" fillId="57" borderId="53" applyNumberFormat="0" applyFont="0" applyAlignment="0" applyProtection="0"/>
    <xf numFmtId="0" fontId="3" fillId="57" borderId="53" applyNumberFormat="0" applyFont="0" applyAlignment="0" applyProtection="0"/>
    <xf numFmtId="0" fontId="49" fillId="57" borderId="53" applyNumberFormat="0" applyFont="0" applyAlignment="0" applyProtection="0"/>
    <xf numFmtId="0" fontId="1" fillId="15" borderId="40" applyNumberFormat="0" applyFont="0" applyAlignment="0" applyProtection="0"/>
    <xf numFmtId="0" fontId="66" fillId="63" borderId="54" applyNumberFormat="0" applyAlignment="0" applyProtection="0"/>
    <xf numFmtId="9" fontId="1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55" applyNumberFormat="0" applyFill="0" applyAlignment="0" applyProtection="0"/>
    <xf numFmtId="0" fontId="3" fillId="0" borderId="56" applyNumberFormat="0" applyFont="0" applyFill="0" applyAlignment="0" applyProtection="0">
      <alignment vertical="top"/>
    </xf>
    <xf numFmtId="0" fontId="49" fillId="0" borderId="56" applyNumberFormat="0" applyFont="0" applyFill="0" applyAlignment="0" applyProtection="0">
      <alignment vertical="top"/>
    </xf>
    <xf numFmtId="0" fontId="3" fillId="0" borderId="56" applyNumberFormat="0" applyFont="0" applyFill="0" applyAlignment="0" applyProtection="0">
      <alignment vertical="top"/>
    </xf>
    <xf numFmtId="0" fontId="64" fillId="0" borderId="0" applyNumberFormat="0" applyFill="0" applyBorder="0" applyAlignment="0" applyProtection="0"/>
    <xf numFmtId="0" fontId="49" fillId="0" borderId="0"/>
    <xf numFmtId="0" fontId="3" fillId="57" borderId="53" applyNumberFormat="0" applyFont="0" applyAlignment="0" applyProtection="0"/>
    <xf numFmtId="44" fontId="3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7" fillId="0" borderId="49" applyNumberFormat="0" applyFill="0" applyAlignment="0" applyProtection="0"/>
    <xf numFmtId="0" fontId="60" fillId="0" borderId="50" applyNumberFormat="0" applyFill="0" applyAlignment="0" applyProtection="0"/>
    <xf numFmtId="37" fontId="8" fillId="0" borderId="0"/>
    <xf numFmtId="0" fontId="8" fillId="57" borderId="53" applyNumberFormat="0" applyFont="0" applyAlignment="0" applyProtection="0"/>
    <xf numFmtId="0" fontId="68" fillId="0" borderId="55" applyNumberFormat="0" applyFill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" fillId="57" borderId="53" applyNumberFormat="0" applyFont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9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69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37" fontId="8" fillId="0" borderId="0"/>
    <xf numFmtId="0" fontId="49" fillId="0" borderId="0"/>
    <xf numFmtId="43" fontId="49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37" fontId="4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9" fillId="0" borderId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71" fillId="0" borderId="0" applyBorder="0">
      <alignment horizontal="centerContinuous" vertical="center"/>
    </xf>
    <xf numFmtId="0" fontId="72" fillId="0" borderId="0" applyBorder="0">
      <alignment horizontal="centerContinuous" vertical="center"/>
    </xf>
    <xf numFmtId="0" fontId="73" fillId="0" borderId="0" applyBorder="0">
      <alignment horizontal="centerContinuous" vertical="center"/>
    </xf>
    <xf numFmtId="0" fontId="74" fillId="0" borderId="0" applyBorder="0">
      <alignment horizontal="centerContinuous" vertical="center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3" fillId="0" borderId="0" applyFont="0" applyFill="0" applyBorder="0" applyAlignment="0" applyProtection="0"/>
    <xf numFmtId="37" fontId="75" fillId="0" borderId="0" applyBorder="0">
      <alignment horizontal="right" vertical="center"/>
    </xf>
    <xf numFmtId="37" fontId="76" fillId="0" borderId="0" applyBorder="0">
      <alignment horizontal="right" vertical="center"/>
    </xf>
    <xf numFmtId="37" fontId="77" fillId="0" borderId="0" applyBorder="0">
      <alignment horizontal="right" vertical="center"/>
    </xf>
    <xf numFmtId="37" fontId="78" fillId="0" borderId="0" applyBorder="0">
      <alignment horizontal="right"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36" fillId="11" borderId="0" applyNumberFormat="0" applyBorder="0" applyAlignment="0" applyProtection="0"/>
    <xf numFmtId="0" fontId="79" fillId="0" borderId="0" applyBorder="0">
      <alignment vertical="center"/>
    </xf>
    <xf numFmtId="0" fontId="80" fillId="0" borderId="0" applyBorder="0">
      <alignment vertical="center"/>
    </xf>
    <xf numFmtId="0" fontId="83" fillId="0" borderId="0" applyBorder="0">
      <alignment vertical="center"/>
    </xf>
    <xf numFmtId="0" fontId="81" fillId="0" borderId="0" applyBorder="0">
      <alignment vertical="center"/>
    </xf>
    <xf numFmtId="0" fontId="82" fillId="0" borderId="0" applyBorder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6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37" fontId="79" fillId="0" borderId="0" applyBorder="0">
      <alignment horizontal="right" vertical="center"/>
    </xf>
    <xf numFmtId="37" fontId="83" fillId="0" borderId="0" applyBorder="0">
      <alignment horizontal="right" vertical="center"/>
    </xf>
    <xf numFmtId="37" fontId="81" fillId="0" borderId="0" applyBorder="0">
      <alignment horizontal="right" vertical="center"/>
    </xf>
    <xf numFmtId="37" fontId="82" fillId="0" borderId="0" applyBorder="0">
      <alignment horizontal="right" vertical="center"/>
    </xf>
    <xf numFmtId="0" fontId="72" fillId="0" borderId="0" applyBorder="0">
      <alignment vertical="center"/>
    </xf>
    <xf numFmtId="9" fontId="49" fillId="0" borderId="0" applyFont="0" applyFill="0" applyBorder="0" applyAlignment="0" applyProtection="0"/>
    <xf numFmtId="167" fontId="79" fillId="0" borderId="0" applyBorder="0">
      <alignment horizontal="right" vertical="center"/>
    </xf>
    <xf numFmtId="39" fontId="79" fillId="0" borderId="0" applyBorder="0">
      <alignment horizontal="right" vertical="center"/>
    </xf>
    <xf numFmtId="168" fontId="80" fillId="0" borderId="0" applyFill="0" applyBorder="0" applyProtection="0">
      <alignment horizontal="right" vertical="center"/>
    </xf>
    <xf numFmtId="168" fontId="83" fillId="0" borderId="0" applyFill="0" applyBorder="0" applyProtection="0">
      <alignment horizontal="right" vertical="center"/>
    </xf>
    <xf numFmtId="39" fontId="83" fillId="0" borderId="0" applyBorder="0">
      <alignment horizontal="right" vertical="center"/>
    </xf>
    <xf numFmtId="167" fontId="81" fillId="0" borderId="0" applyBorder="0">
      <alignment horizontal="right" vertical="center"/>
    </xf>
    <xf numFmtId="10" fontId="81" fillId="0" borderId="0" applyBorder="0">
      <alignment horizontal="right" vertical="center"/>
    </xf>
    <xf numFmtId="167" fontId="82" fillId="0" borderId="0" applyBorder="0">
      <alignment horizontal="right" vertical="center"/>
    </xf>
    <xf numFmtId="10" fontId="82" fillId="0" borderId="0" applyBorder="0">
      <alignment horizontal="righ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Border="0">
      <alignment vertical="center"/>
    </xf>
    <xf numFmtId="0" fontId="3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6" fillId="0" borderId="0">
      <alignment vertical="top"/>
    </xf>
    <xf numFmtId="43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86" fillId="0" borderId="0">
      <alignment vertical="top"/>
    </xf>
    <xf numFmtId="43" fontId="1" fillId="0" borderId="0" applyFont="0" applyFill="0" applyBorder="0" applyAlignment="0" applyProtection="0"/>
    <xf numFmtId="0" fontId="86" fillId="0" borderId="0">
      <alignment vertical="top"/>
    </xf>
    <xf numFmtId="43" fontId="86" fillId="0" borderId="0" applyFont="0" applyFill="0" applyBorder="0" applyAlignment="0" applyProtection="0">
      <alignment vertical="top"/>
    </xf>
    <xf numFmtId="9" fontId="86" fillId="0" borderId="0" applyFont="0" applyFill="0" applyBorder="0" applyAlignment="0" applyProtection="0"/>
    <xf numFmtId="43" fontId="8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7" fillId="0" borderId="0" applyFont="0" applyFill="0" applyBorder="0" applyAlignment="0" applyProtection="0">
      <alignment vertical="top"/>
    </xf>
    <xf numFmtId="43" fontId="87" fillId="0" borderId="0" applyFont="0" applyFill="0" applyBorder="0" applyAlignment="0" applyProtection="0">
      <alignment vertical="top"/>
    </xf>
    <xf numFmtId="43" fontId="87" fillId="0" borderId="0" applyFont="0" applyFill="0" applyBorder="0" applyAlignment="0" applyProtection="0">
      <alignment vertical="top"/>
    </xf>
    <xf numFmtId="43" fontId="87" fillId="0" borderId="0" applyFont="0" applyFill="0" applyBorder="0" applyAlignment="0" applyProtection="0">
      <alignment vertical="top"/>
    </xf>
    <xf numFmtId="43" fontId="87" fillId="0" borderId="0" applyFont="0" applyFill="0" applyBorder="0" applyAlignment="0" applyProtection="0">
      <alignment vertical="top"/>
    </xf>
    <xf numFmtId="43" fontId="86" fillId="0" borderId="0" applyFont="0" applyFill="0" applyBorder="0" applyAlignment="0" applyProtection="0">
      <alignment vertical="top"/>
    </xf>
    <xf numFmtId="43" fontId="86" fillId="0" borderId="0" applyFont="0" applyFill="0" applyBorder="0" applyAlignment="0" applyProtection="0">
      <alignment vertical="top"/>
    </xf>
    <xf numFmtId="44" fontId="86" fillId="0" borderId="0" applyFont="0" applyFill="0" applyBorder="0" applyAlignment="0" applyProtection="0">
      <alignment vertical="top"/>
    </xf>
    <xf numFmtId="0" fontId="86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0" fontId="87" fillId="0" borderId="0">
      <alignment vertical="top"/>
    </xf>
    <xf numFmtId="0" fontId="87" fillId="0" borderId="0">
      <alignment vertical="top"/>
    </xf>
    <xf numFmtId="0" fontId="87" fillId="0" borderId="0">
      <alignment vertical="top"/>
    </xf>
    <xf numFmtId="0" fontId="87" fillId="0" borderId="0">
      <alignment vertical="top"/>
    </xf>
    <xf numFmtId="0" fontId="87" fillId="0" borderId="0">
      <alignment vertical="top"/>
    </xf>
    <xf numFmtId="0" fontId="87" fillId="0" borderId="0">
      <alignment vertical="top"/>
    </xf>
    <xf numFmtId="0" fontId="87" fillId="0" borderId="0">
      <alignment vertical="top"/>
    </xf>
    <xf numFmtId="9" fontId="86" fillId="0" borderId="0" applyFont="0" applyFill="0" applyBorder="0" applyAlignment="0" applyProtection="0">
      <alignment vertical="top"/>
    </xf>
    <xf numFmtId="9" fontId="86" fillId="0" borderId="0" applyFont="0" applyFill="0" applyBorder="0" applyAlignment="0" applyProtection="0">
      <alignment vertical="top"/>
    </xf>
    <xf numFmtId="9" fontId="86" fillId="0" borderId="0" applyFont="0" applyFill="0" applyBorder="0" applyAlignment="0" applyProtection="0">
      <alignment vertical="top"/>
    </xf>
    <xf numFmtId="9" fontId="86" fillId="0" borderId="0" applyFont="0" applyFill="0" applyBorder="0" applyAlignment="0" applyProtection="0">
      <alignment vertical="top"/>
    </xf>
    <xf numFmtId="9" fontId="87" fillId="0" borderId="0" applyFont="0" applyFill="0" applyBorder="0" applyAlignment="0" applyProtection="0">
      <alignment vertical="top"/>
    </xf>
    <xf numFmtId="9" fontId="87" fillId="0" borderId="0" applyFont="0" applyFill="0" applyBorder="0" applyAlignment="0" applyProtection="0">
      <alignment vertical="top"/>
    </xf>
    <xf numFmtId="9" fontId="87" fillId="0" borderId="0" applyFont="0" applyFill="0" applyBorder="0" applyAlignment="0" applyProtection="0">
      <alignment vertical="top"/>
    </xf>
    <xf numFmtId="9" fontId="87" fillId="0" borderId="0" applyFont="0" applyFill="0" applyBorder="0" applyAlignment="0" applyProtection="0">
      <alignment vertical="top"/>
    </xf>
    <xf numFmtId="9" fontId="87" fillId="0" borderId="0" applyFont="0" applyFill="0" applyBorder="0" applyAlignment="0" applyProtection="0">
      <alignment vertical="top"/>
    </xf>
    <xf numFmtId="9" fontId="86" fillId="0" borderId="0" applyFont="0" applyFill="0" applyBorder="0" applyAlignment="0" applyProtection="0">
      <alignment vertical="top"/>
    </xf>
    <xf numFmtId="9" fontId="86" fillId="0" borderId="0" applyFont="0" applyFill="0" applyBorder="0" applyAlignment="0" applyProtection="0"/>
    <xf numFmtId="43" fontId="8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4" fontId="86" fillId="0" borderId="0" applyFont="0" applyFill="0" applyBorder="0" applyAlignment="0" applyProtection="0">
      <alignment vertical="top"/>
    </xf>
    <xf numFmtId="0" fontId="1" fillId="0" borderId="0"/>
    <xf numFmtId="0" fontId="86" fillId="0" borderId="0">
      <alignment vertical="top"/>
    </xf>
    <xf numFmtId="0" fontId="1" fillId="15" borderId="40" applyNumberFormat="0" applyFont="0" applyAlignment="0" applyProtection="0"/>
    <xf numFmtId="9" fontId="86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86" fillId="0" borderId="0" applyFont="0" applyFill="0" applyBorder="0" applyAlignment="0" applyProtection="0">
      <alignment vertical="top"/>
    </xf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6" fillId="0" borderId="0">
      <alignment vertical="top"/>
    </xf>
    <xf numFmtId="43" fontId="8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4" fontId="86" fillId="0" borderId="0" applyFont="0" applyFill="0" applyBorder="0" applyAlignment="0" applyProtection="0">
      <alignment vertical="top"/>
    </xf>
    <xf numFmtId="0" fontId="1" fillId="0" borderId="0"/>
    <xf numFmtId="0" fontId="1" fillId="15" borderId="40" applyNumberFormat="0" applyFont="0" applyAlignment="0" applyProtection="0"/>
    <xf numFmtId="9" fontId="86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6" fillId="0" borderId="0" applyFont="0" applyFill="0" applyBorder="0" applyAlignment="0" applyProtection="0">
      <alignment vertical="top"/>
    </xf>
    <xf numFmtId="44" fontId="86" fillId="0" borderId="0" applyFont="0" applyFill="0" applyBorder="0" applyAlignment="0" applyProtection="0">
      <alignment vertical="top"/>
    </xf>
    <xf numFmtId="0" fontId="86" fillId="0" borderId="0">
      <alignment vertical="top"/>
    </xf>
    <xf numFmtId="9" fontId="86" fillId="0" borderId="0" applyFont="0" applyFill="0" applyBorder="0" applyAlignment="0" applyProtection="0">
      <alignment vertical="top"/>
    </xf>
    <xf numFmtId="9" fontId="86" fillId="0" borderId="0" applyFont="0" applyFill="0" applyBorder="0" applyAlignment="0" applyProtection="0">
      <alignment vertical="top"/>
    </xf>
    <xf numFmtId="0" fontId="86" fillId="0" borderId="0">
      <alignment vertical="top"/>
    </xf>
    <xf numFmtId="43" fontId="86" fillId="0" borderId="0" applyFont="0" applyFill="0" applyBorder="0" applyAlignment="0" applyProtection="0">
      <alignment vertical="top"/>
    </xf>
    <xf numFmtId="44" fontId="86" fillId="0" borderId="0" applyFont="0" applyFill="0" applyBorder="0" applyAlignment="0" applyProtection="0">
      <alignment vertical="top"/>
    </xf>
    <xf numFmtId="9" fontId="8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Border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6" fillId="0" borderId="0">
      <alignment vertical="top"/>
    </xf>
    <xf numFmtId="43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1" fillId="15" borderId="40" applyNumberFormat="0" applyFont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34" fillId="0" borderId="0"/>
    <xf numFmtId="0" fontId="18" fillId="0" borderId="0" applyNumberFormat="0" applyFill="0" applyBorder="0" applyAlignment="0" applyProtection="0"/>
    <xf numFmtId="0" fontId="88" fillId="9" borderId="0" applyNumberFormat="0" applyBorder="0" applyAlignment="0" applyProtection="0"/>
    <xf numFmtId="0" fontId="89" fillId="10" borderId="0" applyNumberFormat="0" applyBorder="0" applyAlignment="0" applyProtection="0"/>
    <xf numFmtId="0" fontId="90" fillId="11" borderId="0" applyNumberFormat="0" applyBorder="0" applyAlignment="0" applyProtection="0"/>
    <xf numFmtId="0" fontId="91" fillId="12" borderId="36" applyNumberFormat="0" applyAlignment="0" applyProtection="0"/>
    <xf numFmtId="0" fontId="92" fillId="13" borderId="37" applyNumberFormat="0" applyAlignment="0" applyProtection="0"/>
    <xf numFmtId="0" fontId="93" fillId="13" borderId="36" applyNumberFormat="0" applyAlignment="0" applyProtection="0"/>
    <xf numFmtId="0" fontId="94" fillId="0" borderId="38" applyNumberFormat="0" applyFill="0" applyAlignment="0" applyProtection="0"/>
    <xf numFmtId="0" fontId="95" fillId="14" borderId="39" applyNumberFormat="0" applyAlignment="0" applyProtection="0"/>
    <xf numFmtId="0" fontId="96" fillId="0" borderId="0" applyNumberFormat="0" applyFill="0" applyBorder="0" applyAlignment="0" applyProtection="0"/>
    <xf numFmtId="0" fontId="34" fillId="15" borderId="40" applyNumberFormat="0" applyFont="0" applyAlignment="0" applyProtection="0"/>
    <xf numFmtId="0" fontId="97" fillId="0" borderId="0" applyNumberFormat="0" applyFill="0" applyBorder="0" applyAlignment="0" applyProtection="0"/>
    <xf numFmtId="0" fontId="98" fillId="0" borderId="41" applyNumberFormat="0" applyFill="0" applyAlignment="0" applyProtection="0"/>
    <xf numFmtId="0" fontId="99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99" fillId="19" borderId="0" applyNumberFormat="0" applyBorder="0" applyAlignment="0" applyProtection="0"/>
    <xf numFmtId="0" fontId="99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99" fillId="23" borderId="0" applyNumberFormat="0" applyBorder="0" applyAlignment="0" applyProtection="0"/>
    <xf numFmtId="0" fontId="99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99" fillId="27" borderId="0" applyNumberFormat="0" applyBorder="0" applyAlignment="0" applyProtection="0"/>
    <xf numFmtId="0" fontId="99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99" fillId="31" borderId="0" applyNumberFormat="0" applyBorder="0" applyAlignment="0" applyProtection="0"/>
    <xf numFmtId="0" fontId="99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99" fillId="39" borderId="0" applyNumberFormat="0" applyBorder="0" applyAlignment="0" applyProtection="0"/>
    <xf numFmtId="170" fontId="17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5" fillId="12" borderId="36" applyNumberFormat="0" applyAlignment="0" applyProtection="0"/>
    <xf numFmtId="0" fontId="26" fillId="13" borderId="37" applyNumberFormat="0" applyAlignment="0" applyProtection="0"/>
    <xf numFmtId="0" fontId="27" fillId="13" borderId="36" applyNumberFormat="0" applyAlignment="0" applyProtection="0"/>
    <xf numFmtId="0" fontId="28" fillId="0" borderId="38" applyNumberFormat="0" applyFill="0" applyAlignment="0" applyProtection="0"/>
    <xf numFmtId="0" fontId="29" fillId="14" borderId="3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1" applyNumberFormat="0" applyFill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100" fillId="0" borderId="0"/>
    <xf numFmtId="0" fontId="3" fillId="0" borderId="0"/>
    <xf numFmtId="0" fontId="1" fillId="0" borderId="0"/>
    <xf numFmtId="0" fontId="34" fillId="0" borderId="0"/>
    <xf numFmtId="0" fontId="90" fillId="11" borderId="0" applyNumberFormat="0" applyBorder="0" applyAlignment="0" applyProtection="0"/>
    <xf numFmtId="0" fontId="89" fillId="10" borderId="0" applyNumberFormat="0" applyBorder="0" applyAlignment="0" applyProtection="0"/>
    <xf numFmtId="0" fontId="88" fillId="9" borderId="0" applyNumberFormat="0" applyBorder="0" applyAlignment="0" applyProtection="0"/>
    <xf numFmtId="0" fontId="96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99" fillId="24" borderId="0" applyNumberFormat="0" applyBorder="0" applyAlignment="0" applyProtection="0"/>
    <xf numFmtId="0" fontId="34" fillId="18" borderId="0" applyNumberFormat="0" applyBorder="0" applyAlignment="0" applyProtection="0"/>
    <xf numFmtId="0" fontId="95" fillId="14" borderId="39" applyNumberFormat="0" applyAlignment="0" applyProtection="0"/>
    <xf numFmtId="0" fontId="34" fillId="29" borderId="0" applyNumberFormat="0" applyBorder="0" applyAlignment="0" applyProtection="0"/>
    <xf numFmtId="0" fontId="99" fillId="23" borderId="0" applyNumberFormat="0" applyBorder="0" applyAlignment="0" applyProtection="0"/>
    <xf numFmtId="0" fontId="34" fillId="17" borderId="0" applyNumberFormat="0" applyBorder="0" applyAlignment="0" applyProtection="0"/>
    <xf numFmtId="0" fontId="94" fillId="0" borderId="38" applyNumberFormat="0" applyFill="0" applyAlignment="0" applyProtection="0"/>
    <xf numFmtId="0" fontId="99" fillId="28" borderId="0" applyNumberFormat="0" applyBorder="0" applyAlignment="0" applyProtection="0"/>
    <xf numFmtId="0" fontId="34" fillId="22" borderId="0" applyNumberFormat="0" applyBorder="0" applyAlignment="0" applyProtection="0"/>
    <xf numFmtId="0" fontId="99" fillId="16" borderId="0" applyNumberFormat="0" applyBorder="0" applyAlignment="0" applyProtection="0"/>
    <xf numFmtId="0" fontId="93" fillId="13" borderId="36" applyNumberFormat="0" applyAlignment="0" applyProtection="0"/>
    <xf numFmtId="0" fontId="99" fillId="27" borderId="0" applyNumberFormat="0" applyBorder="0" applyAlignment="0" applyProtection="0"/>
    <xf numFmtId="0" fontId="34" fillId="21" borderId="0" applyNumberFormat="0" applyBorder="0" applyAlignment="0" applyProtection="0"/>
    <xf numFmtId="0" fontId="98" fillId="0" borderId="41" applyNumberFormat="0" applyFill="0" applyAlignment="0" applyProtection="0"/>
    <xf numFmtId="0" fontId="92" fillId="13" borderId="37" applyNumberFormat="0" applyAlignment="0" applyProtection="0"/>
    <xf numFmtId="0" fontId="34" fillId="26" borderId="0" applyNumberFormat="0" applyBorder="0" applyAlignment="0" applyProtection="0"/>
    <xf numFmtId="0" fontId="99" fillId="20" borderId="0" applyNumberFormat="0" applyBorder="0" applyAlignment="0" applyProtection="0"/>
    <xf numFmtId="0" fontId="97" fillId="0" borderId="0" applyNumberFormat="0" applyFill="0" applyBorder="0" applyAlignment="0" applyProtection="0"/>
    <xf numFmtId="0" fontId="91" fillId="12" borderId="36" applyNumberFormat="0" applyAlignment="0" applyProtection="0"/>
    <xf numFmtId="0" fontId="34" fillId="25" borderId="0" applyNumberFormat="0" applyBorder="0" applyAlignment="0" applyProtection="0"/>
    <xf numFmtId="0" fontId="99" fillId="19" borderId="0" applyNumberFormat="0" applyBorder="0" applyAlignment="0" applyProtection="0"/>
    <xf numFmtId="0" fontId="34" fillId="15" borderId="40" applyNumberFormat="0" applyFont="0" applyAlignment="0" applyProtection="0"/>
    <xf numFmtId="0" fontId="100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43" fontId="100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0" fontId="1" fillId="0" borderId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9" fillId="31" borderId="0" applyNumberFormat="0" applyBorder="0" applyAlignment="0" applyProtection="0"/>
    <xf numFmtId="0" fontId="99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99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9" fillId="0" borderId="0"/>
    <xf numFmtId="0" fontId="49" fillId="0" borderId="0"/>
    <xf numFmtId="0" fontId="3" fillId="0" borderId="0"/>
    <xf numFmtId="0" fontId="3" fillId="0" borderId="0"/>
    <xf numFmtId="0" fontId="46" fillId="0" borderId="0" applyBorder="0"/>
    <xf numFmtId="0" fontId="35" fillId="0" borderId="0" applyNumberFormat="0" applyFill="0" applyBorder="0" applyAlignment="0" applyProtection="0"/>
    <xf numFmtId="0" fontId="49" fillId="0" borderId="0"/>
    <xf numFmtId="0" fontId="49" fillId="0" borderId="0"/>
    <xf numFmtId="0" fontId="101" fillId="0" borderId="0">
      <alignment vertical="top"/>
    </xf>
    <xf numFmtId="43" fontId="10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43" fontId="86" fillId="0" borderId="0" applyFont="0" applyFill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43" fontId="86" fillId="0" borderId="0" applyFont="0" applyFill="0" applyBorder="0" applyAlignment="0" applyProtection="0"/>
    <xf numFmtId="0" fontId="1" fillId="21" borderId="0" applyNumberFormat="0" applyBorder="0" applyAlignment="0" applyProtection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7" fillId="0" borderId="0" applyFont="0" applyFill="0" applyBorder="0" applyAlignment="0" applyProtection="0">
      <alignment vertical="top"/>
    </xf>
    <xf numFmtId="169" fontId="84" fillId="0" borderId="0"/>
    <xf numFmtId="0" fontId="3" fillId="0" borderId="0"/>
    <xf numFmtId="0" fontId="3" fillId="0" borderId="0"/>
    <xf numFmtId="0" fontId="86" fillId="0" borderId="0">
      <alignment vertical="top"/>
    </xf>
    <xf numFmtId="0" fontId="86" fillId="0" borderId="0">
      <alignment vertical="top"/>
    </xf>
    <xf numFmtId="0" fontId="86" fillId="0" borderId="0">
      <alignment vertical="top"/>
    </xf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4" fontId="86" fillId="0" borderId="0" applyFont="0" applyFill="0" applyBorder="0" applyAlignment="0" applyProtection="0">
      <alignment vertical="top"/>
    </xf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5" borderId="40" applyNumberFormat="0" applyFont="0" applyAlignment="0" applyProtection="0"/>
    <xf numFmtId="0" fontId="1" fillId="38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0" fontId="1" fillId="29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9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43" fontId="86" fillId="0" borderId="0" applyFont="0" applyFill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44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43" fontId="86" fillId="0" borderId="0" applyFont="0" applyFill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5" borderId="40" applyNumberFormat="0" applyFont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38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40" applyNumberFormat="0" applyFont="0" applyAlignment="0" applyProtection="0"/>
    <xf numFmtId="0" fontId="1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33" borderId="0" applyNumberFormat="0" applyBorder="0" applyAlignment="0" applyProtection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15" borderId="40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9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5" borderId="40" applyNumberFormat="0" applyFont="0" applyAlignment="0" applyProtection="0"/>
    <xf numFmtId="0" fontId="1" fillId="37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38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1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43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271">
    <xf numFmtId="37" fontId="0" fillId="0" borderId="0" xfId="0"/>
    <xf numFmtId="37" fontId="5" fillId="0" borderId="0" xfId="0" applyFont="1"/>
    <xf numFmtId="37" fontId="4" fillId="0" borderId="0" xfId="0" applyFont="1"/>
    <xf numFmtId="37" fontId="6" fillId="0" borderId="0" xfId="0" applyFont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6" fillId="0" borderId="0" xfId="0" applyFont="1" applyAlignment="1">
      <alignment horizontal="center"/>
    </xf>
    <xf numFmtId="37" fontId="7" fillId="0" borderId="0" xfId="0" quotePrefix="1" applyFont="1" applyAlignment="1">
      <alignment horizontal="left"/>
    </xf>
    <xf numFmtId="37" fontId="8" fillId="0" borderId="0" xfId="0" applyFont="1"/>
    <xf numFmtId="37" fontId="7" fillId="0" borderId="0" xfId="0" quotePrefix="1" applyFont="1" applyAlignment="1">
      <alignment horizontal="center"/>
    </xf>
    <xf numFmtId="37" fontId="6" fillId="0" borderId="1" xfId="0" applyFont="1" applyBorder="1"/>
    <xf numFmtId="37" fontId="6" fillId="0" borderId="2" xfId="0" applyFont="1" applyBorder="1"/>
    <xf numFmtId="37" fontId="6" fillId="0" borderId="2" xfId="0" applyFont="1" applyBorder="1" applyAlignment="1">
      <alignment horizontal="center"/>
    </xf>
    <xf numFmtId="37" fontId="6" fillId="0" borderId="3" xfId="0" applyFont="1" applyBorder="1"/>
    <xf numFmtId="37" fontId="6" fillId="0" borderId="4" xfId="0" applyFont="1" applyBorder="1"/>
    <xf numFmtId="37" fontId="6" fillId="0" borderId="4" xfId="0" applyFont="1" applyBorder="1" applyAlignment="1">
      <alignment horizontal="center"/>
    </xf>
    <xf numFmtId="37" fontId="6" fillId="0" borderId="2" xfId="0" quotePrefix="1" applyFont="1" applyBorder="1" applyAlignment="1">
      <alignment horizontal="left"/>
    </xf>
    <xf numFmtId="39" fontId="6" fillId="0" borderId="2" xfId="0" applyNumberFormat="1" applyFont="1" applyBorder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Font="1" applyAlignment="1">
      <alignment horizontal="left"/>
    </xf>
    <xf numFmtId="37" fontId="6" fillId="0" borderId="0" xfId="0" applyFont="1"/>
    <xf numFmtId="37" fontId="6" fillId="0" borderId="0" xfId="0" quotePrefix="1" applyFont="1" applyAlignment="1">
      <alignment horizontal="center"/>
    </xf>
    <xf numFmtId="37" fontId="6" fillId="0" borderId="5" xfId="0" applyFont="1" applyBorder="1"/>
    <xf numFmtId="37" fontId="6" fillId="0" borderId="6" xfId="0" quotePrefix="1" applyFont="1" applyBorder="1" applyAlignment="1">
      <alignment horizontal="centerContinuous"/>
    </xf>
    <xf numFmtId="37" fontId="6" fillId="0" borderId="7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6" fillId="0" borderId="8" xfId="0" applyFont="1" applyBorder="1" applyAlignment="1">
      <alignment horizontal="centerContinuous"/>
    </xf>
    <xf numFmtId="37" fontId="6" fillId="0" borderId="8" xfId="0" applyFont="1" applyBorder="1"/>
    <xf numFmtId="37" fontId="6" fillId="0" borderId="1" xfId="0" applyFont="1" applyBorder="1" applyAlignment="1">
      <alignment horizontal="centerContinuous"/>
    </xf>
    <xf numFmtId="37" fontId="6" fillId="0" borderId="9" xfId="0" applyFont="1" applyBorder="1"/>
    <xf numFmtId="37" fontId="6" fillId="0" borderId="10" xfId="0" applyFont="1" applyBorder="1"/>
    <xf numFmtId="37" fontId="6" fillId="0" borderId="11" xfId="0" applyFont="1" applyBorder="1"/>
    <xf numFmtId="37" fontId="6" fillId="0" borderId="6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6" xfId="0" applyFont="1" applyBorder="1" applyAlignment="1">
      <alignment horizontal="center"/>
    </xf>
    <xf numFmtId="37" fontId="6" fillId="0" borderId="7" xfId="0" applyFont="1" applyBorder="1" applyAlignment="1">
      <alignment horizontal="center"/>
    </xf>
    <xf numFmtId="37" fontId="6" fillId="0" borderId="2" xfId="0" quotePrefix="1" applyFont="1" applyBorder="1"/>
    <xf numFmtId="37" fontId="6" fillId="0" borderId="12" xfId="0" applyFont="1" applyBorder="1"/>
    <xf numFmtId="37" fontId="6" fillId="0" borderId="7" xfId="0" applyFont="1" applyBorder="1"/>
    <xf numFmtId="37" fontId="6" fillId="0" borderId="10" xfId="0" applyFont="1" applyBorder="1" applyAlignment="1">
      <alignment horizontal="center"/>
    </xf>
    <xf numFmtId="164" fontId="6" fillId="0" borderId="2" xfId="0" applyNumberFormat="1" applyFont="1" applyBorder="1"/>
    <xf numFmtId="37" fontId="6" fillId="0" borderId="13" xfId="0" applyFont="1" applyBorder="1"/>
    <xf numFmtId="164" fontId="6" fillId="0" borderId="2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6" fillId="0" borderId="2" xfId="0" quotePrefix="1" applyNumberFormat="1" applyFont="1" applyBorder="1" applyAlignment="1">
      <alignment horizontal="left"/>
    </xf>
    <xf numFmtId="37" fontId="6" fillId="0" borderId="12" xfId="0" quotePrefix="1" applyFont="1" applyBorder="1" applyAlignment="1">
      <alignment horizontal="left"/>
    </xf>
    <xf numFmtId="37" fontId="6" fillId="0" borderId="14" xfId="0" applyFont="1" applyBorder="1" applyAlignment="1">
      <alignment horizontal="center"/>
    </xf>
    <xf numFmtId="37" fontId="6" fillId="0" borderId="8" xfId="0" applyFont="1" applyBorder="1" applyAlignment="1">
      <alignment horizontal="center"/>
    </xf>
    <xf numFmtId="37" fontId="6" fillId="0" borderId="14" xfId="0" applyFont="1" applyBorder="1"/>
    <xf numFmtId="37" fontId="7" fillId="0" borderId="14" xfId="0" applyFont="1" applyBorder="1"/>
    <xf numFmtId="37" fontId="7" fillId="0" borderId="8" xfId="0" applyFont="1" applyBorder="1"/>
    <xf numFmtId="37" fontId="7" fillId="0" borderId="13" xfId="0" applyFont="1" applyBorder="1"/>
    <xf numFmtId="37" fontId="6" fillId="0" borderId="3" xfId="0" applyFont="1" applyBorder="1" applyAlignment="1">
      <alignment horizontal="centerContinuous"/>
    </xf>
    <xf numFmtId="37" fontId="7" fillId="0" borderId="0" xfId="0" applyFont="1" applyAlignment="1">
      <alignment horizontal="center"/>
    </xf>
    <xf numFmtId="37" fontId="7" fillId="0" borderId="0" xfId="0" quotePrefix="1" applyFont="1"/>
    <xf numFmtId="4" fontId="6" fillId="0" borderId="2" xfId="0" applyNumberFormat="1" applyFont="1" applyBorder="1"/>
    <xf numFmtId="37" fontId="7" fillId="0" borderId="10" xfId="0" applyFont="1" applyBorder="1"/>
    <xf numFmtId="3" fontId="6" fillId="0" borderId="2" xfId="0" applyNumberFormat="1" applyFont="1" applyBorder="1"/>
    <xf numFmtId="2" fontId="6" fillId="0" borderId="2" xfId="0" applyNumberFormat="1" applyFont="1" applyBorder="1"/>
    <xf numFmtId="37" fontId="6" fillId="0" borderId="4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Font="1" applyFill="1" applyBorder="1"/>
    <xf numFmtId="37" fontId="6" fillId="0" borderId="0" xfId="0" applyFont="1" applyAlignment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Font="1" applyBorder="1"/>
    <xf numFmtId="37" fontId="6" fillId="0" borderId="8" xfId="0" quotePrefix="1" applyFont="1" applyBorder="1" applyAlignment="1">
      <alignment horizontal="left"/>
    </xf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Font="1" applyBorder="1" applyAlignment="1">
      <alignment horizontal="centerContinuous"/>
    </xf>
    <xf numFmtId="37" fontId="6" fillId="0" borderId="3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3" xfId="0" applyFont="1" applyBorder="1" applyAlignment="1">
      <alignment horizontal="center"/>
    </xf>
    <xf numFmtId="37" fontId="6" fillId="0" borderId="0" xfId="0" quotePrefix="1" applyFont="1"/>
    <xf numFmtId="37" fontId="6" fillId="0" borderId="4" xfId="0" quotePrefix="1" applyFont="1" applyBorder="1"/>
    <xf numFmtId="37" fontId="6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6" fillId="0" borderId="14" xfId="0" applyFont="1" applyBorder="1" applyAlignment="1">
      <alignment horizontal="centerContinuous"/>
    </xf>
    <xf numFmtId="37" fontId="7" fillId="0" borderId="3" xfId="0" applyFont="1" applyBorder="1"/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Font="1" applyBorder="1" applyAlignment="1">
      <alignment horizontal="left"/>
    </xf>
    <xf numFmtId="37" fontId="6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6" fillId="0" borderId="0" xfId="0" quotePrefix="1" applyFont="1" applyAlignment="1">
      <alignment horizontal="right"/>
    </xf>
    <xf numFmtId="37" fontId="5" fillId="3" borderId="0" xfId="0" applyFont="1" applyFill="1" applyAlignment="1">
      <alignment horizontal="center"/>
    </xf>
    <xf numFmtId="37" fontId="5" fillId="3" borderId="0" xfId="0" quotePrefix="1" applyFont="1" applyFill="1" applyAlignment="1">
      <alignment horizontal="left"/>
    </xf>
    <xf numFmtId="37" fontId="5" fillId="3" borderId="0" xfId="0" applyFont="1" applyFill="1" applyAlignment="1">
      <alignment horizontal="right"/>
    </xf>
    <xf numFmtId="37" fontId="5" fillId="3" borderId="0" xfId="0" applyFont="1" applyFill="1"/>
    <xf numFmtId="37" fontId="11" fillId="4" borderId="1" xfId="0" applyFont="1" applyFill="1" applyBorder="1" applyProtection="1">
      <protection locked="0"/>
    </xf>
    <xf numFmtId="37" fontId="11" fillId="3" borderId="0" xfId="0" applyFont="1" applyFill="1" applyAlignment="1">
      <alignment horizontal="center"/>
    </xf>
    <xf numFmtId="37" fontId="5" fillId="3" borderId="0" xfId="0" quotePrefix="1" applyFont="1" applyFill="1"/>
    <xf numFmtId="37" fontId="11" fillId="3" borderId="0" xfId="0" applyFont="1" applyFill="1"/>
    <xf numFmtId="37" fontId="5" fillId="0" borderId="0" xfId="0" applyFont="1" applyAlignment="1">
      <alignment horizontal="center"/>
    </xf>
    <xf numFmtId="38" fontId="5" fillId="3" borderId="0" xfId="0" applyNumberFormat="1" applyFont="1" applyFill="1" applyAlignment="1">
      <alignment horizontal="center"/>
    </xf>
    <xf numFmtId="37" fontId="11" fillId="0" borderId="1" xfId="0" applyFont="1" applyBorder="1" applyProtection="1">
      <protection locked="0"/>
    </xf>
    <xf numFmtId="37" fontId="11" fillId="0" borderId="1" xfId="0" quotePrefix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>
      <alignment horizontal="right"/>
    </xf>
    <xf numFmtId="38" fontId="5" fillId="3" borderId="0" xfId="0" applyNumberFormat="1" applyFont="1" applyFill="1"/>
    <xf numFmtId="38" fontId="11" fillId="3" borderId="0" xfId="0" applyNumberFormat="1" applyFont="1" applyFill="1" applyAlignment="1">
      <alignment horizontal="center"/>
    </xf>
    <xf numFmtId="38" fontId="11" fillId="3" borderId="0" xfId="0" applyNumberFormat="1" applyFont="1" applyFill="1"/>
    <xf numFmtId="164" fontId="5" fillId="0" borderId="0" xfId="0" applyNumberFormat="1" applyFont="1"/>
    <xf numFmtId="39" fontId="5" fillId="0" borderId="0" xfId="0" applyNumberFormat="1" applyFont="1"/>
    <xf numFmtId="37" fontId="5" fillId="0" borderId="0" xfId="0" applyFont="1" applyAlignment="1">
      <alignment horizontal="left"/>
    </xf>
    <xf numFmtId="37" fontId="5" fillId="0" borderId="0" xfId="0" quotePrefix="1" applyFont="1" applyAlignment="1">
      <alignment horizontal="left"/>
    </xf>
    <xf numFmtId="164" fontId="5" fillId="0" borderId="0" xfId="0" applyNumberFormat="1" applyFont="1" applyAlignment="1">
      <alignment horizontal="left"/>
    </xf>
    <xf numFmtId="37" fontId="5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left"/>
    </xf>
    <xf numFmtId="37" fontId="5" fillId="2" borderId="0" xfId="0" applyFont="1" applyFill="1" applyAlignment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>
      <alignment horizontal="fill"/>
    </xf>
    <xf numFmtId="37" fontId="5" fillId="3" borderId="0" xfId="0" quotePrefix="1" applyFont="1" applyFill="1" applyAlignment="1">
      <alignment horizontal="centerContinuous"/>
    </xf>
    <xf numFmtId="37" fontId="5" fillId="3" borderId="0" xfId="0" applyFont="1" applyFill="1" applyAlignment="1">
      <alignment horizontal="centerContinuous"/>
    </xf>
    <xf numFmtId="37" fontId="5" fillId="2" borderId="0" xfId="0" applyFont="1" applyFill="1"/>
    <xf numFmtId="37" fontId="6" fillId="5" borderId="2" xfId="0" applyFont="1" applyFill="1" applyBorder="1"/>
    <xf numFmtId="37" fontId="6" fillId="6" borderId="2" xfId="0" applyFont="1" applyFill="1" applyBorder="1"/>
    <xf numFmtId="37" fontId="6" fillId="6" borderId="2" xfId="0" applyFont="1" applyFill="1" applyBorder="1" applyAlignment="1">
      <alignment horizontal="center"/>
    </xf>
    <xf numFmtId="37" fontId="6" fillId="6" borderId="2" xfId="0" quotePrefix="1" applyFont="1" applyFill="1" applyBorder="1" applyAlignment="1">
      <alignment horizontal="center"/>
    </xf>
    <xf numFmtId="37" fontId="6" fillId="6" borderId="2" xfId="0" quotePrefix="1" applyFont="1" applyFill="1" applyBorder="1"/>
    <xf numFmtId="39" fontId="6" fillId="6" borderId="2" xfId="0" quotePrefix="1" applyNumberFormat="1" applyFont="1" applyFill="1" applyBorder="1" applyAlignment="1">
      <alignment horizontal="center"/>
    </xf>
    <xf numFmtId="39" fontId="6" fillId="6" borderId="2" xfId="0" applyNumberFormat="1" applyFont="1" applyFill="1" applyBorder="1"/>
    <xf numFmtId="3" fontId="6" fillId="6" borderId="2" xfId="0" applyNumberFormat="1" applyFont="1" applyFill="1" applyBorder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7" fontId="13" fillId="0" borderId="0" xfId="2" applyNumberFormat="1" applyAlignment="1" applyProtection="1">
      <alignment horizontal="left"/>
    </xf>
    <xf numFmtId="3" fontId="7" fillId="0" borderId="2" xfId="0" applyNumberFormat="1" applyFont="1" applyBorder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8" fontId="5" fillId="0" borderId="0" xfId="0" applyNumberFormat="1" applyFont="1"/>
    <xf numFmtId="37" fontId="13" fillId="0" borderId="0" xfId="2" applyNumberFormat="1" applyAlignment="1" applyProtection="1"/>
    <xf numFmtId="37" fontId="5" fillId="7" borderId="0" xfId="0" applyFont="1" applyFill="1"/>
    <xf numFmtId="37" fontId="5" fillId="7" borderId="0" xfId="0" quotePrefix="1" applyFont="1" applyFill="1" applyAlignment="1">
      <alignment horizontal="left"/>
    </xf>
    <xf numFmtId="38" fontId="5" fillId="7" borderId="0" xfId="0" applyNumberFormat="1" applyFont="1" applyFill="1"/>
    <xf numFmtId="37" fontId="5" fillId="0" borderId="0" xfId="0" quotePrefix="1" applyFont="1"/>
    <xf numFmtId="0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quotePrefix="1" applyNumberFormat="1" applyFont="1" applyAlignment="1">
      <alignment horizontal="center"/>
    </xf>
    <xf numFmtId="37" fontId="5" fillId="3" borderId="0" xfId="0" quotePrefix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37" fontId="5" fillId="3" borderId="0" xfId="0" quotePrefix="1" applyFont="1" applyFill="1" applyAlignment="1">
      <alignment horizontal="fill"/>
    </xf>
    <xf numFmtId="37" fontId="5" fillId="3" borderId="0" xfId="1" applyNumberFormat="1" applyFont="1" applyFill="1" applyProtection="1"/>
    <xf numFmtId="39" fontId="5" fillId="3" borderId="0" xfId="0" quotePrefix="1" applyNumberFormat="1" applyFont="1" applyFill="1" applyAlignment="1">
      <alignment horizontal="left"/>
    </xf>
    <xf numFmtId="4" fontId="5" fillId="3" borderId="0" xfId="0" applyNumberFormat="1" applyFont="1" applyFill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>
      <alignment horizontal="fill"/>
    </xf>
    <xf numFmtId="39" fontId="5" fillId="3" borderId="0" xfId="0" applyNumberFormat="1" applyFont="1" applyFill="1"/>
    <xf numFmtId="37" fontId="12" fillId="3" borderId="0" xfId="0" applyFont="1" applyFill="1"/>
    <xf numFmtId="37" fontId="11" fillId="3" borderId="0" xfId="0" applyFont="1" applyFill="1" applyAlignment="1">
      <alignment horizontal="centerContinuous"/>
    </xf>
    <xf numFmtId="37" fontId="11" fillId="3" borderId="0" xfId="0" quotePrefix="1" applyFont="1" applyFill="1" applyAlignment="1">
      <alignment horizontal="left"/>
    </xf>
    <xf numFmtId="3" fontId="5" fillId="0" borderId="0" xfId="0" applyNumberFormat="1" applyFont="1"/>
    <xf numFmtId="1" fontId="5" fillId="0" borderId="0" xfId="0" applyNumberFormat="1" applyFont="1" applyAlignment="1">
      <alignment horizontal="center"/>
    </xf>
    <xf numFmtId="37" fontId="5" fillId="0" borderId="0" xfId="0" quotePrefix="1" applyFont="1" applyAlignment="1">
      <alignment horizontal="center"/>
    </xf>
    <xf numFmtId="2" fontId="5" fillId="0" borderId="0" xfId="0" applyNumberFormat="1" applyFont="1"/>
    <xf numFmtId="10" fontId="5" fillId="0" borderId="0" xfId="0" applyNumberFormat="1" applyFont="1"/>
    <xf numFmtId="37" fontId="11" fillId="0" borderId="0" xfId="0" applyFont="1"/>
    <xf numFmtId="37" fontId="5" fillId="0" borderId="0" xfId="0" applyFont="1" applyProtection="1">
      <protection locked="0"/>
    </xf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>
      <alignment horizontal="left"/>
    </xf>
    <xf numFmtId="37" fontId="5" fillId="8" borderId="0" xfId="0" applyFont="1" applyFill="1"/>
    <xf numFmtId="37" fontId="6" fillId="0" borderId="8" xfId="0" applyFont="1" applyBorder="1" applyAlignment="1">
      <alignment horizontal="left"/>
    </xf>
    <xf numFmtId="164" fontId="6" fillId="0" borderId="3" xfId="0" applyNumberFormat="1" applyFont="1" applyBorder="1"/>
    <xf numFmtId="37" fontId="5" fillId="2" borderId="0" xfId="0" applyFont="1" applyFill="1" applyAlignment="1">
      <alignment horizontal="right"/>
    </xf>
    <xf numFmtId="37" fontId="5" fillId="0" borderId="0" xfId="0" applyFont="1" applyAlignment="1">
      <alignment horizontal="right"/>
    </xf>
    <xf numFmtId="4" fontId="5" fillId="2" borderId="0" xfId="0" applyNumberFormat="1" applyFont="1" applyFill="1" applyAlignment="1">
      <alignment horizontal="right"/>
    </xf>
    <xf numFmtId="39" fontId="5" fillId="2" borderId="0" xfId="0" applyNumberFormat="1" applyFont="1" applyFill="1" applyAlignment="1">
      <alignment horizontal="right"/>
    </xf>
    <xf numFmtId="37" fontId="5" fillId="0" borderId="0" xfId="0" quotePrefix="1" applyFont="1" applyAlignment="1">
      <alignment horizontal="right"/>
    </xf>
    <xf numFmtId="2" fontId="5" fillId="0" borderId="0" xfId="0" applyNumberFormat="1" applyFont="1" applyAlignment="1">
      <alignment horizontal="right"/>
    </xf>
    <xf numFmtId="37" fontId="5" fillId="2" borderId="0" xfId="0" quotePrefix="1" applyFont="1" applyFill="1" applyAlignment="1">
      <alignment horizontal="center"/>
    </xf>
    <xf numFmtId="37" fontId="5" fillId="2" borderId="0" xfId="0" quotePrefix="1" applyFont="1" applyFill="1"/>
    <xf numFmtId="4" fontId="5" fillId="2" borderId="0" xfId="0" applyNumberFormat="1" applyFont="1" applyFill="1"/>
    <xf numFmtId="39" fontId="5" fillId="2" borderId="0" xfId="0" applyNumberFormat="1" applyFont="1" applyFill="1"/>
    <xf numFmtId="37" fontId="14" fillId="0" borderId="0" xfId="2" applyNumberFormat="1" applyFont="1" applyAlignment="1" applyProtection="1"/>
    <xf numFmtId="38" fontId="5" fillId="8" borderId="0" xfId="0" applyNumberFormat="1" applyFont="1" applyFill="1"/>
    <xf numFmtId="37" fontId="15" fillId="0" borderId="23" xfId="0" applyFont="1" applyBorder="1" applyAlignment="1">
      <alignment horizontal="right"/>
    </xf>
    <xf numFmtId="37" fontId="11" fillId="0" borderId="0" xfId="2" applyNumberFormat="1" applyFont="1" applyAlignment="1" applyProtection="1">
      <alignment horizontal="left"/>
    </xf>
    <xf numFmtId="37" fontId="5" fillId="8" borderId="0" xfId="0" quotePrefix="1" applyFont="1" applyFill="1" applyAlignment="1">
      <alignment horizontal="left"/>
    </xf>
    <xf numFmtId="37" fontId="5" fillId="0" borderId="0" xfId="2" applyNumberFormat="1" applyFont="1" applyAlignment="1" applyProtection="1"/>
    <xf numFmtId="37" fontId="17" fillId="0" borderId="0" xfId="0" quotePrefix="1" applyFont="1" applyAlignment="1">
      <alignment horizontal="left"/>
    </xf>
    <xf numFmtId="37" fontId="17" fillId="0" borderId="0" xfId="2" applyNumberFormat="1" applyFont="1" applyAlignment="1" applyProtection="1"/>
    <xf numFmtId="49" fontId="11" fillId="4" borderId="1" xfId="0" quotePrefix="1" applyNumberFormat="1" applyFont="1" applyFill="1" applyBorder="1" applyProtection="1">
      <protection locked="0"/>
    </xf>
    <xf numFmtId="38" fontId="11" fillId="4" borderId="1" xfId="0" quotePrefix="1" applyNumberFormat="1" applyFont="1" applyFill="1" applyBorder="1" applyProtection="1">
      <protection locked="0"/>
    </xf>
    <xf numFmtId="37" fontId="11" fillId="4" borderId="1" xfId="0" applyFont="1" applyFill="1" applyBorder="1" applyAlignment="1" applyProtection="1">
      <alignment wrapText="1"/>
      <protection locked="0"/>
    </xf>
    <xf numFmtId="43" fontId="50" fillId="0" borderId="1" xfId="145" quotePrefix="1" applyFont="1" applyFill="1" applyBorder="1" applyProtection="1">
      <protection locked="0"/>
    </xf>
    <xf numFmtId="43" fontId="50" fillId="0" borderId="1" xfId="4725" quotePrefix="1" applyFont="1" applyFill="1" applyBorder="1" applyProtection="1">
      <protection locked="0"/>
    </xf>
    <xf numFmtId="165" fontId="50" fillId="0" borderId="1" xfId="4708" quotePrefix="1" applyNumberFormat="1" applyFont="1" applyFill="1" applyBorder="1" applyProtection="1">
      <protection locked="0"/>
    </xf>
    <xf numFmtId="165" fontId="50" fillId="0" borderId="1" xfId="4704" quotePrefix="1" applyNumberFormat="1" applyFont="1" applyFill="1" applyBorder="1" applyProtection="1">
      <protection locked="0"/>
    </xf>
    <xf numFmtId="165" fontId="50" fillId="0" borderId="1" xfId="4696" quotePrefix="1" applyNumberFormat="1" applyFont="1" applyFill="1" applyBorder="1" applyProtection="1">
      <protection locked="0"/>
    </xf>
    <xf numFmtId="165" fontId="50" fillId="0" borderId="1" xfId="4702" quotePrefix="1" applyNumberFormat="1" applyFont="1" applyFill="1" applyBorder="1" applyProtection="1">
      <protection locked="0"/>
    </xf>
    <xf numFmtId="165" fontId="50" fillId="0" borderId="1" xfId="4684" quotePrefix="1" applyNumberFormat="1" applyFont="1" applyFill="1" applyBorder="1" applyProtection="1">
      <protection locked="0"/>
    </xf>
    <xf numFmtId="43" fontId="50" fillId="0" borderId="1" xfId="4684" quotePrefix="1" applyFont="1" applyFill="1" applyBorder="1" applyProtection="1">
      <protection locked="0"/>
    </xf>
    <xf numFmtId="165" fontId="50" fillId="0" borderId="1" xfId="4661" quotePrefix="1" applyNumberFormat="1" applyFont="1" applyFill="1" applyBorder="1" applyProtection="1">
      <protection locked="0"/>
    </xf>
    <xf numFmtId="43" fontId="50" fillId="0" borderId="1" xfId="4661" quotePrefix="1" applyFont="1" applyFill="1" applyBorder="1" applyProtection="1">
      <protection locked="0"/>
    </xf>
    <xf numFmtId="165" fontId="50" fillId="0" borderId="1" xfId="4720" quotePrefix="1" applyNumberFormat="1" applyFont="1" applyFill="1" applyBorder="1" applyProtection="1">
      <protection locked="0"/>
    </xf>
    <xf numFmtId="165" fontId="50" fillId="0" borderId="1" xfId="4735" quotePrefix="1" applyNumberFormat="1" applyFont="1" applyFill="1" applyBorder="1" applyProtection="1">
      <protection locked="0"/>
    </xf>
    <xf numFmtId="165" fontId="50" fillId="0" borderId="1" xfId="4755" quotePrefix="1" applyNumberFormat="1" applyFont="1" applyFill="1" applyBorder="1" applyProtection="1">
      <protection locked="0"/>
    </xf>
    <xf numFmtId="165" fontId="50" fillId="0" borderId="1" xfId="4715" quotePrefix="1" applyNumberFormat="1" applyFont="1" applyFill="1" applyBorder="1" applyProtection="1">
      <protection locked="0"/>
    </xf>
    <xf numFmtId="165" fontId="50" fillId="0" borderId="1" xfId="4737" quotePrefix="1" applyNumberFormat="1" applyFont="1" applyFill="1" applyBorder="1" applyProtection="1">
      <protection locked="0"/>
    </xf>
    <xf numFmtId="43" fontId="50" fillId="0" borderId="1" xfId="4737" quotePrefix="1" applyFont="1" applyFill="1" applyBorder="1" applyProtection="1">
      <protection locked="0"/>
    </xf>
    <xf numFmtId="165" fontId="50" fillId="0" borderId="1" xfId="4730" quotePrefix="1" applyNumberFormat="1" applyFont="1" applyFill="1" applyBorder="1" applyProtection="1">
      <protection locked="0"/>
    </xf>
    <xf numFmtId="165" fontId="50" fillId="0" borderId="1" xfId="4692" quotePrefix="1" applyNumberFormat="1" applyFont="1" applyFill="1" applyBorder="1" applyProtection="1">
      <protection locked="0"/>
    </xf>
    <xf numFmtId="165" fontId="50" fillId="0" borderId="1" xfId="4736" quotePrefix="1" applyNumberFormat="1" applyFont="1" applyFill="1" applyBorder="1" applyProtection="1">
      <protection locked="0"/>
    </xf>
    <xf numFmtId="165" fontId="50" fillId="0" borderId="1" xfId="4739" quotePrefix="1" applyNumberFormat="1" applyFont="1" applyFill="1" applyBorder="1" applyProtection="1">
      <protection locked="0"/>
    </xf>
    <xf numFmtId="43" fontId="50" fillId="0" borderId="1" xfId="4739" quotePrefix="1" applyFont="1" applyFill="1" applyBorder="1" applyProtection="1">
      <protection locked="0"/>
    </xf>
    <xf numFmtId="165" fontId="50" fillId="0" borderId="1" xfId="4756" quotePrefix="1" applyNumberFormat="1" applyFont="1" applyFill="1" applyBorder="1" applyProtection="1">
      <protection locked="0"/>
    </xf>
    <xf numFmtId="43" fontId="50" fillId="0" borderId="1" xfId="4756" quotePrefix="1" applyFont="1" applyFill="1" applyBorder="1" applyProtection="1">
      <protection locked="0"/>
    </xf>
    <xf numFmtId="165" fontId="50" fillId="0" borderId="1" xfId="4693" quotePrefix="1" applyNumberFormat="1" applyFont="1" applyFill="1" applyBorder="1" applyProtection="1">
      <protection locked="0"/>
    </xf>
    <xf numFmtId="165" fontId="50" fillId="0" borderId="1" xfId="4748" quotePrefix="1" applyNumberFormat="1" applyFont="1" applyFill="1" applyBorder="1" applyProtection="1">
      <protection locked="0"/>
    </xf>
    <xf numFmtId="165" fontId="50" fillId="0" borderId="1" xfId="4738" quotePrefix="1" applyNumberFormat="1" applyFont="1" applyFill="1" applyBorder="1" applyProtection="1">
      <protection locked="0"/>
    </xf>
    <xf numFmtId="165" fontId="50" fillId="0" borderId="1" xfId="4712" quotePrefix="1" applyNumberFormat="1" applyFont="1" applyFill="1" applyBorder="1" applyProtection="1">
      <protection locked="0"/>
    </xf>
    <xf numFmtId="43" fontId="50" fillId="0" borderId="1" xfId="4712" quotePrefix="1" applyFont="1" applyFill="1" applyBorder="1" applyProtection="1">
      <protection locked="0"/>
    </xf>
    <xf numFmtId="165" fontId="50" fillId="0" borderId="1" xfId="4710" quotePrefix="1" applyNumberFormat="1" applyFont="1" applyFill="1" applyBorder="1" applyProtection="1">
      <protection locked="0"/>
    </xf>
    <xf numFmtId="43" fontId="50" fillId="0" borderId="1" xfId="4710" quotePrefix="1" applyFont="1" applyFill="1" applyBorder="1" applyProtection="1">
      <protection locked="0"/>
    </xf>
    <xf numFmtId="165" fontId="50" fillId="0" borderId="1" xfId="4679" quotePrefix="1" applyNumberFormat="1" applyFont="1" applyFill="1" applyBorder="1" applyProtection="1">
      <protection locked="0"/>
    </xf>
    <xf numFmtId="165" fontId="50" fillId="0" borderId="1" xfId="4688" quotePrefix="1" applyNumberFormat="1" applyFont="1" applyFill="1" applyBorder="1" applyProtection="1">
      <protection locked="0"/>
    </xf>
    <xf numFmtId="165" fontId="50" fillId="0" borderId="1" xfId="4719" quotePrefix="1" applyNumberFormat="1" applyFont="1" applyFill="1" applyBorder="1" applyProtection="1">
      <protection locked="0"/>
    </xf>
    <xf numFmtId="165" fontId="50" fillId="0" borderId="1" xfId="4673" quotePrefix="1" applyNumberFormat="1" applyFont="1" applyFill="1" applyBorder="1" applyProtection="1">
      <protection locked="0"/>
    </xf>
    <xf numFmtId="43" fontId="50" fillId="0" borderId="1" xfId="4673" quotePrefix="1" applyFont="1" applyFill="1" applyBorder="1" applyProtection="1">
      <protection locked="0"/>
    </xf>
    <xf numFmtId="37" fontId="11" fillId="3" borderId="0" xfId="0" applyFont="1" applyFill="1" applyAlignment="1">
      <alignment horizontal="center" vertical="center"/>
    </xf>
  </cellXfs>
  <cellStyles count="4760">
    <cellStyle name="20% - Accent1" xfId="21" builtinId="30" customBuiltin="1"/>
    <cellStyle name="20% - Accent1 10" xfId="2685" xr:uid="{072FE1C3-5844-43DB-9A5E-92EB8192BEA0}"/>
    <cellStyle name="20% - Accent1 11" xfId="3339" xr:uid="{199337F5-1E1E-4EFE-B96A-49BD328AC2A0}"/>
    <cellStyle name="20% - Accent1 12" xfId="4004" xr:uid="{1516251E-FF5B-4778-B29F-2F2A89AB177C}"/>
    <cellStyle name="20% - Accent1 13" xfId="723" xr:uid="{24CC2BE2-9AA2-40E6-A2B6-322393E3EDC0}"/>
    <cellStyle name="20% - Accent1 14" xfId="151" xr:uid="{22EC3E23-C8A6-4D29-9845-607FD169FC8D}"/>
    <cellStyle name="20% - Accent1 2" xfId="74" xr:uid="{831A6029-1EDE-48E2-8DD0-374FD9030D4B}"/>
    <cellStyle name="20% - Accent1 2 10" xfId="4022" xr:uid="{F1163603-8017-4000-90EC-7EBFF9A5E526}"/>
    <cellStyle name="20% - Accent1 2 11" xfId="736" xr:uid="{1A8E74C6-37D3-4559-AE88-1B91CE8610B7}"/>
    <cellStyle name="20% - Accent1 2 12" xfId="167" xr:uid="{58D24E0B-5CF6-4484-A801-AD9AF10FFF67}"/>
    <cellStyle name="20% - Accent1 2 2" xfId="1038" xr:uid="{2B40BECE-7A3F-4BAF-8531-BEA9238B5347}"/>
    <cellStyle name="20% - Accent1 2 2 2" xfId="1145" xr:uid="{12BAEAA5-422F-44CE-97FC-7F69104BBC2A}"/>
    <cellStyle name="20% - Accent1 2 2 2 2" xfId="1482" xr:uid="{6D558E46-687B-4943-93C5-08F23C4612C4}"/>
    <cellStyle name="20% - Accent1 2 2 2 2 2" xfId="2541" xr:uid="{0D57E21C-3AEB-4CCB-B191-E32EB25D4D90}"/>
    <cellStyle name="20% - Accent1 2 2 2 2 3" xfId="3192" xr:uid="{56E8A5DA-97CA-4351-BD78-70D4045B1518}"/>
    <cellStyle name="20% - Accent1 2 2 2 2 4" xfId="3848" xr:uid="{7DEBCDD8-2765-4488-A6CE-1D0EFB9A2BF7}"/>
    <cellStyle name="20% - Accent1 2 2 2 2 5" xfId="4511" xr:uid="{B0112A93-7D90-47EF-A5BA-2E127F714B99}"/>
    <cellStyle name="20% - Accent1 2 2 2 3" xfId="1996" xr:uid="{8ED649F8-CB0C-41D1-AD30-256EC4EFDAF8}"/>
    <cellStyle name="20% - Accent1 2 2 2 4" xfId="2214" xr:uid="{A89FFABA-6C92-47B5-86AB-D28A4933A4A7}"/>
    <cellStyle name="20% - Accent1 2 2 2 5" xfId="2865" xr:uid="{F8A29CC4-AF99-42AB-8A4E-357118888D3C}"/>
    <cellStyle name="20% - Accent1 2 2 2 6" xfId="3521" xr:uid="{51B81A78-6314-47BC-85EB-FBE9F5FB623F}"/>
    <cellStyle name="20% - Accent1 2 2 2 7" xfId="4184" xr:uid="{46149407-8DE1-46F2-80B8-980A8F5F69A4}"/>
    <cellStyle name="20% - Accent1 2 2 3" xfId="1259" xr:uid="{AA58112C-6B39-4AE6-A0F5-4ECBBC2E18B5}"/>
    <cellStyle name="20% - Accent1 2 2 3 2" xfId="1590" xr:uid="{1F36A2BE-5AE0-4FE5-B296-1F6CFDA3EFB2}"/>
    <cellStyle name="20% - Accent1 2 2 3 2 2" xfId="2649" xr:uid="{AB93ED99-F49E-4A7D-8528-913A1C83C783}"/>
    <cellStyle name="20% - Accent1 2 2 3 2 3" xfId="3300" xr:uid="{D6DBFDE6-4F51-4093-8D8B-50FC6E9809A2}"/>
    <cellStyle name="20% - Accent1 2 2 3 2 4" xfId="3956" xr:uid="{DEEC49F8-24AB-4077-8751-04F3A24A7CCC}"/>
    <cellStyle name="20% - Accent1 2 2 3 2 5" xfId="4619" xr:uid="{6B2EADD9-A332-45BE-8FBA-98F3B1DE0750}"/>
    <cellStyle name="20% - Accent1 2 2 3 3" xfId="2322" xr:uid="{1CCEE897-073E-4111-817D-6F39CBA54F06}"/>
    <cellStyle name="20% - Accent1 2 2 3 4" xfId="2973" xr:uid="{590765F0-6A11-49FE-BE01-81E8C5FB6D8D}"/>
    <cellStyle name="20% - Accent1 2 2 3 5" xfId="3629" xr:uid="{D40D0F78-D4ED-4D98-B21B-F4BB7AC578DE}"/>
    <cellStyle name="20% - Accent1 2 2 3 6" xfId="4292" xr:uid="{BCBFC074-DB4F-4D1F-B730-640F2E32623A}"/>
    <cellStyle name="20% - Accent1 2 2 4" xfId="1374" xr:uid="{73A8B2F7-C365-4AEA-86B0-1F275800C3E2}"/>
    <cellStyle name="20% - Accent1 2 2 4 2" xfId="2433" xr:uid="{50C41DD1-FABF-4455-88B3-9AAF1AE91626}"/>
    <cellStyle name="20% - Accent1 2 2 4 3" xfId="3084" xr:uid="{58599636-36F1-4139-BCAB-B754566C78B1}"/>
    <cellStyle name="20% - Accent1 2 2 4 4" xfId="3740" xr:uid="{C7CD9FB3-2BF1-421B-8B89-437222CE8A42}"/>
    <cellStyle name="20% - Accent1 2 2 4 5" xfId="4403" xr:uid="{3FB39481-CD8D-40F4-A2A8-8E55616825AC}"/>
    <cellStyle name="20% - Accent1 2 2 5" xfId="1935" xr:uid="{5002787E-8466-4834-AF36-4B2F61C9337B}"/>
    <cellStyle name="20% - Accent1 2 2 6" xfId="2106" xr:uid="{11743CF1-2B78-442A-A3F0-65DAA3E29BE5}"/>
    <cellStyle name="20% - Accent1 2 2 7" xfId="2757" xr:uid="{4C82DBEE-0FB4-418E-96CE-0E4221B60FA8}"/>
    <cellStyle name="20% - Accent1 2 2 8" xfId="3413" xr:uid="{D1498824-ECB9-4B00-9257-2E40ACA76BE3}"/>
    <cellStyle name="20% - Accent1 2 2 9" xfId="4076" xr:uid="{7EAD1E8F-1B50-4CA5-BEA9-744282361FAF}"/>
    <cellStyle name="20% - Accent1 2 3" xfId="1091" xr:uid="{D90A8139-1620-430A-B19A-7CEED9B48343}"/>
    <cellStyle name="20% - Accent1 2 3 2" xfId="1428" xr:uid="{E5C69D95-A9D9-4B3D-9509-7C7729E8DD36}"/>
    <cellStyle name="20% - Accent1 2 3 2 2" xfId="2487" xr:uid="{4A1F7EEB-1FA1-48A2-957E-7D8FFD76DBFB}"/>
    <cellStyle name="20% - Accent1 2 3 2 3" xfId="3138" xr:uid="{F1BA5D69-B6EA-4EF9-94F0-1F40AAA44276}"/>
    <cellStyle name="20% - Accent1 2 3 2 4" xfId="3794" xr:uid="{3EEFE891-0443-4CD4-8F9D-2108BC883334}"/>
    <cellStyle name="20% - Accent1 2 3 2 5" xfId="4457" xr:uid="{C0E1FCCB-D267-40AD-9E2F-5101D137A68E}"/>
    <cellStyle name="20% - Accent1 2 3 3" xfId="1961" xr:uid="{0F805909-84B9-4735-93F7-6DBDD8A2C571}"/>
    <cellStyle name="20% - Accent1 2 3 4" xfId="2160" xr:uid="{3B5167BC-5B1F-4759-B1C9-59EC3327E894}"/>
    <cellStyle name="20% - Accent1 2 3 5" xfId="2811" xr:uid="{66FB9E97-8005-482C-B840-88AA429EDC6B}"/>
    <cellStyle name="20% - Accent1 2 3 6" xfId="3467" xr:uid="{E72F7CC0-2A94-4953-986F-8D1B61A7F15F}"/>
    <cellStyle name="20% - Accent1 2 3 7" xfId="4130" xr:uid="{9C48259D-D1F9-4049-8802-D81C54875B67}"/>
    <cellStyle name="20% - Accent1 2 4" xfId="1205" xr:uid="{BD97ECBF-2A62-4194-8735-7BD7031E3EE9}"/>
    <cellStyle name="20% - Accent1 2 4 2" xfId="1536" xr:uid="{2A21F697-5615-4771-9EED-2D210EFF9DD7}"/>
    <cellStyle name="20% - Accent1 2 4 2 2" xfId="2595" xr:uid="{4CB45F90-D804-4E59-B285-F377F79DB2B6}"/>
    <cellStyle name="20% - Accent1 2 4 2 3" xfId="3246" xr:uid="{1072D015-6D1E-40E0-B02D-DDD2ACE9E37F}"/>
    <cellStyle name="20% - Accent1 2 4 2 4" xfId="3902" xr:uid="{DB82C3CA-7BA1-46B9-97C7-4500A77E2E89}"/>
    <cellStyle name="20% - Accent1 2 4 2 5" xfId="4565" xr:uid="{4EE8A58D-CA81-4DC9-A42D-F37622CB9D0C}"/>
    <cellStyle name="20% - Accent1 2 4 3" xfId="2268" xr:uid="{14777269-E723-4F48-8753-4458058994F4}"/>
    <cellStyle name="20% - Accent1 2 4 4" xfId="2919" xr:uid="{061FD04F-5DC2-4D5D-AEF9-D700C05473F3}"/>
    <cellStyle name="20% - Accent1 2 4 5" xfId="3575" xr:uid="{2000ACCE-4580-46B5-A315-0CC874CF099A}"/>
    <cellStyle name="20% - Accent1 2 4 6" xfId="4238" xr:uid="{DFB474CC-D15E-48D1-9EE1-5B573E39871A}"/>
    <cellStyle name="20% - Accent1 2 5" xfId="1320" xr:uid="{C55A9007-930A-4E57-AE7D-991392C07574}"/>
    <cellStyle name="20% - Accent1 2 5 2" xfId="2379" xr:uid="{6FA5EB8F-0B3E-40C6-970F-B101767DF563}"/>
    <cellStyle name="20% - Accent1 2 5 3" xfId="3030" xr:uid="{9E6583C5-2AA3-47E6-B239-5977E676A919}"/>
    <cellStyle name="20% - Accent1 2 5 4" xfId="3686" xr:uid="{CBDC9433-A1B9-4D01-B083-B40FF0E33ADD}"/>
    <cellStyle name="20% - Accent1 2 5 5" xfId="4349" xr:uid="{B0B665BF-63FE-4985-8DCB-66D2B0C74639}"/>
    <cellStyle name="20% - Accent1 2 6" xfId="1843" xr:uid="{F942C625-37AE-4E99-A4E2-637719689CD8}"/>
    <cellStyle name="20% - Accent1 2 7" xfId="2052" xr:uid="{397CD6A5-5444-4A53-A333-F03A1783D7FE}"/>
    <cellStyle name="20% - Accent1 2 8" xfId="2703" xr:uid="{AB1C1490-BDD1-4AFA-9F95-4B5B0ECBC678}"/>
    <cellStyle name="20% - Accent1 2 9" xfId="3358" xr:uid="{F54E9952-9E9D-4176-A987-056FE7D9A208}"/>
    <cellStyle name="20% - Accent1 3" xfId="246" xr:uid="{CCA8AECC-FE05-4183-A7B3-9A2E4C30D23E}"/>
    <cellStyle name="20% - Accent1 3 10" xfId="4039" xr:uid="{8F020331-865B-43AB-999A-10E7EA17075A}"/>
    <cellStyle name="20% - Accent1 3 11" xfId="1800" xr:uid="{497AD4FE-6439-46E7-92B2-BE08A62E0202}"/>
    <cellStyle name="20% - Accent1 3 12" xfId="1717" xr:uid="{B9FEE3BD-3987-4530-B586-02C8B62EAE1C}"/>
    <cellStyle name="20% - Accent1 3 13" xfId="991" xr:uid="{D82AA48E-899E-4B00-9846-C283C678E640}"/>
    <cellStyle name="20% - Accent1 3 2" xfId="342" xr:uid="{4EB3B464-E629-4129-B69B-AC508C8E228D}"/>
    <cellStyle name="20% - Accent1 3 2 10" xfId="1055" xr:uid="{BC178D7F-E478-4662-A145-7D6E304FB372}"/>
    <cellStyle name="20% - Accent1 3 2 2" xfId="458" xr:uid="{B78C26AD-7714-451D-95D0-8EFD011088A6}"/>
    <cellStyle name="20% - Accent1 3 2 2 2" xfId="677" xr:uid="{573381D5-63F6-47C2-9183-A50499D89C18}"/>
    <cellStyle name="20% - Accent1 3 2 2 2 2" xfId="2558" xr:uid="{E48DC830-4636-44D1-8A70-3C839A40B053}"/>
    <cellStyle name="20% - Accent1 3 2 2 2 3" xfId="3209" xr:uid="{0210F017-4968-4352-9CA8-C9D36F8A75E9}"/>
    <cellStyle name="20% - Accent1 3 2 2 2 4" xfId="3865" xr:uid="{46B686B2-1F1C-4BAF-B493-61E821C08686}"/>
    <cellStyle name="20% - Accent1 3 2 2 2 5" xfId="4528" xr:uid="{BE62FC66-45E4-449A-8D04-78B1F2AE53E6}"/>
    <cellStyle name="20% - Accent1 3 2 2 2 6" xfId="1499" xr:uid="{3AE0BFA2-B92B-4565-8BBC-07544A9658D4}"/>
    <cellStyle name="20% - Accent1 3 2 2 3" xfId="1912" xr:uid="{7580A03A-28BD-498C-B82A-A762896F1F87}"/>
    <cellStyle name="20% - Accent1 3 2 2 4" xfId="2231" xr:uid="{C0E4AC11-AD2C-4A06-A1B2-E1F1364BD7DB}"/>
    <cellStyle name="20% - Accent1 3 2 2 5" xfId="2882" xr:uid="{CF7A087C-E09F-44BE-BC4D-2FF1EC230A56}"/>
    <cellStyle name="20% - Accent1 3 2 2 6" xfId="3538" xr:uid="{C0668706-FE46-4D01-BBA9-431CF0777B6F}"/>
    <cellStyle name="20% - Accent1 3 2 2 7" xfId="4201" xr:uid="{81EA5870-C0E7-4B6F-8001-FAED9C2D335E}"/>
    <cellStyle name="20% - Accent1 3 2 2 8" xfId="1162" xr:uid="{5ECAC1AD-0981-480C-B1A5-710B28E0CFDC}"/>
    <cellStyle name="20% - Accent1 3 2 3" xfId="567" xr:uid="{4052735B-0324-4DFB-A2FD-32D1C9AB0FCF}"/>
    <cellStyle name="20% - Accent1 3 2 3 2" xfId="1607" xr:uid="{971046C6-9A27-480F-BB17-A66BF6014F7C}"/>
    <cellStyle name="20% - Accent1 3 2 3 2 2" xfId="2666" xr:uid="{F12A2A1A-AF20-420D-A278-B55EA9B1E042}"/>
    <cellStyle name="20% - Accent1 3 2 3 2 3" xfId="3317" xr:uid="{9D1C4BDB-172C-4BF4-9509-F10B0632997E}"/>
    <cellStyle name="20% - Accent1 3 2 3 2 4" xfId="3973" xr:uid="{13A00616-59B9-40DE-8AFE-C7C2FB5B1E7F}"/>
    <cellStyle name="20% - Accent1 3 2 3 2 5" xfId="4636" xr:uid="{D8CC7234-781D-4DA9-84DB-36B9C9A88BBC}"/>
    <cellStyle name="20% - Accent1 3 2 3 3" xfId="2339" xr:uid="{A98382BD-3B30-4AD1-BA26-81687FA2416E}"/>
    <cellStyle name="20% - Accent1 3 2 3 4" xfId="2990" xr:uid="{A4B261CE-2615-46B9-9ABE-093B3945A6C9}"/>
    <cellStyle name="20% - Accent1 3 2 3 5" xfId="3646" xr:uid="{928E4777-92AA-40E3-B655-0B3C7F236686}"/>
    <cellStyle name="20% - Accent1 3 2 3 6" xfId="4309" xr:uid="{F75A8A01-2EEE-4B66-A6EE-671B8C26F02D}"/>
    <cellStyle name="20% - Accent1 3 2 3 7" xfId="1276" xr:uid="{832390E5-B8A8-44BF-9AE6-BB8053FBC888}"/>
    <cellStyle name="20% - Accent1 3 2 4" xfId="1391" xr:uid="{592C03E9-E1F1-48DB-B7D4-F48B5DB0BCDD}"/>
    <cellStyle name="20% - Accent1 3 2 4 2" xfId="2450" xr:uid="{12272983-1081-4099-9175-E9D3F7BF5351}"/>
    <cellStyle name="20% - Accent1 3 2 4 3" xfId="3101" xr:uid="{4A8F8086-D24B-4FCF-B350-F3AD279D2B13}"/>
    <cellStyle name="20% - Accent1 3 2 4 4" xfId="3757" xr:uid="{F871A552-85CB-4615-80BC-6570A402F758}"/>
    <cellStyle name="20% - Accent1 3 2 4 5" xfId="4420" xr:uid="{232B7AE6-4764-4B3A-BDB9-2DD41BE27D7E}"/>
    <cellStyle name="20% - Accent1 3 2 5" xfId="1989" xr:uid="{BD10A2BE-E59B-47B3-8748-994B3CE78FED}"/>
    <cellStyle name="20% - Accent1 3 2 6" xfId="2123" xr:uid="{FD4654C8-B16A-4055-A3C8-D64F7C1FB01D}"/>
    <cellStyle name="20% - Accent1 3 2 7" xfId="2774" xr:uid="{93AB9DDD-D38A-4EED-AA5D-9DCB134FAF95}"/>
    <cellStyle name="20% - Accent1 3 2 8" xfId="3430" xr:uid="{8D8C1B1E-0050-4EB4-9C6A-3716D0EA364A}"/>
    <cellStyle name="20% - Accent1 3 2 9" xfId="4093" xr:uid="{F0B2D124-55DE-4010-BB80-6BD26D5C1E7D}"/>
    <cellStyle name="20% - Accent1 3 3" xfId="415" xr:uid="{47CB6B86-9A2D-4C02-879E-11EA033AE485}"/>
    <cellStyle name="20% - Accent1 3 3 2" xfId="634" xr:uid="{592CE167-532B-4742-A334-7C953B521AF4}"/>
    <cellStyle name="20% - Accent1 3 3 2 2" xfId="2504" xr:uid="{C177FD8A-1986-464A-A5F4-7BACFED05774}"/>
    <cellStyle name="20% - Accent1 3 3 2 3" xfId="3155" xr:uid="{5EF8E865-4B8A-40A3-B9EC-52FE296B3398}"/>
    <cellStyle name="20% - Accent1 3 3 2 4" xfId="3811" xr:uid="{E37F5A31-26FD-49DF-A038-46AD97F5867B}"/>
    <cellStyle name="20% - Accent1 3 3 2 5" xfId="4474" xr:uid="{93B09E22-D25D-4378-922D-80EBDCFF4C0A}"/>
    <cellStyle name="20% - Accent1 3 3 2 6" xfId="1445" xr:uid="{EC18CC86-CCF2-4FB6-B419-F5753FDC3AE5}"/>
    <cellStyle name="20% - Accent1 3 3 3" xfId="2020" xr:uid="{F7F5323A-6E85-44A4-B7D1-723265811F7F}"/>
    <cellStyle name="20% - Accent1 3 3 4" xfId="2177" xr:uid="{0F329BAD-FCE5-4A18-AC8F-566D6C29819E}"/>
    <cellStyle name="20% - Accent1 3 3 5" xfId="2828" xr:uid="{6485660E-9524-4A81-8B71-F2147E02A10B}"/>
    <cellStyle name="20% - Accent1 3 3 6" xfId="3484" xr:uid="{6B570F88-2726-42DC-9B36-F8EFFC837981}"/>
    <cellStyle name="20% - Accent1 3 3 7" xfId="4147" xr:uid="{4DE4FB19-9ED3-4CA4-8B41-21C68CC6B26B}"/>
    <cellStyle name="20% - Accent1 3 3 8" xfId="1108" xr:uid="{2118C0EA-9126-4686-9C0E-41243001DAB8}"/>
    <cellStyle name="20% - Accent1 3 4" xfId="524" xr:uid="{29F5E951-B996-495F-9594-39465D86C9F8}"/>
    <cellStyle name="20% - Accent1 3 4 2" xfId="1553" xr:uid="{4FBB3882-9A9A-48C2-9268-EA4F43552D85}"/>
    <cellStyle name="20% - Accent1 3 4 2 2" xfId="2612" xr:uid="{03459428-2F16-4048-ABDB-DE6462711571}"/>
    <cellStyle name="20% - Accent1 3 4 2 3" xfId="3263" xr:uid="{BCE78F9D-EB77-4EC5-BA77-ADA37DDD4026}"/>
    <cellStyle name="20% - Accent1 3 4 2 4" xfId="3919" xr:uid="{A5D7F7CB-8CF9-48B7-93FA-4277FF4FC12C}"/>
    <cellStyle name="20% - Accent1 3 4 2 5" xfId="4582" xr:uid="{5FFAEAC8-B8AA-43B6-9304-EDAA1CA13CA6}"/>
    <cellStyle name="20% - Accent1 3 4 3" xfId="2285" xr:uid="{82384A50-03F6-4605-87DF-6E50F173E178}"/>
    <cellStyle name="20% - Accent1 3 4 4" xfId="2936" xr:uid="{A4ABA09D-B20D-4246-B83B-06AC6F4D0435}"/>
    <cellStyle name="20% - Accent1 3 4 5" xfId="3592" xr:uid="{59865BED-5562-40D2-8CCF-673D8C8CF022}"/>
    <cellStyle name="20% - Accent1 3 4 6" xfId="4255" xr:uid="{5FE5F78D-C33F-489B-9674-5A46436F0612}"/>
    <cellStyle name="20% - Accent1 3 4 7" xfId="1222" xr:uid="{3D066F4D-B075-4548-9CEA-8B9206B1415C}"/>
    <cellStyle name="20% - Accent1 3 5" xfId="294" xr:uid="{BC6ED2F4-2A52-482E-A9C9-00DF1C41DD4A}"/>
    <cellStyle name="20% - Accent1 3 5 2" xfId="2396" xr:uid="{575843D6-7F43-4F6E-A5AA-AE3E928DD009}"/>
    <cellStyle name="20% - Accent1 3 5 3" xfId="3047" xr:uid="{1A81449A-944E-41C3-9125-2510760FC4A2}"/>
    <cellStyle name="20% - Accent1 3 5 4" xfId="3703" xr:uid="{B03F3759-ED25-4CBB-8057-C6D8C51E5F87}"/>
    <cellStyle name="20% - Accent1 3 5 5" xfId="4366" xr:uid="{9009158A-79FC-4C6B-BED0-926C707ADFD2}"/>
    <cellStyle name="20% - Accent1 3 5 6" xfId="1337" xr:uid="{D0CCB9B7-FFDD-459A-9D98-04E1A12EABD7}"/>
    <cellStyle name="20% - Accent1 3 6" xfId="1981" xr:uid="{717C93BE-F7C4-4C94-800C-22255D057AB3}"/>
    <cellStyle name="20% - Accent1 3 7" xfId="2069" xr:uid="{4E392301-50C3-44A2-8908-1A285E1704EF}"/>
    <cellStyle name="20% - Accent1 3 8" xfId="2720" xr:uid="{C90C416D-2407-4ACC-AB6B-5528F0BB4D5A}"/>
    <cellStyle name="20% - Accent1 3 9" xfId="3375" xr:uid="{CD43F515-7747-4BA7-A65E-CC6CA37FC6C0}"/>
    <cellStyle name="20% - Accent1 4" xfId="361" xr:uid="{B3D3A01E-76D7-4DA1-A409-5B85C71F69BE}"/>
    <cellStyle name="20% - Accent1 4 10" xfId="1022" xr:uid="{248CADD7-9496-47EF-95F0-9A1FD8F2D61A}"/>
    <cellStyle name="20% - Accent1 4 2" xfId="477" xr:uid="{122F11EF-C5B4-45A1-91EC-7C1D359CE483}"/>
    <cellStyle name="20% - Accent1 4 2 2" xfId="696" xr:uid="{A17BBFAB-7D32-47E1-9DDD-2BDF56084399}"/>
    <cellStyle name="20% - Accent1 4 2 2 2" xfId="2525" xr:uid="{6854A135-0CD7-4910-ADF3-24E0314374C8}"/>
    <cellStyle name="20% - Accent1 4 2 2 3" xfId="3176" xr:uid="{03D96482-70BE-4E3C-AD97-3EC89197E531}"/>
    <cellStyle name="20% - Accent1 4 2 2 4" xfId="3832" xr:uid="{406B4980-3577-486E-AF03-29B9312AAD03}"/>
    <cellStyle name="20% - Accent1 4 2 2 5" xfId="4495" xr:uid="{81361F34-838F-49E3-9396-737621DAA6F9}"/>
    <cellStyle name="20% - Accent1 4 2 2 6" xfId="1466" xr:uid="{5A7E0ECB-4CAE-47F6-A2F0-B2318A2F77F6}"/>
    <cellStyle name="20% - Accent1 4 2 3" xfId="1964" xr:uid="{F65C12A4-D2EB-4DD2-A199-D65585CCB37A}"/>
    <cellStyle name="20% - Accent1 4 2 4" xfId="2198" xr:uid="{5B6B26A9-9237-4942-982D-C9A09B1768E4}"/>
    <cellStyle name="20% - Accent1 4 2 5" xfId="2849" xr:uid="{42855A29-2195-4671-8179-D47D97676CAF}"/>
    <cellStyle name="20% - Accent1 4 2 6" xfId="3505" xr:uid="{72E7419C-4E7A-47AB-A926-B9F31F9C6963}"/>
    <cellStyle name="20% - Accent1 4 2 7" xfId="4168" xr:uid="{78035249-927B-46F5-8549-6EE954020DF8}"/>
    <cellStyle name="20% - Accent1 4 2 8" xfId="1129" xr:uid="{53C05843-664F-45A7-B63D-7986D1528087}"/>
    <cellStyle name="20% - Accent1 4 3" xfId="586" xr:uid="{8A0A6EB0-BACC-405D-845A-92D91F72FE64}"/>
    <cellStyle name="20% - Accent1 4 3 2" xfId="1574" xr:uid="{193F9A16-B0DE-48F2-A40B-3AB3D4CFA3B5}"/>
    <cellStyle name="20% - Accent1 4 3 2 2" xfId="2633" xr:uid="{E2E51B7A-443E-4768-A867-71C487D3F851}"/>
    <cellStyle name="20% - Accent1 4 3 2 3" xfId="3284" xr:uid="{78CE8DE7-3CDC-4664-BBA4-174E9A2F1B07}"/>
    <cellStyle name="20% - Accent1 4 3 2 4" xfId="3940" xr:uid="{B5C34BFE-79B7-4E65-98C2-73558DBFF482}"/>
    <cellStyle name="20% - Accent1 4 3 2 5" xfId="4603" xr:uid="{C049AC7B-7EB3-4C1B-83EC-D1C23D74045A}"/>
    <cellStyle name="20% - Accent1 4 3 3" xfId="2306" xr:uid="{E5386174-9030-42EE-A4AF-B51CF31A501D}"/>
    <cellStyle name="20% - Accent1 4 3 4" xfId="2957" xr:uid="{1459C8E7-5667-4AEE-9E9D-31842D158AD0}"/>
    <cellStyle name="20% - Accent1 4 3 5" xfId="3613" xr:uid="{EBF91273-AF92-4F4F-8A17-3939C481B379}"/>
    <cellStyle name="20% - Accent1 4 3 6" xfId="4276" xr:uid="{10E8994C-13C6-4C27-BB48-9F2A0541C6C1}"/>
    <cellStyle name="20% - Accent1 4 3 7" xfId="1243" xr:uid="{FF48240B-7D1A-468F-8C4A-CC70E9665FBA}"/>
    <cellStyle name="20% - Accent1 4 4" xfId="1358" xr:uid="{63C260BB-DA88-4839-AE60-AA1847034ED7}"/>
    <cellStyle name="20% - Accent1 4 4 2" xfId="2417" xr:uid="{E08B2C4E-253C-449D-B553-69076B41FA90}"/>
    <cellStyle name="20% - Accent1 4 4 3" xfId="3068" xr:uid="{C9B670D7-4F6E-4BCA-BEE5-CBA2492A29B9}"/>
    <cellStyle name="20% - Accent1 4 4 4" xfId="3724" xr:uid="{3A630CBA-2286-42B7-BE0A-1EB78E606B7F}"/>
    <cellStyle name="20% - Accent1 4 4 5" xfId="4387" xr:uid="{B3452F08-1AF3-40D0-B1B2-0CEA24D08AB9}"/>
    <cellStyle name="20% - Accent1 4 5" xfId="1779" xr:uid="{92195908-64B8-446F-BE42-20169176C291}"/>
    <cellStyle name="20% - Accent1 4 6" xfId="2090" xr:uid="{FB516032-8051-4C62-887C-4F8690C48499}"/>
    <cellStyle name="20% - Accent1 4 7" xfId="2741" xr:uid="{D7A6A1D7-8353-4B3E-A4EE-B55051488553}"/>
    <cellStyle name="20% - Accent1 4 8" xfId="3397" xr:uid="{0ECEAFAC-9C26-49BA-817C-8B1082AEC28F}"/>
    <cellStyle name="20% - Accent1 4 9" xfId="4060" xr:uid="{B777DC57-5F69-4123-B637-C1A074ABB47E}"/>
    <cellStyle name="20% - Accent1 5" xfId="318" xr:uid="{702BCC1D-AB79-4793-AB16-4FFC95D34397}"/>
    <cellStyle name="20% - Accent1 5 10" xfId="1073" xr:uid="{68935F0B-A85D-4E80-A701-7AA707659E1C}"/>
    <cellStyle name="20% - Accent1 5 2" xfId="439" xr:uid="{69838B94-53DE-4FDF-A91D-9192FE143409}"/>
    <cellStyle name="20% - Accent1 5 2 2" xfId="658" xr:uid="{C2D6C53E-F882-43B4-BAE2-6D365A699BA0}"/>
    <cellStyle name="20% - Accent1 5 2 2 2" xfId="2469" xr:uid="{363A83CF-CAB1-4005-8B95-C89F206AA68A}"/>
    <cellStyle name="20% - Accent1 5 2 3" xfId="3120" xr:uid="{8679AA7E-C930-4DDA-B80E-E5E04F1C42A1}"/>
    <cellStyle name="20% - Accent1 5 2 4" xfId="3776" xr:uid="{3942E8F3-F5CB-4E8C-9F60-994F8BD48961}"/>
    <cellStyle name="20% - Accent1 5 2 5" xfId="4439" xr:uid="{DFE342C3-902F-4BAB-8C85-95968FD4DF26}"/>
    <cellStyle name="20% - Accent1 5 2 6" xfId="1410" xr:uid="{B5B9326C-6411-424C-B8D3-357E71BC595E}"/>
    <cellStyle name="20% - Accent1 5 3" xfId="548" xr:uid="{C3AFF3C1-1330-4826-8AE3-0A768E93BFD1}"/>
    <cellStyle name="20% - Accent1 5 3 2" xfId="1985" xr:uid="{E705168F-28B4-42A1-A7B1-5397E8FEEEDD}"/>
    <cellStyle name="20% - Accent1 5 4" xfId="2142" xr:uid="{55884346-91F0-4AD3-9416-48EDB4BC3887}"/>
    <cellStyle name="20% - Accent1 5 5" xfId="2793" xr:uid="{EE5CA9E3-14AA-4288-9E18-D4F87ED9D36E}"/>
    <cellStyle name="20% - Accent1 5 6" xfId="3449" xr:uid="{D0AE28CA-7148-4B83-A012-70601FEB79AB}"/>
    <cellStyle name="20% - Accent1 5 7" xfId="4112" xr:uid="{757177EF-CDEE-4029-9612-EFA601EC0721}"/>
    <cellStyle name="20% - Accent1 5 8" xfId="1815" xr:uid="{C22B00AE-0332-400D-94D9-CD9E1A95A150}"/>
    <cellStyle name="20% - Accent1 5 9" xfId="1659" xr:uid="{7379981A-4E5A-4120-A317-DB7B96E6F054}"/>
    <cellStyle name="20% - Accent1 6" xfId="392" xr:uid="{1E9B0721-9F55-4CFF-853C-5437393D3F40}"/>
    <cellStyle name="20% - Accent1 6 2" xfId="612" xr:uid="{4B99DF68-CD70-48A7-9E14-B7A82CEB8C85}"/>
    <cellStyle name="20% - Accent1 6 2 2" xfId="2577" xr:uid="{7EBDA07D-D1BC-4922-9D58-4BA0C3BB2856}"/>
    <cellStyle name="20% - Accent1 6 2 3" xfId="3228" xr:uid="{4D77B490-599B-4377-9155-E908D33A009A}"/>
    <cellStyle name="20% - Accent1 6 2 4" xfId="3884" xr:uid="{AC2C5CCA-B5B1-48C4-9B97-724540091292}"/>
    <cellStyle name="20% - Accent1 6 2 5" xfId="4547" xr:uid="{497BD9DB-4A11-45D6-A8BF-33931D71F1B6}"/>
    <cellStyle name="20% - Accent1 6 2 6" xfId="1518" xr:uid="{ECE6C32E-7E37-4AA9-97ED-61122380F165}"/>
    <cellStyle name="20% - Accent1 6 3" xfId="2250" xr:uid="{CBFEB742-4825-4A08-B71B-6352BAB7A0EC}"/>
    <cellStyle name="20% - Accent1 6 4" xfId="2901" xr:uid="{F1404EC7-FFFD-4318-9A79-2A7057B3EA48}"/>
    <cellStyle name="20% - Accent1 6 5" xfId="3557" xr:uid="{4165820F-BB22-4366-A51F-1E58876154AF}"/>
    <cellStyle name="20% - Accent1 6 6" xfId="4220" xr:uid="{352545FA-4892-4BF9-BE3B-70128B2A795B}"/>
    <cellStyle name="20% - Accent1 6 7" xfId="1187" xr:uid="{4FD3EB37-ABC1-4A67-8083-8523D120643E}"/>
    <cellStyle name="20% - Accent1 7" xfId="502" xr:uid="{3E56A643-8620-4915-A416-13296546977F}"/>
    <cellStyle name="20% - Accent1 7 2" xfId="2361" xr:uid="{8A0493DE-6877-4DF1-A7AE-3AC8D7B57A40}"/>
    <cellStyle name="20% - Accent1 7 3" xfId="3012" xr:uid="{D1F6669B-3485-43FC-98E0-25C0050A5E27}"/>
    <cellStyle name="20% - Accent1 7 4" xfId="3668" xr:uid="{5828C296-C07F-440D-B328-6CF4908C4FF4}"/>
    <cellStyle name="20% - Accent1 7 5" xfId="4331" xr:uid="{54854902-61D5-4D9D-8D61-4BBE4D8DDD80}"/>
    <cellStyle name="20% - Accent1 7 6" xfId="1297" xr:uid="{C20D1FF4-27DE-4343-99F0-D633C28235EC}"/>
    <cellStyle name="20% - Accent1 8" xfId="270" xr:uid="{8BF916F9-2651-4BF5-A24F-72431165DC84}"/>
    <cellStyle name="20% - Accent1 8 2" xfId="2023" xr:uid="{641B7F45-8422-41BC-B6AD-E554CDC7E8C5}"/>
    <cellStyle name="20% - Accent1 9" xfId="2034" xr:uid="{A02C05AA-EBDA-48AD-9DD7-9574A0E2DCF7}"/>
    <cellStyle name="20% - Accent2" xfId="25" builtinId="34" customBuiltin="1"/>
    <cellStyle name="20% - Accent2 10" xfId="2687" xr:uid="{612945E8-605D-4AE6-935C-602D69F67614}"/>
    <cellStyle name="20% - Accent2 11" xfId="3341" xr:uid="{6C6FE66A-B095-4593-9876-66645E9BA4AE}"/>
    <cellStyle name="20% - Accent2 12" xfId="4006" xr:uid="{A159FB20-C83E-41C4-8E7F-1122A6BC986D}"/>
    <cellStyle name="20% - Accent2 13" xfId="725" xr:uid="{C26224E8-AA48-4C31-91CC-F65180417304}"/>
    <cellStyle name="20% - Accent2 14" xfId="153" xr:uid="{2D9C14E2-2A99-437A-B627-32E9ACB6213B}"/>
    <cellStyle name="20% - Accent2 2" xfId="75" xr:uid="{1B66D021-A761-4A28-A976-DB71B4DD1597}"/>
    <cellStyle name="20% - Accent2 2 10" xfId="4023" xr:uid="{1BA15A0E-99E8-4B2A-AB4C-16C96ABB3105}"/>
    <cellStyle name="20% - Accent2 2 11" xfId="737" xr:uid="{69A0FECA-8A11-4E1C-BF07-9CA4FFD862A6}"/>
    <cellStyle name="20% - Accent2 2 12" xfId="168" xr:uid="{479CFE98-A84B-4347-8468-D5FC34A624C8}"/>
    <cellStyle name="20% - Accent2 2 2" xfId="1039" xr:uid="{3EEA788C-DF89-4E73-A038-37B0BD7F288B}"/>
    <cellStyle name="20% - Accent2 2 2 2" xfId="1146" xr:uid="{268B9CA0-A409-4261-9223-086355CB5D6A}"/>
    <cellStyle name="20% - Accent2 2 2 2 2" xfId="1483" xr:uid="{A5B7B8FE-5D21-4DF0-B62D-0B77F94554F7}"/>
    <cellStyle name="20% - Accent2 2 2 2 2 2" xfId="2542" xr:uid="{0A39DDBD-981B-4811-9F87-588B18B1BDB8}"/>
    <cellStyle name="20% - Accent2 2 2 2 2 3" xfId="3193" xr:uid="{266A40CF-CE14-4074-8E4A-8E63B3FF9D8A}"/>
    <cellStyle name="20% - Accent2 2 2 2 2 4" xfId="3849" xr:uid="{7E6815FC-BFAF-489E-98BE-E4B92A90512D}"/>
    <cellStyle name="20% - Accent2 2 2 2 2 5" xfId="4512" xr:uid="{17F3EBA2-4B88-4240-9970-6CFC76BBE40F}"/>
    <cellStyle name="20% - Accent2 2 2 2 3" xfId="1907" xr:uid="{49CCF9EF-B340-45D6-86D5-98CF7403A169}"/>
    <cellStyle name="20% - Accent2 2 2 2 4" xfId="2215" xr:uid="{5E0AC76B-94EE-455D-8CEF-7E906F9E649F}"/>
    <cellStyle name="20% - Accent2 2 2 2 5" xfId="2866" xr:uid="{1618A861-4634-40B0-9DF8-043D57B4A812}"/>
    <cellStyle name="20% - Accent2 2 2 2 6" xfId="3522" xr:uid="{3687AAC5-9832-457F-995A-F106058E94C1}"/>
    <cellStyle name="20% - Accent2 2 2 2 7" xfId="4185" xr:uid="{F628D361-96D5-4641-B20D-E3961D1252A1}"/>
    <cellStyle name="20% - Accent2 2 2 3" xfId="1260" xr:uid="{870FAC4D-31E8-4ABC-855B-BFB1405D05BE}"/>
    <cellStyle name="20% - Accent2 2 2 3 2" xfId="1591" xr:uid="{F26C59D3-8C20-46D4-8C22-2521101F6034}"/>
    <cellStyle name="20% - Accent2 2 2 3 2 2" xfId="2650" xr:uid="{E1AC9951-9042-42F8-9DA4-43005482AEBD}"/>
    <cellStyle name="20% - Accent2 2 2 3 2 3" xfId="3301" xr:uid="{A6E1912D-9ACC-4867-B935-F4D7940F3D3B}"/>
    <cellStyle name="20% - Accent2 2 2 3 2 4" xfId="3957" xr:uid="{28EC9826-3060-4E17-AA9E-A99486F63BF0}"/>
    <cellStyle name="20% - Accent2 2 2 3 2 5" xfId="4620" xr:uid="{9DCEEC11-370B-4885-86CC-184E1B48D604}"/>
    <cellStyle name="20% - Accent2 2 2 3 3" xfId="2323" xr:uid="{F9EF7AC0-814E-4CA3-8E5A-5FC22BE150DB}"/>
    <cellStyle name="20% - Accent2 2 2 3 4" xfId="2974" xr:uid="{D72F9765-2CB8-47E3-B8E8-2DB1B6AF76DD}"/>
    <cellStyle name="20% - Accent2 2 2 3 5" xfId="3630" xr:uid="{2B793517-62A7-4AD8-A89E-F3FD95883713}"/>
    <cellStyle name="20% - Accent2 2 2 3 6" xfId="4293" xr:uid="{2DE5FF23-97D8-412E-B882-5A2A974BE2EF}"/>
    <cellStyle name="20% - Accent2 2 2 4" xfId="1375" xr:uid="{FCB0353A-823D-43EB-89E3-50498D71FE21}"/>
    <cellStyle name="20% - Accent2 2 2 4 2" xfId="2434" xr:uid="{B18DF0EB-27A1-4EFD-A685-A5F7ACD93681}"/>
    <cellStyle name="20% - Accent2 2 2 4 3" xfId="3085" xr:uid="{89C1887A-0177-432B-B7CE-84979670ED18}"/>
    <cellStyle name="20% - Accent2 2 2 4 4" xfId="3741" xr:uid="{8DA34DB0-258A-4029-B348-57A19C983D17}"/>
    <cellStyle name="20% - Accent2 2 2 4 5" xfId="4404" xr:uid="{627D54DD-FB04-4F3B-A600-38172453E7A6}"/>
    <cellStyle name="20% - Accent2 2 2 5" xfId="1786" xr:uid="{06500D6E-420B-4203-ABBE-8E4FE20C192A}"/>
    <cellStyle name="20% - Accent2 2 2 6" xfId="2107" xr:uid="{5A65DD47-E93D-4320-B12B-3C76F7A46682}"/>
    <cellStyle name="20% - Accent2 2 2 7" xfId="2758" xr:uid="{5609AF5A-02A4-4DE0-B7A5-1935A776A2ED}"/>
    <cellStyle name="20% - Accent2 2 2 8" xfId="3414" xr:uid="{593EE470-EC15-4600-926F-F42D68FF8F3F}"/>
    <cellStyle name="20% - Accent2 2 2 9" xfId="4077" xr:uid="{DBBF02CA-1674-4D2A-A832-95B5521EC3FF}"/>
    <cellStyle name="20% - Accent2 2 3" xfId="1092" xr:uid="{2109B724-E5EF-4657-B173-B6816FBE76F1}"/>
    <cellStyle name="20% - Accent2 2 3 2" xfId="1429" xr:uid="{1BD2E2A4-A24D-40C0-8E06-5532680DA677}"/>
    <cellStyle name="20% - Accent2 2 3 2 2" xfId="2488" xr:uid="{7764EB34-C35D-46C2-9256-88E304129547}"/>
    <cellStyle name="20% - Accent2 2 3 2 3" xfId="3139" xr:uid="{BB134677-6C46-4465-87D8-AFDC02C1B103}"/>
    <cellStyle name="20% - Accent2 2 3 2 4" xfId="3795" xr:uid="{D7C1FC55-FCDE-4C6D-BC7D-64FE3422FCCB}"/>
    <cellStyle name="20% - Accent2 2 3 2 5" xfId="4458" xr:uid="{CA86BAB5-38D5-4A73-BADA-FADF68EECCC1}"/>
    <cellStyle name="20% - Accent2 2 3 3" xfId="1977" xr:uid="{D120C800-D8A9-4176-8899-23E7589883F3}"/>
    <cellStyle name="20% - Accent2 2 3 4" xfId="2161" xr:uid="{BBB91E89-A96D-4483-B345-E613DB9D1AE9}"/>
    <cellStyle name="20% - Accent2 2 3 5" xfId="2812" xr:uid="{6B0C5926-B154-43A6-BA58-76A7952E6989}"/>
    <cellStyle name="20% - Accent2 2 3 6" xfId="3468" xr:uid="{605900B7-11A1-4FB1-9630-03C98E29F0A3}"/>
    <cellStyle name="20% - Accent2 2 3 7" xfId="4131" xr:uid="{1F899E32-8D52-4C06-A32E-2318B0660D1B}"/>
    <cellStyle name="20% - Accent2 2 4" xfId="1206" xr:uid="{F46FC76E-F339-4C88-B501-9A489648F0D5}"/>
    <cellStyle name="20% - Accent2 2 4 2" xfId="1537" xr:uid="{30EE09A6-F2C8-47F3-A31D-F1DF4BF80964}"/>
    <cellStyle name="20% - Accent2 2 4 2 2" xfId="2596" xr:uid="{3F8BF5EB-1032-4DD6-B7C1-88D3D056C4D1}"/>
    <cellStyle name="20% - Accent2 2 4 2 3" xfId="3247" xr:uid="{D9260CA3-6989-4C09-B77B-1F2CBFFC1D62}"/>
    <cellStyle name="20% - Accent2 2 4 2 4" xfId="3903" xr:uid="{4070C06A-D118-4405-9FD7-2B9FFD2BDA13}"/>
    <cellStyle name="20% - Accent2 2 4 2 5" xfId="4566" xr:uid="{60BA032C-90EF-426B-880A-F67DD1AFF47B}"/>
    <cellStyle name="20% - Accent2 2 4 3" xfId="2269" xr:uid="{4906C9BF-FC60-4A3F-9022-88B421D2670C}"/>
    <cellStyle name="20% - Accent2 2 4 4" xfId="2920" xr:uid="{1CEDDDD7-735E-4EB1-A98F-45C9CF5513C3}"/>
    <cellStyle name="20% - Accent2 2 4 5" xfId="3576" xr:uid="{BA722FBB-BD7D-4381-96BC-A37B20967EB8}"/>
    <cellStyle name="20% - Accent2 2 4 6" xfId="4239" xr:uid="{E2C92012-1BC4-4563-B104-8AE75D482F9C}"/>
    <cellStyle name="20% - Accent2 2 5" xfId="1321" xr:uid="{E3BBE305-164A-4E30-98A2-B9DEC37008AE}"/>
    <cellStyle name="20% - Accent2 2 5 2" xfId="2380" xr:uid="{040E148B-263B-4AC1-BB91-55D9FCA8479A}"/>
    <cellStyle name="20% - Accent2 2 5 3" xfId="3031" xr:uid="{1871D555-D0E8-4686-8185-194DAB9DF188}"/>
    <cellStyle name="20% - Accent2 2 5 4" xfId="3687" xr:uid="{E337CE09-76CC-471A-8BBC-6324B378FC1F}"/>
    <cellStyle name="20% - Accent2 2 5 5" xfId="4350" xr:uid="{574E5A84-AF8F-4FC0-B8A8-16C320F9CE7B}"/>
    <cellStyle name="20% - Accent2 2 6" xfId="1892" xr:uid="{9B01E47B-A885-475D-B205-E65C4A9E1175}"/>
    <cellStyle name="20% - Accent2 2 7" xfId="2053" xr:uid="{2361669A-2573-4E60-B9E6-9560367A3D22}"/>
    <cellStyle name="20% - Accent2 2 8" xfId="2704" xr:uid="{1B80564E-63BA-46B6-853E-5ECDB5E48A0E}"/>
    <cellStyle name="20% - Accent2 2 9" xfId="3359" xr:uid="{132D41F1-7725-4B28-A87C-EF641C7ABA89}"/>
    <cellStyle name="20% - Accent2 3" xfId="248" xr:uid="{87846445-0D0B-4DAA-B146-A85319D0BBD9}"/>
    <cellStyle name="20% - Accent2 3 10" xfId="4041" xr:uid="{EDF16DBC-2C11-4B5E-AB1B-0A41B99979C1}"/>
    <cellStyle name="20% - Accent2 3 11" xfId="1802" xr:uid="{6B073374-2BD5-43DF-8419-B58F6DB848DA}"/>
    <cellStyle name="20% - Accent2 3 12" xfId="1724" xr:uid="{57965F0B-5F39-461E-BE50-FC857923C037}"/>
    <cellStyle name="20% - Accent2 3 13" xfId="993" xr:uid="{2170F14F-B817-4CAE-AD4B-5962672CD99C}"/>
    <cellStyle name="20% - Accent2 3 2" xfId="344" xr:uid="{9C16B057-DB7B-4DAC-BE8F-A5AA2053C9F5}"/>
    <cellStyle name="20% - Accent2 3 2 10" xfId="1057" xr:uid="{60C8CBC2-6CC2-4316-8A80-2154C899B598}"/>
    <cellStyle name="20% - Accent2 3 2 2" xfId="460" xr:uid="{FC9869F9-E80C-4B70-B24C-C6AF5EC2D597}"/>
    <cellStyle name="20% - Accent2 3 2 2 2" xfId="679" xr:uid="{49C4D515-ECF9-497B-AC4D-C8377A3F1FED}"/>
    <cellStyle name="20% - Accent2 3 2 2 2 2" xfId="2560" xr:uid="{1150635A-82FC-45AD-9A79-5D2FCF8684C0}"/>
    <cellStyle name="20% - Accent2 3 2 2 2 3" xfId="3211" xr:uid="{14F6D723-8BDD-4AE0-A434-0BA8BFCD99B2}"/>
    <cellStyle name="20% - Accent2 3 2 2 2 4" xfId="3867" xr:uid="{68C39113-E1D6-4BFF-B9BE-541EB09D62B6}"/>
    <cellStyle name="20% - Accent2 3 2 2 2 5" xfId="4530" xr:uid="{450099BD-30A8-487E-AABA-FFA518BF90FC}"/>
    <cellStyle name="20% - Accent2 3 2 2 2 6" xfId="1501" xr:uid="{C0D0C590-03A1-4DBA-9E20-11AB494C0C03}"/>
    <cellStyle name="20% - Accent2 3 2 2 3" xfId="1953" xr:uid="{EA49FE9F-B39F-42C9-AED5-4A1E48AF4DAE}"/>
    <cellStyle name="20% - Accent2 3 2 2 4" xfId="2233" xr:uid="{161852AA-10B4-4DB8-8BDD-75B9CD9DE72D}"/>
    <cellStyle name="20% - Accent2 3 2 2 5" xfId="2884" xr:uid="{324BB555-6C09-4924-8FA3-6282E4D27C94}"/>
    <cellStyle name="20% - Accent2 3 2 2 6" xfId="3540" xr:uid="{348C2FC7-8C80-4101-91C7-1E52E460F58B}"/>
    <cellStyle name="20% - Accent2 3 2 2 7" xfId="4203" xr:uid="{13B7226D-A958-4438-89E2-F0736F9FA6DA}"/>
    <cellStyle name="20% - Accent2 3 2 2 8" xfId="1164" xr:uid="{99392C58-C1E1-4149-9620-5C446C34DF86}"/>
    <cellStyle name="20% - Accent2 3 2 3" xfId="569" xr:uid="{45E02037-EC69-4AEE-903D-6961D509ACDA}"/>
    <cellStyle name="20% - Accent2 3 2 3 2" xfId="1609" xr:uid="{370C7641-8ADC-4569-A980-44925EE962C4}"/>
    <cellStyle name="20% - Accent2 3 2 3 2 2" xfId="2668" xr:uid="{DC160F2C-FEFE-428B-9CD2-58FE63160812}"/>
    <cellStyle name="20% - Accent2 3 2 3 2 3" xfId="3319" xr:uid="{CF056905-A785-4723-A710-37E65BBA283C}"/>
    <cellStyle name="20% - Accent2 3 2 3 2 4" xfId="3975" xr:uid="{A874E3BE-2B13-4E5D-BC02-4245BDB1CED4}"/>
    <cellStyle name="20% - Accent2 3 2 3 2 5" xfId="4638" xr:uid="{3C4F02EF-CE47-456A-8731-56D21553F335}"/>
    <cellStyle name="20% - Accent2 3 2 3 3" xfId="2341" xr:uid="{113061F6-7338-4B41-8D08-C5549757DC3F}"/>
    <cellStyle name="20% - Accent2 3 2 3 4" xfId="2992" xr:uid="{BAD6BAB3-73D2-4E0D-A2E3-D622127D7302}"/>
    <cellStyle name="20% - Accent2 3 2 3 5" xfId="3648" xr:uid="{5246D3BB-6994-4FB0-A7AB-306E29E71A34}"/>
    <cellStyle name="20% - Accent2 3 2 3 6" xfId="4311" xr:uid="{B411EC03-E87D-4AEB-A7BE-78E786F270D6}"/>
    <cellStyle name="20% - Accent2 3 2 3 7" xfId="1278" xr:uid="{34C4D5C2-8459-459B-87A9-D1FDD1966F28}"/>
    <cellStyle name="20% - Accent2 3 2 4" xfId="1393" xr:uid="{9B3CA09F-1AF7-4494-8863-168445647363}"/>
    <cellStyle name="20% - Accent2 3 2 4 2" xfId="2452" xr:uid="{83D55364-2EB5-4428-984C-89F42DC1F85B}"/>
    <cellStyle name="20% - Accent2 3 2 4 3" xfId="3103" xr:uid="{E26939AA-41C5-49AA-90A0-D101FB46E22C}"/>
    <cellStyle name="20% - Accent2 3 2 4 4" xfId="3759" xr:uid="{01935D89-C8E2-4B97-8C06-1DA3290741B9}"/>
    <cellStyle name="20% - Accent2 3 2 4 5" xfId="4422" xr:uid="{E2FF16F3-CCB5-4FBB-A218-CF9B3C1378EB}"/>
    <cellStyle name="20% - Accent2 3 2 5" xfId="1906" xr:uid="{EE0DC91E-0FA8-46BF-8597-7C9E4A0DE464}"/>
    <cellStyle name="20% - Accent2 3 2 6" xfId="2125" xr:uid="{D3077626-B715-4982-BCBC-E6421763E22C}"/>
    <cellStyle name="20% - Accent2 3 2 7" xfId="2776" xr:uid="{7DC1D012-FE45-4D9E-90AA-9317710D2739}"/>
    <cellStyle name="20% - Accent2 3 2 8" xfId="3432" xr:uid="{2D08BABB-5769-4C09-BBA1-B3316CBED783}"/>
    <cellStyle name="20% - Accent2 3 2 9" xfId="4095" xr:uid="{D72F6C11-9857-4C8F-B754-56EBF7D2FFF3}"/>
    <cellStyle name="20% - Accent2 3 3" xfId="417" xr:uid="{EA8AE5E4-DCC1-4926-9201-ACC98BF67B6C}"/>
    <cellStyle name="20% - Accent2 3 3 2" xfId="636" xr:uid="{EA3FD66E-39B3-4599-BF7A-399164AAE806}"/>
    <cellStyle name="20% - Accent2 3 3 2 2" xfId="2506" xr:uid="{7E561258-9A70-4FD1-B011-3D0E89DEBC91}"/>
    <cellStyle name="20% - Accent2 3 3 2 3" xfId="3157" xr:uid="{DFFB92D7-6194-479D-899D-3340DBA297BF}"/>
    <cellStyle name="20% - Accent2 3 3 2 4" xfId="3813" xr:uid="{994A38A8-F372-423A-BE17-7B473480C5FF}"/>
    <cellStyle name="20% - Accent2 3 3 2 5" xfId="4476" xr:uid="{292D273F-6F44-41B5-87AD-BF522707D2E5}"/>
    <cellStyle name="20% - Accent2 3 3 2 6" xfId="1447" xr:uid="{4E2F323B-7754-4998-934D-7A53E8C1F23D}"/>
    <cellStyle name="20% - Accent2 3 3 3" xfId="2002" xr:uid="{7222F92A-3733-47CF-9697-3F77885A5502}"/>
    <cellStyle name="20% - Accent2 3 3 4" xfId="2179" xr:uid="{08AB8551-91F9-415A-8679-A162CAA00374}"/>
    <cellStyle name="20% - Accent2 3 3 5" xfId="2830" xr:uid="{9DCCC641-0D54-4C62-A806-FBF2ED27E01A}"/>
    <cellStyle name="20% - Accent2 3 3 6" xfId="3486" xr:uid="{9080E7B4-311E-4059-A5FD-1100187F6676}"/>
    <cellStyle name="20% - Accent2 3 3 7" xfId="4149" xr:uid="{D2E44AD1-04BE-4BA5-90EC-7DB897027A6E}"/>
    <cellStyle name="20% - Accent2 3 3 8" xfId="1110" xr:uid="{0370DCE5-E535-48E9-82AE-0AC342DBFDBE}"/>
    <cellStyle name="20% - Accent2 3 4" xfId="526" xr:uid="{2EEF8070-E275-49EB-9875-6E0FA1A4FE8E}"/>
    <cellStyle name="20% - Accent2 3 4 2" xfId="1555" xr:uid="{6C74875F-F36D-434A-BC4D-AAA3DFECC962}"/>
    <cellStyle name="20% - Accent2 3 4 2 2" xfId="2614" xr:uid="{CBDA7F18-4B6D-4DCD-A11C-D514B6642310}"/>
    <cellStyle name="20% - Accent2 3 4 2 3" xfId="3265" xr:uid="{DF37DD00-8414-4356-A3DC-32F3AF611AFF}"/>
    <cellStyle name="20% - Accent2 3 4 2 4" xfId="3921" xr:uid="{EF67B56E-012B-4DF3-A7B6-91D6C2EA109B}"/>
    <cellStyle name="20% - Accent2 3 4 2 5" xfId="4584" xr:uid="{2E75D5FE-7EA6-415E-9B0C-3E4F5C08C534}"/>
    <cellStyle name="20% - Accent2 3 4 3" xfId="2287" xr:uid="{CC0F54D5-72AB-4918-8E62-A0B0310F8ACE}"/>
    <cellStyle name="20% - Accent2 3 4 4" xfId="2938" xr:uid="{AFD24444-D9C3-49F1-9C96-F1AE68927400}"/>
    <cellStyle name="20% - Accent2 3 4 5" xfId="3594" xr:uid="{7BD43A9C-F7BC-4340-A689-D533EF7ADAB6}"/>
    <cellStyle name="20% - Accent2 3 4 6" xfId="4257" xr:uid="{B1DE3833-815E-4522-88AB-CCB6D2AF6FC7}"/>
    <cellStyle name="20% - Accent2 3 4 7" xfId="1224" xr:uid="{5BED4345-AFE9-40F1-8BC6-D4926E36E0F7}"/>
    <cellStyle name="20% - Accent2 3 5" xfId="296" xr:uid="{9DBE4F76-A696-45C6-BE1B-124E0EE19E8A}"/>
    <cellStyle name="20% - Accent2 3 5 2" xfId="2398" xr:uid="{A89660C0-CC23-4F41-9C95-69625E797080}"/>
    <cellStyle name="20% - Accent2 3 5 3" xfId="3049" xr:uid="{52008C9E-DF48-4AD1-A4C0-DB27F143BE52}"/>
    <cellStyle name="20% - Accent2 3 5 4" xfId="3705" xr:uid="{33927C12-7616-4194-97BB-1D03EA75C249}"/>
    <cellStyle name="20% - Accent2 3 5 5" xfId="4368" xr:uid="{73FFC175-A0B7-4134-830B-19011B1ED806}"/>
    <cellStyle name="20% - Accent2 3 5 6" xfId="1339" xr:uid="{1E509436-673B-462C-8B89-CACDEC8FF066}"/>
    <cellStyle name="20% - Accent2 3 6" xfId="2032" xr:uid="{0AEE8FB3-EF86-4148-9E63-950B921F5654}"/>
    <cellStyle name="20% - Accent2 3 7" xfId="2071" xr:uid="{F4696C57-C661-441C-93F7-99765C568455}"/>
    <cellStyle name="20% - Accent2 3 8" xfId="2722" xr:uid="{149914ED-F2D9-417D-AA2E-20165E8915D3}"/>
    <cellStyle name="20% - Accent2 3 9" xfId="3377" xr:uid="{CB5B7A2E-2F51-47F8-B110-204465C30FB9}"/>
    <cellStyle name="20% - Accent2 4" xfId="363" xr:uid="{ECF1E692-2CDC-4EEF-86EA-E414658DF3EA}"/>
    <cellStyle name="20% - Accent2 4 10" xfId="1024" xr:uid="{48307C65-27B9-4A20-AC66-30D7E7D4034C}"/>
    <cellStyle name="20% - Accent2 4 2" xfId="479" xr:uid="{F196AA90-9BE7-4F51-A207-B92ED5B9CFA7}"/>
    <cellStyle name="20% - Accent2 4 2 2" xfId="698" xr:uid="{E10CCD04-0EB3-4403-9424-9DB9D2366044}"/>
    <cellStyle name="20% - Accent2 4 2 2 2" xfId="2527" xr:uid="{048DDD7C-F6F4-45A2-A1C5-2CD5B9EAF4BB}"/>
    <cellStyle name="20% - Accent2 4 2 2 3" xfId="3178" xr:uid="{74FFCAB7-06A1-4352-BA85-2CA10F7630A9}"/>
    <cellStyle name="20% - Accent2 4 2 2 4" xfId="3834" xr:uid="{147723F0-E054-432F-BCE8-E49C602D6795}"/>
    <cellStyle name="20% - Accent2 4 2 2 5" xfId="4497" xr:uid="{E1460F92-BCD7-403A-B97C-C62950098A25}"/>
    <cellStyle name="20% - Accent2 4 2 2 6" xfId="1468" xr:uid="{877B2EC9-D901-49B9-BC49-F7A76181E202}"/>
    <cellStyle name="20% - Accent2 4 2 3" xfId="1939" xr:uid="{72CE9AF7-DF06-4168-8299-2BAE84E08A52}"/>
    <cellStyle name="20% - Accent2 4 2 4" xfId="2200" xr:uid="{DD516740-8230-4689-A9A8-27AC31F224FC}"/>
    <cellStyle name="20% - Accent2 4 2 5" xfId="2851" xr:uid="{9AC3DD1F-FEF7-4B1F-B0C3-1D810C13A940}"/>
    <cellStyle name="20% - Accent2 4 2 6" xfId="3507" xr:uid="{965B0FD4-1C80-4A74-BCDD-ECFDEFE8DF76}"/>
    <cellStyle name="20% - Accent2 4 2 7" xfId="4170" xr:uid="{39350749-7AE1-414F-8E65-358AAFA9DDAF}"/>
    <cellStyle name="20% - Accent2 4 2 8" xfId="1131" xr:uid="{C9D228EA-1028-415C-9AC0-DC5E2A5E6EC0}"/>
    <cellStyle name="20% - Accent2 4 3" xfId="588" xr:uid="{D96ADC45-21D6-4703-881B-87C444FF9696}"/>
    <cellStyle name="20% - Accent2 4 3 2" xfId="1576" xr:uid="{42FEA67A-AB88-4FB5-8518-A32E514596B1}"/>
    <cellStyle name="20% - Accent2 4 3 2 2" xfId="2635" xr:uid="{5667B893-CAD9-4E29-BE6D-3BBAED286D69}"/>
    <cellStyle name="20% - Accent2 4 3 2 3" xfId="3286" xr:uid="{278206AD-82E9-41A2-9D50-CCB887E06083}"/>
    <cellStyle name="20% - Accent2 4 3 2 4" xfId="3942" xr:uid="{01EB154D-D18C-428D-BC57-4BB9A156DF8E}"/>
    <cellStyle name="20% - Accent2 4 3 2 5" xfId="4605" xr:uid="{F6E80DA6-0926-4F66-941A-9EE596118B8A}"/>
    <cellStyle name="20% - Accent2 4 3 3" xfId="2308" xr:uid="{8D87BF96-CD68-4E53-93F7-813FF4F51079}"/>
    <cellStyle name="20% - Accent2 4 3 4" xfId="2959" xr:uid="{9F6481AB-B86B-416D-9A71-8D105AD492AC}"/>
    <cellStyle name="20% - Accent2 4 3 5" xfId="3615" xr:uid="{638F0556-CEE8-4A03-A897-A203025645D8}"/>
    <cellStyle name="20% - Accent2 4 3 6" xfId="4278" xr:uid="{F939EC7F-5470-4DB6-A275-B47B528892D6}"/>
    <cellStyle name="20% - Accent2 4 3 7" xfId="1245" xr:uid="{C0105F88-EE75-44C8-8096-BCBD96C5240F}"/>
    <cellStyle name="20% - Accent2 4 4" xfId="1360" xr:uid="{177A2611-0790-4C6F-A41A-4C559B194CB8}"/>
    <cellStyle name="20% - Accent2 4 4 2" xfId="2419" xr:uid="{643A4D5F-5951-432E-9DDD-E4D333D28481}"/>
    <cellStyle name="20% - Accent2 4 4 3" xfId="3070" xr:uid="{F3D4E001-0B33-46D5-83B4-771AB9096D20}"/>
    <cellStyle name="20% - Accent2 4 4 4" xfId="3726" xr:uid="{6FD2B4A3-0024-45A9-8081-81AB1330B84C}"/>
    <cellStyle name="20% - Accent2 4 4 5" xfId="4389" xr:uid="{D11F720B-3B0A-460E-9E57-C90F15CAD68D}"/>
    <cellStyle name="20% - Accent2 4 5" xfId="1980" xr:uid="{4868BCC3-A0E2-4D1E-8E8A-142F869E3959}"/>
    <cellStyle name="20% - Accent2 4 6" xfId="2092" xr:uid="{FF8B9B05-EB80-400C-A7C5-9CA0E8FC28CB}"/>
    <cellStyle name="20% - Accent2 4 7" xfId="2743" xr:uid="{6CCF002E-2AF7-4E69-A51F-47765EFA7B3B}"/>
    <cellStyle name="20% - Accent2 4 8" xfId="3399" xr:uid="{E9D90F93-9D26-466D-BEF3-1A3C0FB7B44F}"/>
    <cellStyle name="20% - Accent2 4 9" xfId="4062" xr:uid="{C40EA414-A1C4-46AA-A034-62B519C236BF}"/>
    <cellStyle name="20% - Accent2 5" xfId="320" xr:uid="{863439CF-E2FD-4836-BC48-74392EC083DE}"/>
    <cellStyle name="20% - Accent2 5 10" xfId="1075" xr:uid="{82B61F4A-4B24-4EEC-AE4B-9D56CAFD7349}"/>
    <cellStyle name="20% - Accent2 5 2" xfId="441" xr:uid="{58F8A50B-FE72-4FC3-ADDE-2FC8A6CFED5C}"/>
    <cellStyle name="20% - Accent2 5 2 2" xfId="660" xr:uid="{6A3C26BD-5384-4272-A68F-716C4F6C8ABC}"/>
    <cellStyle name="20% - Accent2 5 2 2 2" xfId="2471" xr:uid="{15A22CDA-35C4-4C96-A838-A61016B34DF6}"/>
    <cellStyle name="20% - Accent2 5 2 3" xfId="3122" xr:uid="{2623244F-E7C0-4AE3-A595-31A182E0D326}"/>
    <cellStyle name="20% - Accent2 5 2 4" xfId="3778" xr:uid="{630F84AB-44FC-40F2-B0CE-192509EF3B6F}"/>
    <cellStyle name="20% - Accent2 5 2 5" xfId="4441" xr:uid="{80983CB1-C889-43F2-BF3A-77D900980D68}"/>
    <cellStyle name="20% - Accent2 5 2 6" xfId="1412" xr:uid="{7303BEB8-22EC-4E38-821D-07F570638FCA}"/>
    <cellStyle name="20% - Accent2 5 3" xfId="550" xr:uid="{C266F0AD-7123-4DF0-90EB-757CBCF17AF6}"/>
    <cellStyle name="20% - Accent2 5 3 2" xfId="1951" xr:uid="{B106917E-1C3A-4FF9-9CBA-882F438167F7}"/>
    <cellStyle name="20% - Accent2 5 4" xfId="2144" xr:uid="{0698C892-4417-407B-803B-A434338092E0}"/>
    <cellStyle name="20% - Accent2 5 5" xfId="2795" xr:uid="{423F659B-5092-491E-93F5-58E246B9DC3F}"/>
    <cellStyle name="20% - Accent2 5 6" xfId="3451" xr:uid="{BCA311E2-CF70-4CCD-A6D7-04E5B3B82518}"/>
    <cellStyle name="20% - Accent2 5 7" xfId="4114" xr:uid="{5B247E86-80D6-457D-A84F-3AC2BD40BE80}"/>
    <cellStyle name="20% - Accent2 5 8" xfId="1817" xr:uid="{F7BB1A47-2C73-4AA5-9F83-8765A00B6F15}"/>
    <cellStyle name="20% - Accent2 5 9" xfId="1663" xr:uid="{4C35A554-A1D3-449A-AB88-001EA8F3D2D1}"/>
    <cellStyle name="20% - Accent2 6" xfId="394" xr:uid="{E44AA846-4C68-487E-AD56-382686994D6F}"/>
    <cellStyle name="20% - Accent2 6 2" xfId="614" xr:uid="{CE7CF19F-D4B7-4149-9E90-1ED1FB38379A}"/>
    <cellStyle name="20% - Accent2 6 2 2" xfId="2579" xr:uid="{870A607C-0BDA-4F22-85A8-F79B83AC3F18}"/>
    <cellStyle name="20% - Accent2 6 2 3" xfId="3230" xr:uid="{DAAF3300-3D0C-4A35-AB62-07E3A4C170E5}"/>
    <cellStyle name="20% - Accent2 6 2 4" xfId="3886" xr:uid="{849F7EA2-902E-454B-9610-051A25EB071F}"/>
    <cellStyle name="20% - Accent2 6 2 5" xfId="4549" xr:uid="{E99C13C0-77E8-4ADD-A7BD-D0B0DA644137}"/>
    <cellStyle name="20% - Accent2 6 2 6" xfId="1520" xr:uid="{D175BC9C-21CD-4A42-B147-C97F059EC7BE}"/>
    <cellStyle name="20% - Accent2 6 3" xfId="2252" xr:uid="{FE26890A-0DA7-4423-8954-631ADEF72E42}"/>
    <cellStyle name="20% - Accent2 6 4" xfId="2903" xr:uid="{ACC56F4F-710E-4996-A4AA-824098D4FE15}"/>
    <cellStyle name="20% - Accent2 6 5" xfId="3559" xr:uid="{AA34837A-478D-4F6C-B46E-7070C000BF8F}"/>
    <cellStyle name="20% - Accent2 6 6" xfId="4222" xr:uid="{ADCA22F4-58F2-42B1-ACF8-F165771DC982}"/>
    <cellStyle name="20% - Accent2 6 7" xfId="1189" xr:uid="{974869A5-7374-4EB6-B26F-2D145F792D43}"/>
    <cellStyle name="20% - Accent2 7" xfId="504" xr:uid="{397D0AC8-CB0A-4A05-BF91-55ED13FFF3CE}"/>
    <cellStyle name="20% - Accent2 7 2" xfId="2363" xr:uid="{7739A17A-DDB2-4520-AF9C-49BA8A12B4AD}"/>
    <cellStyle name="20% - Accent2 7 3" xfId="3014" xr:uid="{1455AFE5-638F-4E4E-A6CC-3622E347EBB8}"/>
    <cellStyle name="20% - Accent2 7 4" xfId="3670" xr:uid="{E09E3F77-724B-4CBB-BF76-5FA898E2D441}"/>
    <cellStyle name="20% - Accent2 7 5" xfId="4333" xr:uid="{29854743-4465-44B5-9953-889803B0BAD1}"/>
    <cellStyle name="20% - Accent2 7 6" xfId="1299" xr:uid="{07A6FC5D-EBA2-4038-AC17-05E51CC6D813}"/>
    <cellStyle name="20% - Accent2 8" xfId="272" xr:uid="{3E4BC71B-2469-4EBB-8983-D89AD71225B4}"/>
    <cellStyle name="20% - Accent2 8 2" xfId="1958" xr:uid="{8633908D-196E-4B2C-BAEB-6F2AE9E903E9}"/>
    <cellStyle name="20% - Accent2 9" xfId="2036" xr:uid="{3D2D7865-F641-40D8-B650-684AE7F31B91}"/>
    <cellStyle name="20% - Accent3" xfId="29" builtinId="38" customBuiltin="1"/>
    <cellStyle name="20% - Accent3 10" xfId="2689" xr:uid="{A75308F8-54C4-4BD6-BA0F-9973AC41583D}"/>
    <cellStyle name="20% - Accent3 11" xfId="3343" xr:uid="{66949D1B-8F7B-4292-B559-04D1EA0DAC41}"/>
    <cellStyle name="20% - Accent3 12" xfId="4008" xr:uid="{B3C6D639-2B47-4146-BF58-B3928EBD59BA}"/>
    <cellStyle name="20% - Accent3 13" xfId="727" xr:uid="{2FEAC148-61D2-458D-A18F-7586EAF81CA5}"/>
    <cellStyle name="20% - Accent3 14" xfId="155" xr:uid="{04510F03-04F5-420E-AA54-423A79D3662A}"/>
    <cellStyle name="20% - Accent3 2" xfId="76" xr:uid="{B627696B-2292-4090-B988-865699FBECAF}"/>
    <cellStyle name="20% - Accent3 2 10" xfId="4024" xr:uid="{EA905EC3-B06F-4ADE-8A0A-4EBD0D4F5629}"/>
    <cellStyle name="20% - Accent3 2 11" xfId="738" xr:uid="{DC163804-C5C9-4D30-9A7B-CF902D39806C}"/>
    <cellStyle name="20% - Accent3 2 12" xfId="169" xr:uid="{EE1D4FF3-002E-48B1-A45E-094B4F8429BE}"/>
    <cellStyle name="20% - Accent3 2 2" xfId="1040" xr:uid="{F4ACB787-97A6-4219-82E2-FFD26287245C}"/>
    <cellStyle name="20% - Accent3 2 2 2" xfId="1147" xr:uid="{7849A47E-D75C-43E4-A764-23032196DB68}"/>
    <cellStyle name="20% - Accent3 2 2 2 2" xfId="1484" xr:uid="{AFA42CF3-F046-4AAB-A9BA-1AE3891BD405}"/>
    <cellStyle name="20% - Accent3 2 2 2 2 2" xfId="2543" xr:uid="{5198EA3C-1E6F-462C-A3AF-71A1C1E971B9}"/>
    <cellStyle name="20% - Accent3 2 2 2 2 3" xfId="3194" xr:uid="{B0130534-39B4-4631-8F55-C83098EA4D63}"/>
    <cellStyle name="20% - Accent3 2 2 2 2 4" xfId="3850" xr:uid="{960E7110-DFB6-48E9-B4F2-8A505D044E1E}"/>
    <cellStyle name="20% - Accent3 2 2 2 2 5" xfId="4513" xr:uid="{85D46425-F4CB-4510-97E3-8ADF94AD84BA}"/>
    <cellStyle name="20% - Accent3 2 2 2 3" xfId="2013" xr:uid="{A0DB2E34-5256-411C-8A31-B879ED44ECCE}"/>
    <cellStyle name="20% - Accent3 2 2 2 4" xfId="2216" xr:uid="{97C47D67-9172-482C-A06B-1412DD4A10C8}"/>
    <cellStyle name="20% - Accent3 2 2 2 5" xfId="2867" xr:uid="{90F32509-48EB-4256-8B06-B13B66E31FE6}"/>
    <cellStyle name="20% - Accent3 2 2 2 6" xfId="3523" xr:uid="{F00ED83A-69D5-4573-9F5C-D0884D8AE0F7}"/>
    <cellStyle name="20% - Accent3 2 2 2 7" xfId="4186" xr:uid="{8D47E9FB-894D-46CA-9C8C-2E7CC2023E5F}"/>
    <cellStyle name="20% - Accent3 2 2 3" xfId="1261" xr:uid="{FDF335A4-BDF8-440E-B11F-88F5483CBB9D}"/>
    <cellStyle name="20% - Accent3 2 2 3 2" xfId="1592" xr:uid="{BE7D8691-BABC-4BD0-9AF6-76F2524D1920}"/>
    <cellStyle name="20% - Accent3 2 2 3 2 2" xfId="2651" xr:uid="{A3B30351-7172-450E-AED7-142EEE048650}"/>
    <cellStyle name="20% - Accent3 2 2 3 2 3" xfId="3302" xr:uid="{DE488976-ECF9-4DC6-A78C-B0AD9C76BFBA}"/>
    <cellStyle name="20% - Accent3 2 2 3 2 4" xfId="3958" xr:uid="{9F8ECF0D-DAD7-4326-B80B-969D6E46FB71}"/>
    <cellStyle name="20% - Accent3 2 2 3 2 5" xfId="4621" xr:uid="{25364325-F1A9-4FA7-BC14-2AA7B2705DDD}"/>
    <cellStyle name="20% - Accent3 2 2 3 3" xfId="2324" xr:uid="{999A69F3-F4F3-4B3D-AC47-67C50F7530FC}"/>
    <cellStyle name="20% - Accent3 2 2 3 4" xfId="2975" xr:uid="{8BCA136A-5FCC-4BD7-B3AD-C074793C4B2C}"/>
    <cellStyle name="20% - Accent3 2 2 3 5" xfId="3631" xr:uid="{C4BAE143-1E63-4F9E-B55B-DCFE9D430A34}"/>
    <cellStyle name="20% - Accent3 2 2 3 6" xfId="4294" xr:uid="{1FF1B7FB-0579-465D-946C-30775F756DDF}"/>
    <cellStyle name="20% - Accent3 2 2 4" xfId="1376" xr:uid="{1738D160-110A-485E-A462-FE2D1729E574}"/>
    <cellStyle name="20% - Accent3 2 2 4 2" xfId="2435" xr:uid="{5C186AD4-5E9B-4BA0-B91D-3C612590B4F1}"/>
    <cellStyle name="20% - Accent3 2 2 4 3" xfId="3086" xr:uid="{7CF7D01C-0EE8-42C6-897C-BDF7D30EA822}"/>
    <cellStyle name="20% - Accent3 2 2 4 4" xfId="3742" xr:uid="{583C1E76-BA1E-4B11-9CF9-0F9C4375BAA9}"/>
    <cellStyle name="20% - Accent3 2 2 4 5" xfId="4405" xr:uid="{CBD13014-A95B-4F7A-9908-65DB4B594AFC}"/>
    <cellStyle name="20% - Accent3 2 2 5" xfId="1917" xr:uid="{ABE95EC3-1650-4C64-9421-E19A064442FE}"/>
    <cellStyle name="20% - Accent3 2 2 6" xfId="2108" xr:uid="{6CA24A81-83F7-40C5-B08F-8BCD0A33F550}"/>
    <cellStyle name="20% - Accent3 2 2 7" xfId="2759" xr:uid="{3195B247-BBCF-46FF-8CE4-DDD4F59DB617}"/>
    <cellStyle name="20% - Accent3 2 2 8" xfId="3415" xr:uid="{1403D01F-724C-4161-B27C-9FE7060D560F}"/>
    <cellStyle name="20% - Accent3 2 2 9" xfId="4078" xr:uid="{EF4E1194-89E9-4CDC-A87B-A36FA375D676}"/>
    <cellStyle name="20% - Accent3 2 3" xfId="1093" xr:uid="{9236BF72-F6D1-40F9-A0E4-0933C3C355FC}"/>
    <cellStyle name="20% - Accent3 2 3 2" xfId="1430" xr:uid="{CCE20AD9-393C-4187-A602-3CDDA0670DD0}"/>
    <cellStyle name="20% - Accent3 2 3 2 2" xfId="2489" xr:uid="{79ED5ED8-CAD6-4F1F-8834-4811CD94A1AD}"/>
    <cellStyle name="20% - Accent3 2 3 2 3" xfId="3140" xr:uid="{E5FBF514-2C32-4CB9-BE9A-E215867C6551}"/>
    <cellStyle name="20% - Accent3 2 3 2 4" xfId="3796" xr:uid="{F455722A-6703-4B10-A0B8-5A82BAE474EB}"/>
    <cellStyle name="20% - Accent3 2 3 2 5" xfId="4459" xr:uid="{06B0CBE2-4DFD-42E7-9702-CF45FF9DCBE7}"/>
    <cellStyle name="20% - Accent3 2 3 3" xfId="1868" xr:uid="{617B4C1D-EBC0-4E52-9C38-4287B3C266A7}"/>
    <cellStyle name="20% - Accent3 2 3 4" xfId="2162" xr:uid="{7AF2B306-1D03-4279-B776-C28B94909022}"/>
    <cellStyle name="20% - Accent3 2 3 5" xfId="2813" xr:uid="{FCCD6B80-9D10-4612-B090-B6C8AA21D63E}"/>
    <cellStyle name="20% - Accent3 2 3 6" xfId="3469" xr:uid="{D1F9552C-716D-4D7D-9BC6-470129AAFE79}"/>
    <cellStyle name="20% - Accent3 2 3 7" xfId="4132" xr:uid="{338BAD89-5EA0-4EDD-B66F-E6F02CB19567}"/>
    <cellStyle name="20% - Accent3 2 4" xfId="1207" xr:uid="{06BB236F-F916-4886-A4B1-29D82E1D7A16}"/>
    <cellStyle name="20% - Accent3 2 4 2" xfId="1538" xr:uid="{411A2649-D3C3-4D0F-A864-76816A7D8A8F}"/>
    <cellStyle name="20% - Accent3 2 4 2 2" xfId="2597" xr:uid="{46557ACC-0A80-477F-9764-D4F1432938AA}"/>
    <cellStyle name="20% - Accent3 2 4 2 3" xfId="3248" xr:uid="{74F4F7E8-F58A-43C4-BE42-B33A0B88FEC7}"/>
    <cellStyle name="20% - Accent3 2 4 2 4" xfId="3904" xr:uid="{C9CBE2DF-8A3B-4CE4-B085-B6FD47246260}"/>
    <cellStyle name="20% - Accent3 2 4 2 5" xfId="4567" xr:uid="{58C26C64-232E-446C-8C47-3B0C866163EC}"/>
    <cellStyle name="20% - Accent3 2 4 3" xfId="2270" xr:uid="{74BF211D-5C3A-4A33-BE29-35F54066D974}"/>
    <cellStyle name="20% - Accent3 2 4 4" xfId="2921" xr:uid="{5C525F11-28EE-4369-BA0C-0C4381C71196}"/>
    <cellStyle name="20% - Accent3 2 4 5" xfId="3577" xr:uid="{BE4E8B0C-A3D3-4E50-AD1E-5B8EA6C15A42}"/>
    <cellStyle name="20% - Accent3 2 4 6" xfId="4240" xr:uid="{6A355754-E8A2-462C-8A46-EECC99A9797E}"/>
    <cellStyle name="20% - Accent3 2 5" xfId="1322" xr:uid="{9819580E-7BF7-4468-880E-AA924610A51D}"/>
    <cellStyle name="20% - Accent3 2 5 2" xfId="2381" xr:uid="{FE4F4CAA-E9AB-48A2-92F6-35F4EAA9DCFD}"/>
    <cellStyle name="20% - Accent3 2 5 3" xfId="3032" xr:uid="{3149CB5F-33ED-439C-899E-25C3230FB5CC}"/>
    <cellStyle name="20% - Accent3 2 5 4" xfId="3688" xr:uid="{9F9D1144-2515-4254-BFB3-5827B3031B55}"/>
    <cellStyle name="20% - Accent3 2 5 5" xfId="4351" xr:uid="{1B272FB4-715E-4C9F-8482-E48533CD5CDB}"/>
    <cellStyle name="20% - Accent3 2 6" xfId="1898" xr:uid="{0DB42D5B-6D5D-4258-A29D-197B4BEDEBE5}"/>
    <cellStyle name="20% - Accent3 2 7" xfId="2054" xr:uid="{7D53DF2D-734E-4206-9E37-033084E22C4D}"/>
    <cellStyle name="20% - Accent3 2 8" xfId="2705" xr:uid="{CD97E441-4C7F-48C0-908F-AD4DEED1EBA5}"/>
    <cellStyle name="20% - Accent3 2 9" xfId="3360" xr:uid="{11F732E8-DB74-45DE-83B7-BAF2B6DAB53A}"/>
    <cellStyle name="20% - Accent3 3" xfId="250" xr:uid="{92D1B4E3-779F-471F-BCFC-FBB37DA32310}"/>
    <cellStyle name="20% - Accent3 3 10" xfId="4043" xr:uid="{21B51168-6BE3-4716-A235-8B35AFD588A2}"/>
    <cellStyle name="20% - Accent3 3 11" xfId="1804" xr:uid="{A0746DD8-8BF8-4C2A-906A-4D3AD15E5CA6}"/>
    <cellStyle name="20% - Accent3 3 12" xfId="1731" xr:uid="{DFB9334E-9749-4261-8F6F-94713920A5BA}"/>
    <cellStyle name="20% - Accent3 3 13" xfId="995" xr:uid="{4C221A2F-7847-45A7-8257-D39AF7EB4533}"/>
    <cellStyle name="20% - Accent3 3 2" xfId="346" xr:uid="{D8C61CD4-C698-46CB-96D0-E07D7DEE2338}"/>
    <cellStyle name="20% - Accent3 3 2 10" xfId="1059" xr:uid="{1302FAEA-DAB5-4084-A1B6-ACC2F92F902F}"/>
    <cellStyle name="20% - Accent3 3 2 2" xfId="462" xr:uid="{4A996DF1-8953-43CA-A6A9-9683A1A95D10}"/>
    <cellStyle name="20% - Accent3 3 2 2 2" xfId="681" xr:uid="{6DEB3ACA-0620-42FB-90C7-9C76290A2C9A}"/>
    <cellStyle name="20% - Accent3 3 2 2 2 2" xfId="2562" xr:uid="{29BDBFDA-8F6B-4C1A-8456-37934BF84613}"/>
    <cellStyle name="20% - Accent3 3 2 2 2 3" xfId="3213" xr:uid="{C0F5CD4E-AC95-4F89-B0B6-7A4638D23ECB}"/>
    <cellStyle name="20% - Accent3 3 2 2 2 4" xfId="3869" xr:uid="{E6549276-8DDA-4269-916A-8A57D43DF33F}"/>
    <cellStyle name="20% - Accent3 3 2 2 2 5" xfId="4532" xr:uid="{532416A9-6E11-48D7-A920-637AF5D9886A}"/>
    <cellStyle name="20% - Accent3 3 2 2 2 6" xfId="1503" xr:uid="{A1703EFA-467B-4786-A68E-C7B360E6806A}"/>
    <cellStyle name="20% - Accent3 3 2 2 3" xfId="1780" xr:uid="{F12F4068-70FA-4ECF-B30A-4882FA4D7F7F}"/>
    <cellStyle name="20% - Accent3 3 2 2 4" xfId="2235" xr:uid="{6D5D325F-DC95-42BF-AD38-D3E186E57299}"/>
    <cellStyle name="20% - Accent3 3 2 2 5" xfId="2886" xr:uid="{57D98016-9816-4840-A386-5710BCD20B7E}"/>
    <cellStyle name="20% - Accent3 3 2 2 6" xfId="3542" xr:uid="{6238DCF1-3687-42B4-94F0-09627267FC6D}"/>
    <cellStyle name="20% - Accent3 3 2 2 7" xfId="4205" xr:uid="{AEB63E9C-2A40-4FA0-A57B-BBBD87F1AD58}"/>
    <cellStyle name="20% - Accent3 3 2 2 8" xfId="1166" xr:uid="{43D1DF12-36C2-43BF-AC89-AAD024F7EEED}"/>
    <cellStyle name="20% - Accent3 3 2 3" xfId="571" xr:uid="{C1FF9C74-C8D0-4836-853D-8D99DB0E1702}"/>
    <cellStyle name="20% - Accent3 3 2 3 2" xfId="1611" xr:uid="{BB6A1211-6D02-41FE-81CE-DB6396C61A82}"/>
    <cellStyle name="20% - Accent3 3 2 3 2 2" xfId="2670" xr:uid="{7041AE0C-D988-40B2-AE56-EF38207CD494}"/>
    <cellStyle name="20% - Accent3 3 2 3 2 3" xfId="3321" xr:uid="{72A7CBF4-7800-4BB9-974D-3DDB64C598E5}"/>
    <cellStyle name="20% - Accent3 3 2 3 2 4" xfId="3977" xr:uid="{EEAB63B6-C833-496D-AA20-58B1F514080E}"/>
    <cellStyle name="20% - Accent3 3 2 3 2 5" xfId="4640" xr:uid="{2B43B80D-964B-413A-ADDE-B3D671494509}"/>
    <cellStyle name="20% - Accent3 3 2 3 3" xfId="2343" xr:uid="{6FF5FDB3-7BF0-4594-8AAD-46F7508A0B02}"/>
    <cellStyle name="20% - Accent3 3 2 3 4" xfId="2994" xr:uid="{F0919D69-8EC7-48A5-AA93-F700A721F2B9}"/>
    <cellStyle name="20% - Accent3 3 2 3 5" xfId="3650" xr:uid="{83802FBF-38C3-43F5-B886-FDEFA3D6B47F}"/>
    <cellStyle name="20% - Accent3 3 2 3 6" xfId="4313" xr:uid="{69232A18-EFF6-45C8-B868-0900C16EFB6B}"/>
    <cellStyle name="20% - Accent3 3 2 3 7" xfId="1280" xr:uid="{4C0FD1F9-F6BB-4590-93EE-6904CA169E31}"/>
    <cellStyle name="20% - Accent3 3 2 4" xfId="1395" xr:uid="{91B3C0B6-33E0-4F45-A594-26340B2345C5}"/>
    <cellStyle name="20% - Accent3 3 2 4 2" xfId="2454" xr:uid="{768795B1-9C32-496D-9BD6-12D5BEE0268A}"/>
    <cellStyle name="20% - Accent3 3 2 4 3" xfId="3105" xr:uid="{E425A7DF-483F-4A72-A564-AEF9F8B8E449}"/>
    <cellStyle name="20% - Accent3 3 2 4 4" xfId="3761" xr:uid="{7B2D25C4-F9E3-4479-8AD1-4C3B0A3440B3}"/>
    <cellStyle name="20% - Accent3 3 2 4 5" xfId="4424" xr:uid="{B1BCF481-1599-4ED5-AAE1-704616C43466}"/>
    <cellStyle name="20% - Accent3 3 2 5" xfId="1945" xr:uid="{E24E8F12-5C36-4DF5-BB83-D3ABB1CFD85A}"/>
    <cellStyle name="20% - Accent3 3 2 6" xfId="2127" xr:uid="{08FFB611-7EE5-4038-9DD2-E47C65EF8E22}"/>
    <cellStyle name="20% - Accent3 3 2 7" xfId="2778" xr:uid="{60F3BE9A-27AF-4F8E-BBDB-4C9DFCF0A75A}"/>
    <cellStyle name="20% - Accent3 3 2 8" xfId="3434" xr:uid="{50842E09-0FD5-4A1B-B0D1-7A6D27A6CE1A}"/>
    <cellStyle name="20% - Accent3 3 2 9" xfId="4097" xr:uid="{7B70F90E-B733-40A8-8CA3-36D0CCFCA181}"/>
    <cellStyle name="20% - Accent3 3 3" xfId="419" xr:uid="{186D352E-0B64-4C46-B6F7-392B495A55FE}"/>
    <cellStyle name="20% - Accent3 3 3 2" xfId="638" xr:uid="{AC254F45-9009-43AF-9751-75D0B0D47D76}"/>
    <cellStyle name="20% - Accent3 3 3 2 2" xfId="2508" xr:uid="{7753A4EF-DEB9-4750-BC7E-5EB6A6FE9F9E}"/>
    <cellStyle name="20% - Accent3 3 3 2 3" xfId="3159" xr:uid="{C2BBA198-6244-4277-AFDD-CFACA9746106}"/>
    <cellStyle name="20% - Accent3 3 3 2 4" xfId="3815" xr:uid="{BAA53235-443A-4D82-9DF2-8C1D30B2F7AC}"/>
    <cellStyle name="20% - Accent3 3 3 2 5" xfId="4478" xr:uid="{F462E47C-525A-4A46-B011-FD2BDF5FD093}"/>
    <cellStyle name="20% - Accent3 3 3 2 6" xfId="1449" xr:uid="{9CD1A13D-32A4-4C49-91BD-F1158AAB7B3A}"/>
    <cellStyle name="20% - Accent3 3 3 3" xfId="2000" xr:uid="{AA67BD68-D7BA-4501-AA03-1606345097EC}"/>
    <cellStyle name="20% - Accent3 3 3 4" xfId="2181" xr:uid="{DD966889-0818-45AB-AF54-FDE591260C48}"/>
    <cellStyle name="20% - Accent3 3 3 5" xfId="2832" xr:uid="{A62F1724-C853-4200-9D49-1149C141D616}"/>
    <cellStyle name="20% - Accent3 3 3 6" xfId="3488" xr:uid="{E8DA32A1-F8E2-4DC7-81F8-4C57D008F297}"/>
    <cellStyle name="20% - Accent3 3 3 7" xfId="4151" xr:uid="{EAB59D3D-3A84-43CC-A8AB-44A15FAD3119}"/>
    <cellStyle name="20% - Accent3 3 3 8" xfId="1112" xr:uid="{2BE45605-9155-48FA-82C9-E4B9771976FF}"/>
    <cellStyle name="20% - Accent3 3 4" xfId="528" xr:uid="{1AF846F2-BEA5-48DE-B215-E094E386F187}"/>
    <cellStyle name="20% - Accent3 3 4 2" xfId="1557" xr:uid="{2DB55F3A-29F5-4EAC-B44A-35E746A3EF7C}"/>
    <cellStyle name="20% - Accent3 3 4 2 2" xfId="2616" xr:uid="{B76B7BD2-F370-47E6-80C7-5129411D065A}"/>
    <cellStyle name="20% - Accent3 3 4 2 3" xfId="3267" xr:uid="{9F5A419D-EA10-44EC-B80C-FE0C1B7AF150}"/>
    <cellStyle name="20% - Accent3 3 4 2 4" xfId="3923" xr:uid="{F7091D92-59AD-430A-AAE8-105772372A9B}"/>
    <cellStyle name="20% - Accent3 3 4 2 5" xfId="4586" xr:uid="{6C469445-4DAC-456C-898C-4B0BC74C1488}"/>
    <cellStyle name="20% - Accent3 3 4 3" xfId="2289" xr:uid="{B77736C3-19F7-418B-9DA7-1372C41852F1}"/>
    <cellStyle name="20% - Accent3 3 4 4" xfId="2940" xr:uid="{F46F0DEE-6ED3-4282-9FE3-7C1156F86A0B}"/>
    <cellStyle name="20% - Accent3 3 4 5" xfId="3596" xr:uid="{10267A64-1BDD-4439-B4D0-E12BAE96496A}"/>
    <cellStyle name="20% - Accent3 3 4 6" xfId="4259" xr:uid="{6B34275F-8ACB-47A0-9FCB-5DDB749A8953}"/>
    <cellStyle name="20% - Accent3 3 4 7" xfId="1226" xr:uid="{23D03C9C-E837-417D-9617-626B78BB2EC2}"/>
    <cellStyle name="20% - Accent3 3 5" xfId="298" xr:uid="{F161B8E5-AF75-43C0-BAFF-F391C9C62AFE}"/>
    <cellStyle name="20% - Accent3 3 5 2" xfId="2400" xr:uid="{08681C7D-37FC-4B16-A63A-10240C707112}"/>
    <cellStyle name="20% - Accent3 3 5 3" xfId="3051" xr:uid="{705327CD-FE2E-454A-B0AA-C7FE0AE53B9B}"/>
    <cellStyle name="20% - Accent3 3 5 4" xfId="3707" xr:uid="{60165E7D-C29C-4C28-BA0E-2BD44FAF50BA}"/>
    <cellStyle name="20% - Accent3 3 5 5" xfId="4370" xr:uid="{508F1690-BDAA-46AE-B142-DAC50D2FB148}"/>
    <cellStyle name="20% - Accent3 3 5 6" xfId="1341" xr:uid="{8DEEF541-740E-4BCC-81BF-D6CB3164C1F4}"/>
    <cellStyle name="20% - Accent3 3 6" xfId="2030" xr:uid="{5C8A5CD7-89AC-44B5-BBF0-595F75DD4235}"/>
    <cellStyle name="20% - Accent3 3 7" xfId="2073" xr:uid="{0D2B1500-8099-46FF-AB90-6AC65915BD02}"/>
    <cellStyle name="20% - Accent3 3 8" xfId="2724" xr:uid="{54213ADB-29C5-4E31-9768-9B8E48F15F30}"/>
    <cellStyle name="20% - Accent3 3 9" xfId="3379" xr:uid="{A77A4283-ED7B-43EF-9A36-1B34D3E475B4}"/>
    <cellStyle name="20% - Accent3 4" xfId="365" xr:uid="{1D01B4C3-6853-4BCF-9D05-DFA7B79F0F51}"/>
    <cellStyle name="20% - Accent3 4 10" xfId="1026" xr:uid="{C70D44E2-6541-41EF-BC74-2567AED1BA27}"/>
    <cellStyle name="20% - Accent3 4 2" xfId="481" xr:uid="{DDDEB2E0-3D20-4D41-B30D-EFBAB454C0BB}"/>
    <cellStyle name="20% - Accent3 4 2 2" xfId="700" xr:uid="{B9A7F5A3-F21A-4935-8191-4462622130CB}"/>
    <cellStyle name="20% - Accent3 4 2 2 2" xfId="2529" xr:uid="{2E33300B-56AC-472F-B534-DF3B8D1DC981}"/>
    <cellStyle name="20% - Accent3 4 2 2 3" xfId="3180" xr:uid="{4D00B7BA-67E4-44DE-AE8A-CDCC869EB812}"/>
    <cellStyle name="20% - Accent3 4 2 2 4" xfId="3836" xr:uid="{8C4F21C2-1020-4A1E-8491-A7E2A3C03669}"/>
    <cellStyle name="20% - Accent3 4 2 2 5" xfId="4499" xr:uid="{9B709DF0-C3AD-4636-8C41-F92FCDF123B5}"/>
    <cellStyle name="20% - Accent3 4 2 2 6" xfId="1470" xr:uid="{449E4BE9-9C35-47CE-8E40-60F42EC990AD}"/>
    <cellStyle name="20% - Accent3 4 2 3" xfId="1936" xr:uid="{184848E1-6132-489F-9E63-F7D24B5E9043}"/>
    <cellStyle name="20% - Accent3 4 2 4" xfId="2202" xr:uid="{5DD48D26-786F-448E-9C5A-9B546B0E49EF}"/>
    <cellStyle name="20% - Accent3 4 2 5" xfId="2853" xr:uid="{8E75AFDD-CD19-41ED-B0DC-B9B3FA3FDA4C}"/>
    <cellStyle name="20% - Accent3 4 2 6" xfId="3509" xr:uid="{CE8E14AE-87FE-401F-9196-CDF2F4FDDCF9}"/>
    <cellStyle name="20% - Accent3 4 2 7" xfId="4172" xr:uid="{AFD743CF-1756-4F41-A075-61D6C34DF36C}"/>
    <cellStyle name="20% - Accent3 4 2 8" xfId="1133" xr:uid="{611F9465-4021-48A0-A7E2-7B8C46738A45}"/>
    <cellStyle name="20% - Accent3 4 3" xfId="590" xr:uid="{2CAEF318-F120-4F14-997E-B55FBB42978E}"/>
    <cellStyle name="20% - Accent3 4 3 2" xfId="1578" xr:uid="{4B893920-7606-438F-8A9E-03DA94FD0936}"/>
    <cellStyle name="20% - Accent3 4 3 2 2" xfId="2637" xr:uid="{1B1DAA63-E886-468C-ACEF-80A6D3195E1E}"/>
    <cellStyle name="20% - Accent3 4 3 2 3" xfId="3288" xr:uid="{2A4F1F7C-8A3C-4139-87FF-6B700D1C0289}"/>
    <cellStyle name="20% - Accent3 4 3 2 4" xfId="3944" xr:uid="{4B0F644C-27B3-4163-81DE-7E75740822C8}"/>
    <cellStyle name="20% - Accent3 4 3 2 5" xfId="4607" xr:uid="{B53A5CA1-3EA6-476E-A97D-21B0C9C6B284}"/>
    <cellStyle name="20% - Accent3 4 3 3" xfId="2310" xr:uid="{97AD781C-ED59-428D-ABFC-49EF1C7C1912}"/>
    <cellStyle name="20% - Accent3 4 3 4" xfId="2961" xr:uid="{125087BE-E7D5-4243-B8A8-C4C016C13404}"/>
    <cellStyle name="20% - Accent3 4 3 5" xfId="3617" xr:uid="{98E71DBD-3922-4345-BC59-6B9D3E3E2019}"/>
    <cellStyle name="20% - Accent3 4 3 6" xfId="4280" xr:uid="{8EAF3F3A-E89F-4D8B-B6DD-812A9CFEFCEF}"/>
    <cellStyle name="20% - Accent3 4 3 7" xfId="1247" xr:uid="{F0373A3A-B2C5-44B3-BC05-2577D8BA3045}"/>
    <cellStyle name="20% - Accent3 4 4" xfId="1362" xr:uid="{AF2AC132-AA58-4354-BE96-959E36A74416}"/>
    <cellStyle name="20% - Accent3 4 4 2" xfId="2421" xr:uid="{72E77E98-CD8E-4D66-84AD-45501C647942}"/>
    <cellStyle name="20% - Accent3 4 4 3" xfId="3072" xr:uid="{ABF3F8F4-E048-4B9A-977F-665DB177378F}"/>
    <cellStyle name="20% - Accent3 4 4 4" xfId="3728" xr:uid="{910E34ED-3C87-44B9-998C-DB6183169842}"/>
    <cellStyle name="20% - Accent3 4 4 5" xfId="4391" xr:uid="{FD92670F-6FD6-4931-9345-92C290D3D458}"/>
    <cellStyle name="20% - Accent3 4 5" xfId="1910" xr:uid="{AC4F27F3-4433-49D2-9E28-DFC6502C7FA4}"/>
    <cellStyle name="20% - Accent3 4 6" xfId="2094" xr:uid="{01451071-E4D9-4526-95CF-9DD9AC049E57}"/>
    <cellStyle name="20% - Accent3 4 7" xfId="2745" xr:uid="{2E625E1E-89B2-4F23-8171-FF52B5172138}"/>
    <cellStyle name="20% - Accent3 4 8" xfId="3401" xr:uid="{32379587-618B-455E-AA81-0C5482ACB388}"/>
    <cellStyle name="20% - Accent3 4 9" xfId="4064" xr:uid="{08E6CC93-EA24-4C1A-8FB0-6A361F3CA995}"/>
    <cellStyle name="20% - Accent3 5" xfId="322" xr:uid="{FE923BFE-DAAA-430D-889F-B7101B9BB060}"/>
    <cellStyle name="20% - Accent3 5 10" xfId="1077" xr:uid="{247C8FA3-61F4-4641-B118-AF460BE48FCD}"/>
    <cellStyle name="20% - Accent3 5 2" xfId="443" xr:uid="{BEBFDD5D-B530-4118-A354-B47C13E9F154}"/>
    <cellStyle name="20% - Accent3 5 2 2" xfId="662" xr:uid="{19254893-1036-4269-B99E-0D728A821D5B}"/>
    <cellStyle name="20% - Accent3 5 2 2 2" xfId="2473" xr:uid="{8DC72EF4-AD75-4507-BA07-BCAC55862E11}"/>
    <cellStyle name="20% - Accent3 5 2 3" xfId="3124" xr:uid="{5812FCBF-CB8E-48A9-8838-CCA5FC210CDA}"/>
    <cellStyle name="20% - Accent3 5 2 4" xfId="3780" xr:uid="{B52A6E7B-0F19-404A-A234-8A8F14B1794E}"/>
    <cellStyle name="20% - Accent3 5 2 5" xfId="4443" xr:uid="{DD8FF591-4276-40A7-9B92-A70AE49BF817}"/>
    <cellStyle name="20% - Accent3 5 2 6" xfId="1414" xr:uid="{DFA5EA97-ED83-421D-93E3-CA126679EB81}"/>
    <cellStyle name="20% - Accent3 5 3" xfId="552" xr:uid="{B9E7DA15-340C-4266-AA42-CA962C6467BF}"/>
    <cellStyle name="20% - Accent3 5 3 2" xfId="2007" xr:uid="{C81EBFF0-C4A6-4DC4-84FB-43F1EAE323CE}"/>
    <cellStyle name="20% - Accent3 5 4" xfId="2146" xr:uid="{15A9BFEC-6FD3-4E38-A0FB-5EDCC9520056}"/>
    <cellStyle name="20% - Accent3 5 5" xfId="2797" xr:uid="{F7E08421-7648-47BE-BB49-F1257498A2AA}"/>
    <cellStyle name="20% - Accent3 5 6" xfId="3453" xr:uid="{F6D54FE4-3FCF-4187-B523-C4E0C522C197}"/>
    <cellStyle name="20% - Accent3 5 7" xfId="4116" xr:uid="{4382736B-99E3-4CB2-933D-855EE71164F5}"/>
    <cellStyle name="20% - Accent3 5 8" xfId="1819" xr:uid="{3ED57ACF-7FE5-408A-A1DA-B3C6B63DBF61}"/>
    <cellStyle name="20% - Accent3 5 9" xfId="1667" xr:uid="{D1745C6F-FCC2-4936-ACC2-78382EDB9973}"/>
    <cellStyle name="20% - Accent3 6" xfId="396" xr:uid="{B41F4221-BEF1-4D13-8A6E-954E2D34110E}"/>
    <cellStyle name="20% - Accent3 6 2" xfId="616" xr:uid="{9552207D-CAC9-4329-9818-5BD04CF80250}"/>
    <cellStyle name="20% - Accent3 6 2 2" xfId="2581" xr:uid="{2B745054-222E-4724-B866-7FC293103662}"/>
    <cellStyle name="20% - Accent3 6 2 3" xfId="3232" xr:uid="{13BB8D2A-9881-4E4A-8E14-28C062D59291}"/>
    <cellStyle name="20% - Accent3 6 2 4" xfId="3888" xr:uid="{DA07A1AC-E9E8-429C-A016-18204FC17105}"/>
    <cellStyle name="20% - Accent3 6 2 5" xfId="4551" xr:uid="{030E91F3-5FAC-464F-BA53-FD8CEF896A91}"/>
    <cellStyle name="20% - Accent3 6 2 6" xfId="1522" xr:uid="{1402F11C-8820-49B5-AF9D-7603B5B647D2}"/>
    <cellStyle name="20% - Accent3 6 3" xfId="2254" xr:uid="{F24652AF-792A-4CD4-8FDA-7D2DBCCBDE6C}"/>
    <cellStyle name="20% - Accent3 6 4" xfId="2905" xr:uid="{C21174B7-7F02-4ECA-80B5-44F06A85F364}"/>
    <cellStyle name="20% - Accent3 6 5" xfId="3561" xr:uid="{1B77BB1A-0FE4-4B4D-AD1D-17ED9DEF6D2C}"/>
    <cellStyle name="20% - Accent3 6 6" xfId="4224" xr:uid="{6DFE2660-0378-4780-814B-4F4832E75A7C}"/>
    <cellStyle name="20% - Accent3 6 7" xfId="1191" xr:uid="{B5BBE689-B9A8-47C1-82B4-A6F2D2446D31}"/>
    <cellStyle name="20% - Accent3 7" xfId="506" xr:uid="{7D611CA3-5879-487D-92F9-047B36C800A9}"/>
    <cellStyle name="20% - Accent3 7 2" xfId="2365" xr:uid="{4F278AFB-BB89-4D0B-8D95-4D0F99BB616A}"/>
    <cellStyle name="20% - Accent3 7 3" xfId="3016" xr:uid="{049E0493-E742-4BD0-B7B3-C719BCA66F07}"/>
    <cellStyle name="20% - Accent3 7 4" xfId="3672" xr:uid="{E3165BE8-55DD-4442-9A63-16B65E4FD846}"/>
    <cellStyle name="20% - Accent3 7 5" xfId="4335" xr:uid="{76E4EBDC-2DB1-4A8A-8AF3-3E6A59243F90}"/>
    <cellStyle name="20% - Accent3 7 6" xfId="1301" xr:uid="{FE7215AF-9D8E-4DDB-B8C7-32D6C4B843A3}"/>
    <cellStyle name="20% - Accent3 8" xfId="274" xr:uid="{7A706DA2-6774-4DFF-AF43-62E0D9A56FBA}"/>
    <cellStyle name="20% - Accent3 8 2" xfId="1988" xr:uid="{51DB8136-BA25-4944-B484-36AC7A05566A}"/>
    <cellStyle name="20% - Accent3 9" xfId="2038" xr:uid="{D1FBFD90-077D-4134-9F91-CCBFA2D15F92}"/>
    <cellStyle name="20% - Accent4" xfId="33" builtinId="42" customBuiltin="1"/>
    <cellStyle name="20% - Accent4 10" xfId="2691" xr:uid="{33C0AFAD-A2BE-4AB5-B3F4-4F53490F9CCB}"/>
    <cellStyle name="20% - Accent4 11" xfId="3345" xr:uid="{84051911-472F-49DA-B5B0-35F6807152A0}"/>
    <cellStyle name="20% - Accent4 12" xfId="4010" xr:uid="{54295090-97DD-4203-ABA9-A8BEB2960C46}"/>
    <cellStyle name="20% - Accent4 13" xfId="729" xr:uid="{4A992A36-A569-48BF-96A6-2CC26F3584DC}"/>
    <cellStyle name="20% - Accent4 14" xfId="157" xr:uid="{93AA2BDB-581E-42E3-861F-E4F62714A5D9}"/>
    <cellStyle name="20% - Accent4 2" xfId="77" xr:uid="{C0B4310A-5830-4F12-807B-35CA765F8825}"/>
    <cellStyle name="20% - Accent4 2 10" xfId="4025" xr:uid="{3352F273-70DE-4FCD-BC90-EA77F4023B2E}"/>
    <cellStyle name="20% - Accent4 2 11" xfId="739" xr:uid="{369FC28A-4CD7-48AC-8F51-D9598345A9F7}"/>
    <cellStyle name="20% - Accent4 2 12" xfId="170" xr:uid="{D12C81DB-F7C6-4F9C-BFAD-E6AD14947EEE}"/>
    <cellStyle name="20% - Accent4 2 2" xfId="1041" xr:uid="{DF020549-87C3-44D0-BD42-293D03C557E1}"/>
    <cellStyle name="20% - Accent4 2 2 2" xfId="1148" xr:uid="{B822D676-5AFB-4790-A96F-F4CAE22C1072}"/>
    <cellStyle name="20% - Accent4 2 2 2 2" xfId="1485" xr:uid="{E5EB0737-8A8E-41D2-BD3A-DE199E60B6A3}"/>
    <cellStyle name="20% - Accent4 2 2 2 2 2" xfId="2544" xr:uid="{05831B03-C697-4144-A380-49112AC0888B}"/>
    <cellStyle name="20% - Accent4 2 2 2 2 3" xfId="3195" xr:uid="{E011ADE7-2075-464C-9BE0-18E20E5D53A3}"/>
    <cellStyle name="20% - Accent4 2 2 2 2 4" xfId="3851" xr:uid="{70CA9113-5379-4B3E-B1C0-6F0EDE39550E}"/>
    <cellStyle name="20% - Accent4 2 2 2 2 5" xfId="4514" xr:uid="{1BF5F16C-21EA-4DA9-8C16-D552D7C6AB8B}"/>
    <cellStyle name="20% - Accent4 2 2 2 3" xfId="2019" xr:uid="{0FF3B152-8EEE-4149-A04A-2895F6BA392B}"/>
    <cellStyle name="20% - Accent4 2 2 2 4" xfId="2217" xr:uid="{BD60A9AE-8448-4A7B-9175-7CFA3B68CB34}"/>
    <cellStyle name="20% - Accent4 2 2 2 5" xfId="2868" xr:uid="{2AFADB58-E76F-4BF2-AC08-02AD4C7EB123}"/>
    <cellStyle name="20% - Accent4 2 2 2 6" xfId="3524" xr:uid="{7B00F165-55B2-4AE5-BCCB-519CE82F0319}"/>
    <cellStyle name="20% - Accent4 2 2 2 7" xfId="4187" xr:uid="{C638FC27-7D65-4C7D-B07B-0F6250F92D7F}"/>
    <cellStyle name="20% - Accent4 2 2 3" xfId="1262" xr:uid="{A5835B1A-8215-486B-8A5D-095B689FB523}"/>
    <cellStyle name="20% - Accent4 2 2 3 2" xfId="1593" xr:uid="{27C0FFCA-A1B1-4326-9ED7-C97007302DA3}"/>
    <cellStyle name="20% - Accent4 2 2 3 2 2" xfId="2652" xr:uid="{3B70A784-9622-4FA2-A859-1C1F66453DF9}"/>
    <cellStyle name="20% - Accent4 2 2 3 2 3" xfId="3303" xr:uid="{522A7799-69AC-4471-BCC9-6DFC18313BF4}"/>
    <cellStyle name="20% - Accent4 2 2 3 2 4" xfId="3959" xr:uid="{411B2420-C160-449F-9A0E-12C9E586F389}"/>
    <cellStyle name="20% - Accent4 2 2 3 2 5" xfId="4622" xr:uid="{2FC1BDAE-AB6B-4B55-B346-8BDDB370C7B2}"/>
    <cellStyle name="20% - Accent4 2 2 3 3" xfId="2325" xr:uid="{0F13987D-5D29-4791-B845-54871EC022A6}"/>
    <cellStyle name="20% - Accent4 2 2 3 4" xfId="2976" xr:uid="{3246F796-5B22-40C3-B017-90684633E45C}"/>
    <cellStyle name="20% - Accent4 2 2 3 5" xfId="3632" xr:uid="{0D3260FD-C1C1-4F9F-96E4-0EF390884CEA}"/>
    <cellStyle name="20% - Accent4 2 2 3 6" xfId="4295" xr:uid="{E4901749-25E2-4CD0-B4AE-DE6679F07F33}"/>
    <cellStyle name="20% - Accent4 2 2 4" xfId="1377" xr:uid="{026C0E27-2D06-413B-A642-14B2A3B35F1F}"/>
    <cellStyle name="20% - Accent4 2 2 4 2" xfId="2436" xr:uid="{A6D23FA6-7429-46E9-A7C3-81A267E431E5}"/>
    <cellStyle name="20% - Accent4 2 2 4 3" xfId="3087" xr:uid="{A92D0512-39BF-4C31-81BF-7486E5E69B56}"/>
    <cellStyle name="20% - Accent4 2 2 4 4" xfId="3743" xr:uid="{FA66FADF-E4DD-49C8-B77D-E96289D93071}"/>
    <cellStyle name="20% - Accent4 2 2 4 5" xfId="4406" xr:uid="{094960EE-7DDF-4CE1-8FD1-5399838EE177}"/>
    <cellStyle name="20% - Accent4 2 2 5" xfId="1885" xr:uid="{856359F9-7A5C-4ECB-A7BE-F21AFCD8CF0E}"/>
    <cellStyle name="20% - Accent4 2 2 6" xfId="2109" xr:uid="{97FDBB1F-25B5-4624-8E7D-A0F49AD50FF9}"/>
    <cellStyle name="20% - Accent4 2 2 7" xfId="2760" xr:uid="{4E2CF6F5-46AE-4E71-BC1C-D22B496BBF3E}"/>
    <cellStyle name="20% - Accent4 2 2 8" xfId="3416" xr:uid="{5180DE40-E52A-4B2E-B423-FAE7B22CD0CC}"/>
    <cellStyle name="20% - Accent4 2 2 9" xfId="4079" xr:uid="{D086BC69-1869-4E95-8F25-90411ECC2C8A}"/>
    <cellStyle name="20% - Accent4 2 3" xfId="1094" xr:uid="{F46B639C-3577-4E90-B9E7-3C71DB0000EE}"/>
    <cellStyle name="20% - Accent4 2 3 2" xfId="1431" xr:uid="{065E556E-D5F0-43E7-B873-95473E7508B3}"/>
    <cellStyle name="20% - Accent4 2 3 2 2" xfId="2490" xr:uid="{D710FE4D-4DCD-4C9C-973D-B56C3D61832B}"/>
    <cellStyle name="20% - Accent4 2 3 2 3" xfId="3141" xr:uid="{7160C186-5F9E-4F46-90BA-8EDAEFD1882E}"/>
    <cellStyle name="20% - Accent4 2 3 2 4" xfId="3797" xr:uid="{87E6276B-88C9-424A-9BA2-F38627118F94}"/>
    <cellStyle name="20% - Accent4 2 3 2 5" xfId="4460" xr:uid="{44EAE220-83BB-41CC-8AFE-CFC917048F0C}"/>
    <cellStyle name="20% - Accent4 2 3 3" xfId="1869" xr:uid="{07E817E7-6E64-4059-8844-130CA763E718}"/>
    <cellStyle name="20% - Accent4 2 3 4" xfId="2163" xr:uid="{F9A5127B-C982-4419-A2C1-A89A55AD7930}"/>
    <cellStyle name="20% - Accent4 2 3 5" xfId="2814" xr:uid="{C18C6DF9-B54C-41F3-A0B5-2C57761A650F}"/>
    <cellStyle name="20% - Accent4 2 3 6" xfId="3470" xr:uid="{8E436292-ED1D-4466-B8DE-BEB8D8EE2C55}"/>
    <cellStyle name="20% - Accent4 2 3 7" xfId="4133" xr:uid="{3D688D60-582E-4C2A-A165-2DDDFE28B737}"/>
    <cellStyle name="20% - Accent4 2 4" xfId="1208" xr:uid="{94EBD4DF-388D-4C31-92C3-3C7799955FD1}"/>
    <cellStyle name="20% - Accent4 2 4 2" xfId="1539" xr:uid="{327A67B2-490D-41D8-8424-DE268926FC89}"/>
    <cellStyle name="20% - Accent4 2 4 2 2" xfId="2598" xr:uid="{BADBA14D-CA54-4F90-A393-8519A962C7F8}"/>
    <cellStyle name="20% - Accent4 2 4 2 3" xfId="3249" xr:uid="{51F43923-23C3-4F7C-BCAC-BEEDEC23D974}"/>
    <cellStyle name="20% - Accent4 2 4 2 4" xfId="3905" xr:uid="{50FA5B32-031A-44B1-B481-D4D8F77C34D2}"/>
    <cellStyle name="20% - Accent4 2 4 2 5" xfId="4568" xr:uid="{E6534995-AF05-4295-ABD6-6473AD70FA1A}"/>
    <cellStyle name="20% - Accent4 2 4 3" xfId="2271" xr:uid="{FAB7AD64-A0B6-4280-99A5-BBD4CD6C88C1}"/>
    <cellStyle name="20% - Accent4 2 4 4" xfId="2922" xr:uid="{2C3755C6-ED30-45B3-8112-04C9D802725B}"/>
    <cellStyle name="20% - Accent4 2 4 5" xfId="3578" xr:uid="{CEC11EAD-11F8-44F8-A3D6-4FDB4E5BB924}"/>
    <cellStyle name="20% - Accent4 2 4 6" xfId="4241" xr:uid="{912DCC83-A171-490B-B79E-0EA11F267595}"/>
    <cellStyle name="20% - Accent4 2 5" xfId="1323" xr:uid="{DEC18CEA-87F7-4D6A-8104-C744C214A059}"/>
    <cellStyle name="20% - Accent4 2 5 2" xfId="2382" xr:uid="{FB3DFA29-383A-4C6E-8519-BC4B15D69811}"/>
    <cellStyle name="20% - Accent4 2 5 3" xfId="3033" xr:uid="{A6D3BC65-BB3E-4ACF-B58E-80820A436A0D}"/>
    <cellStyle name="20% - Accent4 2 5 4" xfId="3689" xr:uid="{D6FA5633-8583-4749-BBB3-97F27BB305BB}"/>
    <cellStyle name="20% - Accent4 2 5 5" xfId="4352" xr:uid="{753BF75A-3D41-46DB-92F0-A3DEF0CDF4F1}"/>
    <cellStyle name="20% - Accent4 2 6" xfId="1831" xr:uid="{030012AD-9FC2-41C7-A63C-BAAA7F93ADF1}"/>
    <cellStyle name="20% - Accent4 2 7" xfId="2055" xr:uid="{D530CE9C-98F3-4989-8ABB-471C31EF1E08}"/>
    <cellStyle name="20% - Accent4 2 8" xfId="2706" xr:uid="{9714C6E0-9557-4A8D-8F0C-350F6C925B64}"/>
    <cellStyle name="20% - Accent4 2 9" xfId="3361" xr:uid="{9976C7D3-D073-4534-BB62-C8B4550215A0}"/>
    <cellStyle name="20% - Accent4 3" xfId="252" xr:uid="{91D79497-26E4-4EC5-BCBB-BBE362DB4A64}"/>
    <cellStyle name="20% - Accent4 3 10" xfId="4045" xr:uid="{B46B0836-E548-4E26-BABE-6F69FFB25401}"/>
    <cellStyle name="20% - Accent4 3 11" xfId="1806" xr:uid="{A433E613-7DCE-437F-8808-854A11F17224}"/>
    <cellStyle name="20% - Accent4 3 12" xfId="1715" xr:uid="{6223E645-DC95-478A-AD68-6BAEB024E0D9}"/>
    <cellStyle name="20% - Accent4 3 13" xfId="997" xr:uid="{58F3855F-7B9D-42FA-9F22-406AE346F61A}"/>
    <cellStyle name="20% - Accent4 3 2" xfId="348" xr:uid="{234900F1-C550-485D-8549-FD2AA8433B0A}"/>
    <cellStyle name="20% - Accent4 3 2 10" xfId="1061" xr:uid="{E051FFFA-D390-4715-AE83-1E67D1B0D509}"/>
    <cellStyle name="20% - Accent4 3 2 2" xfId="464" xr:uid="{833B0C4F-5CCA-4D1A-9B15-5BE3FA37E60E}"/>
    <cellStyle name="20% - Accent4 3 2 2 2" xfId="683" xr:uid="{15F040C7-E30A-4818-BC29-4079A364E740}"/>
    <cellStyle name="20% - Accent4 3 2 2 2 2" xfId="2564" xr:uid="{CD06A52B-5ECA-4C66-AA43-A900644997B7}"/>
    <cellStyle name="20% - Accent4 3 2 2 2 3" xfId="3215" xr:uid="{D50FC11D-2F17-4008-B174-28B053512AE8}"/>
    <cellStyle name="20% - Accent4 3 2 2 2 4" xfId="3871" xr:uid="{0667CB8C-DBB3-4D73-B430-5300EF8F6446}"/>
    <cellStyle name="20% - Accent4 3 2 2 2 5" xfId="4534" xr:uid="{CA541AF9-1E89-4BEF-914A-594EB4C7B216}"/>
    <cellStyle name="20% - Accent4 3 2 2 2 6" xfId="1505" xr:uid="{CFB809E7-F803-41D1-A7B0-7855A1DC4B38}"/>
    <cellStyle name="20% - Accent4 3 2 2 3" xfId="2025" xr:uid="{6F0A6564-975B-4D80-932D-C6E1AE0D99EE}"/>
    <cellStyle name="20% - Accent4 3 2 2 4" xfId="2237" xr:uid="{FD40F983-42A6-41F1-8700-90B35FA7AEAD}"/>
    <cellStyle name="20% - Accent4 3 2 2 5" xfId="2888" xr:uid="{213929D4-0616-4FCC-AA47-39CC458C225F}"/>
    <cellStyle name="20% - Accent4 3 2 2 6" xfId="3544" xr:uid="{657FF2EF-E837-408F-9326-A554B67866AB}"/>
    <cellStyle name="20% - Accent4 3 2 2 7" xfId="4207" xr:uid="{F326E045-3765-46E0-957C-32F2B06547E6}"/>
    <cellStyle name="20% - Accent4 3 2 2 8" xfId="1168" xr:uid="{209B34A0-F5FC-4F62-A1B3-306F30BD96DB}"/>
    <cellStyle name="20% - Accent4 3 2 3" xfId="573" xr:uid="{D95540DB-F6C7-4589-81D4-4685EF0A9AE4}"/>
    <cellStyle name="20% - Accent4 3 2 3 2" xfId="1613" xr:uid="{E6612134-935A-4D12-9388-970121F84AFA}"/>
    <cellStyle name="20% - Accent4 3 2 3 2 2" xfId="2672" xr:uid="{5A27B73F-DDE4-499F-A2E9-FA6A9EC31CCF}"/>
    <cellStyle name="20% - Accent4 3 2 3 2 3" xfId="3323" xr:uid="{ED728D76-E618-461E-BC80-39A009BCDBBE}"/>
    <cellStyle name="20% - Accent4 3 2 3 2 4" xfId="3979" xr:uid="{A231B839-D966-4055-BA7F-2352425446B5}"/>
    <cellStyle name="20% - Accent4 3 2 3 2 5" xfId="4642" xr:uid="{6FC20D69-1C42-4020-B40F-AC35062BD8B9}"/>
    <cellStyle name="20% - Accent4 3 2 3 3" xfId="2345" xr:uid="{0DC3B5AF-586A-48A4-B843-35C5F34BD776}"/>
    <cellStyle name="20% - Accent4 3 2 3 4" xfId="2996" xr:uid="{ACEB6984-B812-459A-9B24-B698F2FABE3A}"/>
    <cellStyle name="20% - Accent4 3 2 3 5" xfId="3652" xr:uid="{167F9114-6256-417B-B662-19413776DBB7}"/>
    <cellStyle name="20% - Accent4 3 2 3 6" xfId="4315" xr:uid="{37409343-26C0-4294-BD0B-641277E8F25C}"/>
    <cellStyle name="20% - Accent4 3 2 3 7" xfId="1282" xr:uid="{24621D41-B316-48E6-9AA6-7269E926F263}"/>
    <cellStyle name="20% - Accent4 3 2 4" xfId="1397" xr:uid="{F15B0E2C-E1F2-4CE4-846F-6862921BFB71}"/>
    <cellStyle name="20% - Accent4 3 2 4 2" xfId="2456" xr:uid="{0C4A52B7-79E1-44E8-B8E8-9FA3269AC447}"/>
    <cellStyle name="20% - Accent4 3 2 4 3" xfId="3107" xr:uid="{C1A9C6C2-7D68-413F-A7E9-9AA4DC49400C}"/>
    <cellStyle name="20% - Accent4 3 2 4 4" xfId="3763" xr:uid="{5DDE4B35-A4E0-4051-B0D2-36914D34DB4A}"/>
    <cellStyle name="20% - Accent4 3 2 4 5" xfId="4426" xr:uid="{AF9720F1-E773-40EF-9225-CFFAAD6FAB38}"/>
    <cellStyle name="20% - Accent4 3 2 5" xfId="1965" xr:uid="{92CAA6B9-1948-41BE-ADD9-62F4C187789D}"/>
    <cellStyle name="20% - Accent4 3 2 6" xfId="2129" xr:uid="{9C8E5808-D935-43BB-AABB-B361959ED512}"/>
    <cellStyle name="20% - Accent4 3 2 7" xfId="2780" xr:uid="{01575F5E-0604-4C70-A052-A0114D7BBB3A}"/>
    <cellStyle name="20% - Accent4 3 2 8" xfId="3436" xr:uid="{DE6CD97E-AB6C-452E-8010-EC486DBAE8A7}"/>
    <cellStyle name="20% - Accent4 3 2 9" xfId="4099" xr:uid="{E208A9EA-8696-4A21-974B-26B000C63E88}"/>
    <cellStyle name="20% - Accent4 3 3" xfId="421" xr:uid="{3C5626DA-D448-45DB-8628-E8C9156761B8}"/>
    <cellStyle name="20% - Accent4 3 3 2" xfId="640" xr:uid="{5F456F4D-74B9-41CC-808F-5DE029AAADC8}"/>
    <cellStyle name="20% - Accent4 3 3 2 2" xfId="2510" xr:uid="{BF8602A0-5E8A-42CA-86E0-75C94382D311}"/>
    <cellStyle name="20% - Accent4 3 3 2 3" xfId="3161" xr:uid="{2D6024DD-9510-46F1-8285-CC934EF3CBB6}"/>
    <cellStyle name="20% - Accent4 3 3 2 4" xfId="3817" xr:uid="{DFE18C18-D9B8-4514-A114-294CA4475D71}"/>
    <cellStyle name="20% - Accent4 3 3 2 5" xfId="4480" xr:uid="{F5873A36-3289-4918-9C24-B8AFC5D8C22D}"/>
    <cellStyle name="20% - Accent4 3 3 2 6" xfId="1451" xr:uid="{9864D7E5-E089-4E2B-B981-6CDF74C467ED}"/>
    <cellStyle name="20% - Accent4 3 3 3" xfId="1866" xr:uid="{8172726E-4AB7-43E5-97B0-4F80509C2042}"/>
    <cellStyle name="20% - Accent4 3 3 4" xfId="2183" xr:uid="{581DEFF7-9811-4B90-8C38-C7B6AA06A41E}"/>
    <cellStyle name="20% - Accent4 3 3 5" xfId="2834" xr:uid="{F5F3520A-717B-4C47-B3C4-5EE1A72F646B}"/>
    <cellStyle name="20% - Accent4 3 3 6" xfId="3490" xr:uid="{84157AC7-54E8-4E32-B79B-F1EAABF9A90E}"/>
    <cellStyle name="20% - Accent4 3 3 7" xfId="4153" xr:uid="{B475D573-BA2F-4CDE-961E-8FFE0547B809}"/>
    <cellStyle name="20% - Accent4 3 3 8" xfId="1114" xr:uid="{18D365F8-6BDF-4500-9AED-44ADB94F9C5F}"/>
    <cellStyle name="20% - Accent4 3 4" xfId="530" xr:uid="{20A8BF2D-0445-4DE4-ADC4-B189A5A52BEC}"/>
    <cellStyle name="20% - Accent4 3 4 2" xfId="1559" xr:uid="{90BE0F45-8B59-4DFD-A553-A3831BC1B5D6}"/>
    <cellStyle name="20% - Accent4 3 4 2 2" xfId="2618" xr:uid="{E34867AE-EEC1-4C34-89F8-70177D6E8BB0}"/>
    <cellStyle name="20% - Accent4 3 4 2 3" xfId="3269" xr:uid="{7D47D789-2C1D-4FAA-86B1-64870B1EAB82}"/>
    <cellStyle name="20% - Accent4 3 4 2 4" xfId="3925" xr:uid="{EACD5B79-B9E7-42A2-9C9A-506BA30E0D17}"/>
    <cellStyle name="20% - Accent4 3 4 2 5" xfId="4588" xr:uid="{8A167924-6680-4361-8FE5-4FF9DD1A926F}"/>
    <cellStyle name="20% - Accent4 3 4 3" xfId="2291" xr:uid="{B30BA99E-245F-4C0F-9CB9-4CFA2CC39DD6}"/>
    <cellStyle name="20% - Accent4 3 4 4" xfId="2942" xr:uid="{813AEBDF-B173-415A-B183-47980EA27CEA}"/>
    <cellStyle name="20% - Accent4 3 4 5" xfId="3598" xr:uid="{C141A760-0172-4DE9-80FD-F066DFB3D8F7}"/>
    <cellStyle name="20% - Accent4 3 4 6" xfId="4261" xr:uid="{6FF7008E-DF90-4189-BDB2-5D76C4040D63}"/>
    <cellStyle name="20% - Accent4 3 4 7" xfId="1228" xr:uid="{28F3F2E8-E782-4B1E-9D74-85A075EFD61B}"/>
    <cellStyle name="20% - Accent4 3 5" xfId="300" xr:uid="{31FCB396-0D77-4BB9-8B1A-C0459D626BBC}"/>
    <cellStyle name="20% - Accent4 3 5 2" xfId="2402" xr:uid="{D6CF008D-0C70-47F0-B7D4-9D77164ECB4A}"/>
    <cellStyle name="20% - Accent4 3 5 3" xfId="3053" xr:uid="{E9D4F7E1-6514-429C-844D-DE1C6DE5FF32}"/>
    <cellStyle name="20% - Accent4 3 5 4" xfId="3709" xr:uid="{B5F594FC-302C-4D9A-BD98-7305B862D8F2}"/>
    <cellStyle name="20% - Accent4 3 5 5" xfId="4372" xr:uid="{F9012E0F-2989-4203-B1C5-72A40352947C}"/>
    <cellStyle name="20% - Accent4 3 5 6" xfId="1343" xr:uid="{6A834D3B-D034-4417-9367-7299F24B7127}"/>
    <cellStyle name="20% - Accent4 3 6" xfId="1829" xr:uid="{92EB7424-9BD5-4E5F-9EFF-DB88A67F4452}"/>
    <cellStyle name="20% - Accent4 3 7" xfId="2075" xr:uid="{6F3BB229-118A-4F0B-9D13-F026DEB35455}"/>
    <cellStyle name="20% - Accent4 3 8" xfId="2726" xr:uid="{AEA6E49D-6446-4C3D-BA51-3250189F2AB4}"/>
    <cellStyle name="20% - Accent4 3 9" xfId="3381" xr:uid="{1186BEEA-E200-40F5-9930-E8AC7E21F18E}"/>
    <cellStyle name="20% - Accent4 4" xfId="368" xr:uid="{0759D04F-A485-40CB-9192-59E6BEB93A48}"/>
    <cellStyle name="20% - Accent4 4 10" xfId="1028" xr:uid="{0CE6AB2D-ED8D-4B77-826D-98ACCB31001C}"/>
    <cellStyle name="20% - Accent4 4 2" xfId="483" xr:uid="{0153AC11-50A8-4D43-B89E-DD7659A2860C}"/>
    <cellStyle name="20% - Accent4 4 2 2" xfId="702" xr:uid="{A2B6DF0D-F40C-47E9-815A-CDE471815FCE}"/>
    <cellStyle name="20% - Accent4 4 2 2 2" xfId="2531" xr:uid="{C7F04423-EF83-4B8B-A4B8-B5D80866156D}"/>
    <cellStyle name="20% - Accent4 4 2 2 3" xfId="3182" xr:uid="{76DDA071-F02D-43DC-81AB-3840C7752311}"/>
    <cellStyle name="20% - Accent4 4 2 2 4" xfId="3838" xr:uid="{13D0703C-2DD8-48C2-A690-706984C783F4}"/>
    <cellStyle name="20% - Accent4 4 2 2 5" xfId="4501" xr:uid="{CD6E7BE1-725D-4542-885A-00C8F626C349}"/>
    <cellStyle name="20% - Accent4 4 2 2 6" xfId="1472" xr:uid="{B3DD657F-5BC3-4FEC-908E-16AADAEBE2F1}"/>
    <cellStyle name="20% - Accent4 4 2 3" xfId="1852" xr:uid="{26B7CB43-4A32-434F-8637-09EADC291F8C}"/>
    <cellStyle name="20% - Accent4 4 2 4" xfId="2204" xr:uid="{727A0F99-419B-4879-8572-B553FE5C7D9D}"/>
    <cellStyle name="20% - Accent4 4 2 5" xfId="2855" xr:uid="{C48CC1FE-CB88-4CB0-9C82-F860C2554EE7}"/>
    <cellStyle name="20% - Accent4 4 2 6" xfId="3511" xr:uid="{0E33A674-EC3E-4004-94F5-B8307CAA9825}"/>
    <cellStyle name="20% - Accent4 4 2 7" xfId="4174" xr:uid="{815E6DFF-F1A8-486B-8C62-2D84BAB6BE20}"/>
    <cellStyle name="20% - Accent4 4 2 8" xfId="1135" xr:uid="{3F4453CD-6EE7-4021-A2D6-615D59D15EDC}"/>
    <cellStyle name="20% - Accent4 4 3" xfId="592" xr:uid="{52A17E8E-440C-4657-AECE-D2043477C2B6}"/>
    <cellStyle name="20% - Accent4 4 3 2" xfId="1580" xr:uid="{86D69CEA-E878-4E06-A782-9DE4CEC7A6D8}"/>
    <cellStyle name="20% - Accent4 4 3 2 2" xfId="2639" xr:uid="{FEA15754-950A-407C-B89E-317EA86C25F9}"/>
    <cellStyle name="20% - Accent4 4 3 2 3" xfId="3290" xr:uid="{8EF290D3-8FC7-49A4-8A7E-6FE4B51FBB73}"/>
    <cellStyle name="20% - Accent4 4 3 2 4" xfId="3946" xr:uid="{26F4E6DA-47F1-4AAF-8AB1-C9FB317720CA}"/>
    <cellStyle name="20% - Accent4 4 3 2 5" xfId="4609" xr:uid="{76D711B4-84FD-4B77-9DBC-C80AA1F8173F}"/>
    <cellStyle name="20% - Accent4 4 3 3" xfId="2312" xr:uid="{496989E5-849A-4603-8991-FB773BB3C16D}"/>
    <cellStyle name="20% - Accent4 4 3 4" xfId="2963" xr:uid="{A26755B3-1398-40F1-ADF0-A139D8561C61}"/>
    <cellStyle name="20% - Accent4 4 3 5" xfId="3619" xr:uid="{60F51251-F044-4EA4-8FAA-C62D862B0830}"/>
    <cellStyle name="20% - Accent4 4 3 6" xfId="4282" xr:uid="{153B7339-AD14-47D1-A878-C7414A7713E5}"/>
    <cellStyle name="20% - Accent4 4 3 7" xfId="1249" xr:uid="{CA499B69-5288-4B33-9196-54D9D31C48FA}"/>
    <cellStyle name="20% - Accent4 4 4" xfId="1364" xr:uid="{4C33158C-C83B-487D-AF50-9D9C93CC2BD3}"/>
    <cellStyle name="20% - Accent4 4 4 2" xfId="2423" xr:uid="{4A13725A-72D8-4049-ABB6-E6D545C3407D}"/>
    <cellStyle name="20% - Accent4 4 4 3" xfId="3074" xr:uid="{4D8F9695-0BCA-4A1D-88F3-01F099A99944}"/>
    <cellStyle name="20% - Accent4 4 4 4" xfId="3730" xr:uid="{F5346BD5-276E-44BE-944C-AE04E4029DEC}"/>
    <cellStyle name="20% - Accent4 4 4 5" xfId="4393" xr:uid="{8006D5C5-CCC4-4B1B-BC52-640BFDC65585}"/>
    <cellStyle name="20% - Accent4 4 5" xfId="1879" xr:uid="{A9C6079F-CB65-475A-9212-64CBED7FA027}"/>
    <cellStyle name="20% - Accent4 4 6" xfId="2096" xr:uid="{0C34A97D-9980-4343-B3C9-B6EEC513E73C}"/>
    <cellStyle name="20% - Accent4 4 7" xfId="2747" xr:uid="{16D96A54-1526-4F3E-BCC9-33D8EB2A6570}"/>
    <cellStyle name="20% - Accent4 4 8" xfId="3403" xr:uid="{A1C278DE-E25F-4ECF-9636-82D5CF980702}"/>
    <cellStyle name="20% - Accent4 4 9" xfId="4066" xr:uid="{10FB487C-DF8B-4A6A-BA05-5EA028356BEA}"/>
    <cellStyle name="20% - Accent4 5" xfId="324" xr:uid="{19AEF25F-C2C0-4F88-A991-A63287E8ECFA}"/>
    <cellStyle name="20% - Accent4 5 10" xfId="1079" xr:uid="{A684D0B5-AD53-4ACD-9505-7DD204A1293E}"/>
    <cellStyle name="20% - Accent4 5 2" xfId="445" xr:uid="{01810B66-C4D3-4AA0-8BCF-D25C37C280EF}"/>
    <cellStyle name="20% - Accent4 5 2 2" xfId="664" xr:uid="{1A2C47B0-FFE9-47A9-98DF-352353C23B54}"/>
    <cellStyle name="20% - Accent4 5 2 2 2" xfId="2475" xr:uid="{D93C448F-08DD-4561-90A2-816626DDDE36}"/>
    <cellStyle name="20% - Accent4 5 2 3" xfId="3126" xr:uid="{57E92DF3-0301-405B-8213-6ABF34906E6F}"/>
    <cellStyle name="20% - Accent4 5 2 4" xfId="3782" xr:uid="{BEA3A43A-A950-4D63-B724-19967F346CC2}"/>
    <cellStyle name="20% - Accent4 5 2 5" xfId="4445" xr:uid="{4CAD285F-95C0-403E-B423-DB0BDC7785D9}"/>
    <cellStyle name="20% - Accent4 5 2 6" xfId="1416" xr:uid="{D25C8C40-C2C6-431F-84E9-965DA41F898F}"/>
    <cellStyle name="20% - Accent4 5 3" xfId="554" xr:uid="{CD68E659-C3E9-4838-84F4-4815F29A6F39}"/>
    <cellStyle name="20% - Accent4 5 3 2" xfId="1947" xr:uid="{186A6BE5-C766-44E1-90FB-C1F92FA07B54}"/>
    <cellStyle name="20% - Accent4 5 4" xfId="2148" xr:uid="{4B758064-C154-4CEB-B186-A4F313C9F577}"/>
    <cellStyle name="20% - Accent4 5 5" xfId="2799" xr:uid="{2CE45D94-1CCF-4FEE-9538-52277134AD6F}"/>
    <cellStyle name="20% - Accent4 5 6" xfId="3455" xr:uid="{48132972-79F5-494F-A75D-53154D5743F9}"/>
    <cellStyle name="20% - Accent4 5 7" xfId="4118" xr:uid="{2D1BC760-D337-4DE0-B972-2E8C8A2DBFE2}"/>
    <cellStyle name="20% - Accent4 5 8" xfId="1821" xr:uid="{87734D4F-9A04-4612-A6B4-53BE0D029FA9}"/>
    <cellStyle name="20% - Accent4 5 9" xfId="1671" xr:uid="{3E8DC665-F939-45D9-BC07-B64963E1B074}"/>
    <cellStyle name="20% - Accent4 6" xfId="398" xr:uid="{CC5C538A-1F9E-4BB8-8292-FB64D07BE24D}"/>
    <cellStyle name="20% - Accent4 6 2" xfId="618" xr:uid="{E01DA743-CD22-4EF6-8F46-1BBD8733A914}"/>
    <cellStyle name="20% - Accent4 6 2 2" xfId="2583" xr:uid="{48202770-496D-4313-BE0F-A9D737B52872}"/>
    <cellStyle name="20% - Accent4 6 2 3" xfId="3234" xr:uid="{57B0C458-11C6-4622-B64C-4981FD60B637}"/>
    <cellStyle name="20% - Accent4 6 2 4" xfId="3890" xr:uid="{727F1655-AA07-45F0-A20D-274986F0297C}"/>
    <cellStyle name="20% - Accent4 6 2 5" xfId="4553" xr:uid="{02883FA1-2828-4D7D-8733-33A6F4039E41}"/>
    <cellStyle name="20% - Accent4 6 2 6" xfId="1524" xr:uid="{42E9F9B6-443A-4AC4-BFDE-F098DA550030}"/>
    <cellStyle name="20% - Accent4 6 3" xfId="2256" xr:uid="{ADC2A363-7B9B-4BDF-B29F-89703AB3AB4E}"/>
    <cellStyle name="20% - Accent4 6 4" xfId="2907" xr:uid="{F2229A50-2DA9-4B6C-A756-37682B3C1AF6}"/>
    <cellStyle name="20% - Accent4 6 5" xfId="3563" xr:uid="{87C11356-BD23-4072-BCB1-23F80EDE5C2C}"/>
    <cellStyle name="20% - Accent4 6 6" xfId="4226" xr:uid="{81483E2C-0853-4E0E-A573-B7C75BEA1EE7}"/>
    <cellStyle name="20% - Accent4 6 7" xfId="1193" xr:uid="{8D43D050-B9BA-4BCA-908E-C51850C95120}"/>
    <cellStyle name="20% - Accent4 7" xfId="508" xr:uid="{BFB8834B-F148-4A1D-BB6D-8DCD4D37B7F1}"/>
    <cellStyle name="20% - Accent4 7 2" xfId="2367" xr:uid="{62E55864-014F-4965-AC14-998A6F1ABB4F}"/>
    <cellStyle name="20% - Accent4 7 3" xfId="3018" xr:uid="{18ABC9A4-DEF3-43C9-BBFF-593A77E3EB6B}"/>
    <cellStyle name="20% - Accent4 7 4" xfId="3674" xr:uid="{BCF3DF66-75B6-4419-916D-1582778E3707}"/>
    <cellStyle name="20% - Accent4 7 5" xfId="4337" xr:uid="{EE503569-11DB-4714-9AC2-69192CBA5020}"/>
    <cellStyle name="20% - Accent4 7 6" xfId="1303" xr:uid="{D25FBB88-EC25-4D93-BE08-CD6693AFDB0F}"/>
    <cellStyle name="20% - Accent4 8" xfId="276" xr:uid="{19DE4D76-B6DA-4C4B-BD79-EDDC5065B1AF}"/>
    <cellStyle name="20% - Accent4 8 2" xfId="1976" xr:uid="{63FC234E-AAD3-417B-BF07-360E36E9AB91}"/>
    <cellStyle name="20% - Accent4 9" xfId="2040" xr:uid="{E9B760F8-11A3-4A23-AACA-79AB039D68E5}"/>
    <cellStyle name="20% - Accent5" xfId="37" builtinId="46" customBuiltin="1"/>
    <cellStyle name="20% - Accent5 10" xfId="2693" xr:uid="{F0B35F89-5699-4C67-A2C4-B413AD822F4C}"/>
    <cellStyle name="20% - Accent5 11" xfId="3347" xr:uid="{D6CA0AE5-1D6B-4B8C-9548-05A761AE8562}"/>
    <cellStyle name="20% - Accent5 12" xfId="4012" xr:uid="{F352F409-0BA8-4D50-9CEF-3B98567FC633}"/>
    <cellStyle name="20% - Accent5 13" xfId="731" xr:uid="{82DBC859-362E-4441-BA4D-1E9B2598A23E}"/>
    <cellStyle name="20% - Accent5 14" xfId="159" xr:uid="{1035B683-3B71-4E05-9912-455D1719339C}"/>
    <cellStyle name="20% - Accent5 2" xfId="78" xr:uid="{37FBE8E0-83BE-4E65-98BD-4F1024EF1E1B}"/>
    <cellStyle name="20% - Accent5 2 10" xfId="4026" xr:uid="{CE65E98E-DED8-455E-A1F8-CA9A8380DC00}"/>
    <cellStyle name="20% - Accent5 2 11" xfId="740" xr:uid="{FCACB6AE-02E2-4114-B164-C00E55DE572E}"/>
    <cellStyle name="20% - Accent5 2 12" xfId="171" xr:uid="{F7CD9D4A-E39B-4113-8CDF-E12ABBAAD21A}"/>
    <cellStyle name="20% - Accent5 2 2" xfId="1042" xr:uid="{98FBBC21-B69D-4373-B5D0-2E6BA62CE936}"/>
    <cellStyle name="20% - Accent5 2 2 2" xfId="1149" xr:uid="{217544DB-E635-4DA3-8014-2E583409CD4D}"/>
    <cellStyle name="20% - Accent5 2 2 2 2" xfId="1486" xr:uid="{B3DF7871-79FD-4FC5-9C45-BE7896BA79BB}"/>
    <cellStyle name="20% - Accent5 2 2 2 2 2" xfId="2545" xr:uid="{2C8BCACB-D1F9-48B9-92E8-0866997CDFCB}"/>
    <cellStyle name="20% - Accent5 2 2 2 2 3" xfId="3196" xr:uid="{4ADA3934-7927-422D-B917-94C93907C127}"/>
    <cellStyle name="20% - Accent5 2 2 2 2 4" xfId="3852" xr:uid="{B28DCB3E-6671-4699-86B4-7BF6D36538F5}"/>
    <cellStyle name="20% - Accent5 2 2 2 2 5" xfId="4515" xr:uid="{3F901C32-6E5B-4CA7-B187-E88ECF8D901E}"/>
    <cellStyle name="20% - Accent5 2 2 2 3" xfId="1871" xr:uid="{844F173D-778D-422D-8CAD-817B5B1691E1}"/>
    <cellStyle name="20% - Accent5 2 2 2 4" xfId="2218" xr:uid="{D0F3A18B-CAB4-449A-9DDB-1A29132DC78C}"/>
    <cellStyle name="20% - Accent5 2 2 2 5" xfId="2869" xr:uid="{646B45AC-9671-4826-AF1B-1E6654DA1695}"/>
    <cellStyle name="20% - Accent5 2 2 2 6" xfId="3525" xr:uid="{86698ED8-A99D-4105-8CA3-3A2A634C8D75}"/>
    <cellStyle name="20% - Accent5 2 2 2 7" xfId="4188" xr:uid="{F8070B37-2549-47CA-A943-3673233DCEEE}"/>
    <cellStyle name="20% - Accent5 2 2 3" xfId="1263" xr:uid="{33707F6D-191C-44AF-A8FE-78DCC2D98B34}"/>
    <cellStyle name="20% - Accent5 2 2 3 2" xfId="1594" xr:uid="{A2F2F33F-9690-455A-9F5D-3D5D61977847}"/>
    <cellStyle name="20% - Accent5 2 2 3 2 2" xfId="2653" xr:uid="{ADEED216-8B86-44D7-8E95-6172CC255221}"/>
    <cellStyle name="20% - Accent5 2 2 3 2 3" xfId="3304" xr:uid="{DCCF28A9-A6C3-4CCF-91E5-3FF8AEE7D76E}"/>
    <cellStyle name="20% - Accent5 2 2 3 2 4" xfId="3960" xr:uid="{76D9042F-F5C8-41B4-98A6-78213B909442}"/>
    <cellStyle name="20% - Accent5 2 2 3 2 5" xfId="4623" xr:uid="{4EC03DA8-C8FD-42FE-A0B9-7590546A3148}"/>
    <cellStyle name="20% - Accent5 2 2 3 3" xfId="2326" xr:uid="{D56C6C59-B954-4639-BD86-AC1325E1A13C}"/>
    <cellStyle name="20% - Accent5 2 2 3 4" xfId="2977" xr:uid="{1CA1AADE-0B85-4A15-8F46-04E53E496831}"/>
    <cellStyle name="20% - Accent5 2 2 3 5" xfId="3633" xr:uid="{0993A348-5052-4F34-B6DD-845C6C0F3F3C}"/>
    <cellStyle name="20% - Accent5 2 2 3 6" xfId="4296" xr:uid="{077F6411-2647-47E9-938D-4F85FADB7FB0}"/>
    <cellStyle name="20% - Accent5 2 2 4" xfId="1378" xr:uid="{58F8EA77-FEC2-4256-BE49-420F361A4FE2}"/>
    <cellStyle name="20% - Accent5 2 2 4 2" xfId="2437" xr:uid="{EDF92D20-8273-445F-B3D8-E4F2CF0C8A91}"/>
    <cellStyle name="20% - Accent5 2 2 4 3" xfId="3088" xr:uid="{8B749E26-A5D6-4C61-A936-E2C50278482B}"/>
    <cellStyle name="20% - Accent5 2 2 4 4" xfId="3744" xr:uid="{82DF10C7-D1A1-47AB-9B9F-E682F84CE71E}"/>
    <cellStyle name="20% - Accent5 2 2 4 5" xfId="4407" xr:uid="{580EF554-0906-4AFE-9CCC-70F486C45A3A}"/>
    <cellStyle name="20% - Accent5 2 2 5" xfId="1960" xr:uid="{09724803-C3D2-42E3-B46C-58A0DF3CB8D6}"/>
    <cellStyle name="20% - Accent5 2 2 6" xfId="2110" xr:uid="{D5061EB0-93E2-4D78-B2FA-E4951D783552}"/>
    <cellStyle name="20% - Accent5 2 2 7" xfId="2761" xr:uid="{B8B78875-22E3-4D65-B0F6-429551F930B2}"/>
    <cellStyle name="20% - Accent5 2 2 8" xfId="3417" xr:uid="{8159323A-E3AB-4E4B-AB61-B71D8B143FBA}"/>
    <cellStyle name="20% - Accent5 2 2 9" xfId="4080" xr:uid="{48B4F5AB-8DC0-4844-9FE5-6C0BBB771803}"/>
    <cellStyle name="20% - Accent5 2 3" xfId="1095" xr:uid="{762EB9CC-D9D7-4895-8C6F-4F5A365F54E9}"/>
    <cellStyle name="20% - Accent5 2 3 2" xfId="1432" xr:uid="{912442DE-7D9C-48A2-9207-56ECC9A48C60}"/>
    <cellStyle name="20% - Accent5 2 3 2 2" xfId="2491" xr:uid="{AB3054DC-C0D5-4CAC-944E-41F18C0481CF}"/>
    <cellStyle name="20% - Accent5 2 3 2 3" xfId="3142" xr:uid="{382EA3BA-936A-4018-A98C-CC054E1395AB}"/>
    <cellStyle name="20% - Accent5 2 3 2 4" xfId="3798" xr:uid="{66287D27-593C-41B9-85DD-E5F9F87936A0}"/>
    <cellStyle name="20% - Accent5 2 3 2 5" xfId="4461" xr:uid="{609545E5-2DF7-41DD-BC3A-02587BAAA23F}"/>
    <cellStyle name="20% - Accent5 2 3 3" xfId="1777" xr:uid="{A541F587-DFD9-4161-9A41-D16549329C0D}"/>
    <cellStyle name="20% - Accent5 2 3 4" xfId="2164" xr:uid="{645BF668-5555-4804-AB62-65FFF68E729F}"/>
    <cellStyle name="20% - Accent5 2 3 5" xfId="2815" xr:uid="{A058315B-CC2E-4545-B05F-2D39BF96ED64}"/>
    <cellStyle name="20% - Accent5 2 3 6" xfId="3471" xr:uid="{A8FA41DB-8058-4BAD-A27F-0E14D58F81F0}"/>
    <cellStyle name="20% - Accent5 2 3 7" xfId="4134" xr:uid="{2A774423-C7B8-402A-B45B-FC38AEA49A57}"/>
    <cellStyle name="20% - Accent5 2 4" xfId="1209" xr:uid="{8E96D181-57A8-4507-A6C3-55280A19426A}"/>
    <cellStyle name="20% - Accent5 2 4 2" xfId="1540" xr:uid="{64C2B668-8A33-4EBF-9A06-659FFAB61012}"/>
    <cellStyle name="20% - Accent5 2 4 2 2" xfId="2599" xr:uid="{C238944F-85D3-4ABC-B689-D232FCE43F78}"/>
    <cellStyle name="20% - Accent5 2 4 2 3" xfId="3250" xr:uid="{3BBCE700-B502-4BF5-8CEB-43DFB63DA7D9}"/>
    <cellStyle name="20% - Accent5 2 4 2 4" xfId="3906" xr:uid="{D867CAB0-EF73-41FA-8AF6-49B121356B25}"/>
    <cellStyle name="20% - Accent5 2 4 2 5" xfId="4569" xr:uid="{A57E612E-09B7-4EF5-8766-50385EB2C10A}"/>
    <cellStyle name="20% - Accent5 2 4 3" xfId="2272" xr:uid="{9A33E9F3-4F7E-4BD9-BB53-5AF38900A06F}"/>
    <cellStyle name="20% - Accent5 2 4 4" xfId="2923" xr:uid="{F772703B-02DA-4A40-90EB-71FDC2444233}"/>
    <cellStyle name="20% - Accent5 2 4 5" xfId="3579" xr:uid="{7E03ADD0-0874-4C64-B85F-FB3F13EB89C3}"/>
    <cellStyle name="20% - Accent5 2 4 6" xfId="4242" xr:uid="{40905EFC-F519-4E8B-AA36-041F1B2613A5}"/>
    <cellStyle name="20% - Accent5 2 5" xfId="1324" xr:uid="{4C066958-27E0-4B2E-BD6D-232C984EA82F}"/>
    <cellStyle name="20% - Accent5 2 5 2" xfId="2383" xr:uid="{6BC9937A-3A61-438A-ACF5-03EEBFB6D01C}"/>
    <cellStyle name="20% - Accent5 2 5 3" xfId="3034" xr:uid="{F6EF0E99-0B54-4E61-8187-3E00E881CEE0}"/>
    <cellStyle name="20% - Accent5 2 5 4" xfId="3690" xr:uid="{B947A98C-7F41-4DB1-BA3B-79DF0EAFBAA3}"/>
    <cellStyle name="20% - Accent5 2 5 5" xfId="4353" xr:uid="{956DC57A-D655-4094-9F25-1A9A155607C1}"/>
    <cellStyle name="20% - Accent5 2 6" xfId="2024" xr:uid="{8C7E4C6F-6A85-4B8D-A83A-3511BF295DFE}"/>
    <cellStyle name="20% - Accent5 2 7" xfId="2056" xr:uid="{E7E95433-2474-44A6-B7B8-DDE36BCDAE5E}"/>
    <cellStyle name="20% - Accent5 2 8" xfId="2707" xr:uid="{FC5665BA-7F3E-4915-981C-A38A00C61A57}"/>
    <cellStyle name="20% - Accent5 2 9" xfId="3362" xr:uid="{D11921D7-93ED-4D46-8DA2-6C5CEF8B7280}"/>
    <cellStyle name="20% - Accent5 3" xfId="254" xr:uid="{EA3681D4-5C54-4D33-9888-73591BE48A77}"/>
    <cellStyle name="20% - Accent5 3 10" xfId="4047" xr:uid="{22E7E707-761F-41F0-9F91-B2B25BE9945B}"/>
    <cellStyle name="20% - Accent5 3 11" xfId="1808" xr:uid="{4209096F-54E2-4437-8DE8-07F51A9F41DE}"/>
    <cellStyle name="20% - Accent5 3 12" xfId="1748" xr:uid="{2A7ADCBA-21B5-45B0-AF5E-506D2BBFEEA1}"/>
    <cellStyle name="20% - Accent5 3 13" xfId="999" xr:uid="{BE1ABA77-F077-4AEB-A14E-85C9AB03CB53}"/>
    <cellStyle name="20% - Accent5 3 2" xfId="350" xr:uid="{30BD721C-A52F-416C-990A-467CF0FE5788}"/>
    <cellStyle name="20% - Accent5 3 2 10" xfId="1063" xr:uid="{E99F8CF3-F58F-45CF-AF49-A8C63CDEDE58}"/>
    <cellStyle name="20% - Accent5 3 2 2" xfId="466" xr:uid="{1D4D351B-D19F-4D97-B03D-FB6542FF772B}"/>
    <cellStyle name="20% - Accent5 3 2 2 2" xfId="685" xr:uid="{63D63698-FBF9-4390-8D93-55880DA3B2B2}"/>
    <cellStyle name="20% - Accent5 3 2 2 2 2" xfId="2566" xr:uid="{EDF63ED6-B174-4664-AA21-D0D22CAFF414}"/>
    <cellStyle name="20% - Accent5 3 2 2 2 3" xfId="3217" xr:uid="{175EA7E6-DFE0-49A3-BB63-450CF5F2B673}"/>
    <cellStyle name="20% - Accent5 3 2 2 2 4" xfId="3873" xr:uid="{6DC2547C-4240-469F-95B9-32F7EC404A67}"/>
    <cellStyle name="20% - Accent5 3 2 2 2 5" xfId="4536" xr:uid="{12A65337-D60C-4E95-8791-823642FA93A5}"/>
    <cellStyle name="20% - Accent5 3 2 2 2 6" xfId="1507" xr:uid="{9F0C1D96-737D-4FB0-A3EB-21494968EF59}"/>
    <cellStyle name="20% - Accent5 3 2 2 3" xfId="1875" xr:uid="{860A1660-BABA-4BE5-9265-4DD7F10EE616}"/>
    <cellStyle name="20% - Accent5 3 2 2 4" xfId="2239" xr:uid="{B9B9F6E6-0250-4B87-A77D-FEFD315EF8C2}"/>
    <cellStyle name="20% - Accent5 3 2 2 5" xfId="2890" xr:uid="{FE366646-1ACC-473A-BCEB-F4E0765B4537}"/>
    <cellStyle name="20% - Accent5 3 2 2 6" xfId="3546" xr:uid="{7D8A7909-F72C-4C0F-806C-9F3871A6B98A}"/>
    <cellStyle name="20% - Accent5 3 2 2 7" xfId="4209" xr:uid="{F4B95135-485E-4AE0-AC92-08D74EE201DF}"/>
    <cellStyle name="20% - Accent5 3 2 2 8" xfId="1170" xr:uid="{9EA1FAD9-795B-4E31-945E-78ED48CA2576}"/>
    <cellStyle name="20% - Accent5 3 2 3" xfId="575" xr:uid="{225177FE-62A0-46F7-A26D-F503ED74FCA0}"/>
    <cellStyle name="20% - Accent5 3 2 3 2" xfId="1615" xr:uid="{BC2496A4-8016-4E96-9CE7-9FFA3D70CB8F}"/>
    <cellStyle name="20% - Accent5 3 2 3 2 2" xfId="2674" xr:uid="{DD1D2310-5E63-467E-9638-8791D8095E32}"/>
    <cellStyle name="20% - Accent5 3 2 3 2 3" xfId="3325" xr:uid="{E4D3933F-2FB1-4F6F-BFF1-686ABBEA4ADF}"/>
    <cellStyle name="20% - Accent5 3 2 3 2 4" xfId="3981" xr:uid="{6792D549-79E2-48F4-B026-A53B49EDC125}"/>
    <cellStyle name="20% - Accent5 3 2 3 2 5" xfId="4644" xr:uid="{E120A3A2-1855-4BDE-A71F-7DD536ADFE7E}"/>
    <cellStyle name="20% - Accent5 3 2 3 3" xfId="2347" xr:uid="{E2174B88-B8A2-49A4-9A6F-CC25AC3C1FB9}"/>
    <cellStyle name="20% - Accent5 3 2 3 4" xfId="2998" xr:uid="{CC316BEB-4BC1-4A4B-943A-53DD6B0FD596}"/>
    <cellStyle name="20% - Accent5 3 2 3 5" xfId="3654" xr:uid="{61468A24-8432-4772-A68F-F575F1AB425D}"/>
    <cellStyle name="20% - Accent5 3 2 3 6" xfId="4317" xr:uid="{ED78C5BF-9547-4238-98B6-60B54F5EEB2B}"/>
    <cellStyle name="20% - Accent5 3 2 3 7" xfId="1284" xr:uid="{51095A7B-34F5-4707-9F1C-2542136D239C}"/>
    <cellStyle name="20% - Accent5 3 2 4" xfId="1399" xr:uid="{0355E538-A4B8-4063-98A3-634705C1344B}"/>
    <cellStyle name="20% - Accent5 3 2 4 2" xfId="2458" xr:uid="{B2447B84-610B-4A07-A9F5-70699540B40E}"/>
    <cellStyle name="20% - Accent5 3 2 4 3" xfId="3109" xr:uid="{4F4E4914-1EA0-41D2-AEFE-E61BD6CB2EC8}"/>
    <cellStyle name="20% - Accent5 3 2 4 4" xfId="3765" xr:uid="{5E588B64-ABB2-49F6-A580-47439C5E8295}"/>
    <cellStyle name="20% - Accent5 3 2 4 5" xfId="4428" xr:uid="{352347EC-6A52-4349-B0D1-BEEA7035E9AF}"/>
    <cellStyle name="20% - Accent5 3 2 5" xfId="2008" xr:uid="{1C4B3182-E0A9-4763-9E81-60CDE95183E1}"/>
    <cellStyle name="20% - Accent5 3 2 6" xfId="2131" xr:uid="{6B31F981-849F-46CE-9251-6CBC00CF1D61}"/>
    <cellStyle name="20% - Accent5 3 2 7" xfId="2782" xr:uid="{CE8E09CE-35A5-4EF7-BC01-9E959AB3B98D}"/>
    <cellStyle name="20% - Accent5 3 2 8" xfId="3438" xr:uid="{F7CC8A7A-402C-416F-83EE-B45694ABA797}"/>
    <cellStyle name="20% - Accent5 3 2 9" xfId="4101" xr:uid="{BA9CD1FF-1B9A-4F12-BC19-6E48B84689D0}"/>
    <cellStyle name="20% - Accent5 3 3" xfId="423" xr:uid="{6C9D4BC9-B29E-4682-AF11-1DF64A958245}"/>
    <cellStyle name="20% - Accent5 3 3 2" xfId="642" xr:uid="{B78A1012-A029-40B1-A669-3B29C4D2DB68}"/>
    <cellStyle name="20% - Accent5 3 3 2 2" xfId="2512" xr:uid="{919A1AF7-AC5B-42A1-AF53-BDD6DEB925CD}"/>
    <cellStyle name="20% - Accent5 3 3 2 3" xfId="3163" xr:uid="{60A00B11-6A57-4E2E-828C-8F38C48FCAEF}"/>
    <cellStyle name="20% - Accent5 3 3 2 4" xfId="3819" xr:uid="{1F2D73D6-1402-47FC-B9AC-C1B2894CF554}"/>
    <cellStyle name="20% - Accent5 3 3 2 5" xfId="4482" xr:uid="{6DB34802-E86D-440A-867D-342CA5DE06AE}"/>
    <cellStyle name="20% - Accent5 3 3 2 6" xfId="1453" xr:uid="{7F9BA90D-EBE3-4495-B428-1809C479A62A}"/>
    <cellStyle name="20% - Accent5 3 3 3" xfId="1941" xr:uid="{7660453F-2CEB-4F28-8D8C-1A10B2B7C2D9}"/>
    <cellStyle name="20% - Accent5 3 3 4" xfId="2185" xr:uid="{7E1F43F1-00BC-4B94-9F7C-60A6EF2A69F1}"/>
    <cellStyle name="20% - Accent5 3 3 5" xfId="2836" xr:uid="{DDE28F2B-3AD4-4951-BC61-863B5880AC03}"/>
    <cellStyle name="20% - Accent5 3 3 6" xfId="3492" xr:uid="{AF523036-45EF-4A37-9296-419A22194CF1}"/>
    <cellStyle name="20% - Accent5 3 3 7" xfId="4155" xr:uid="{1D43196C-FEA1-4BF3-A1C3-CD7ED7DD94F7}"/>
    <cellStyle name="20% - Accent5 3 3 8" xfId="1116" xr:uid="{DC9BFE24-8263-4A17-B455-6DA9AA4C00D3}"/>
    <cellStyle name="20% - Accent5 3 4" xfId="532" xr:uid="{3739A54D-F014-4017-B921-AA72D2F6051B}"/>
    <cellStyle name="20% - Accent5 3 4 2" xfId="1561" xr:uid="{906F15A9-291F-4108-B0B5-027345050199}"/>
    <cellStyle name="20% - Accent5 3 4 2 2" xfId="2620" xr:uid="{2EE48588-3721-4240-A1DA-21D490076B1E}"/>
    <cellStyle name="20% - Accent5 3 4 2 3" xfId="3271" xr:uid="{243AB9D3-83AC-4D65-81E4-24F0824B26BC}"/>
    <cellStyle name="20% - Accent5 3 4 2 4" xfId="3927" xr:uid="{2C92075C-03A7-49C1-987F-3CC8091A98D1}"/>
    <cellStyle name="20% - Accent5 3 4 2 5" xfId="4590" xr:uid="{8BF3F801-53C3-4C92-B928-AB4451ECFD87}"/>
    <cellStyle name="20% - Accent5 3 4 3" xfId="2293" xr:uid="{00E6CE3C-5A40-4D8F-B661-E6C906863DB5}"/>
    <cellStyle name="20% - Accent5 3 4 4" xfId="2944" xr:uid="{6D51243E-85AA-4B1B-808C-C2B0102048B3}"/>
    <cellStyle name="20% - Accent5 3 4 5" xfId="3600" xr:uid="{57ED14E2-AC67-4F1B-B35A-7BAB1AC1F674}"/>
    <cellStyle name="20% - Accent5 3 4 6" xfId="4263" xr:uid="{B6A407CF-3D4C-4AC7-86EB-FEDCB5DECA9D}"/>
    <cellStyle name="20% - Accent5 3 4 7" xfId="1230" xr:uid="{740FD4AB-A8E4-4B85-9FD4-13A9BFBEC4D7}"/>
    <cellStyle name="20% - Accent5 3 5" xfId="302" xr:uid="{079CCED8-9FCD-4FFB-9FE0-43277ADEA153}"/>
    <cellStyle name="20% - Accent5 3 5 2" xfId="2404" xr:uid="{B3E22B4C-87B7-4431-8196-7689C71CB383}"/>
    <cellStyle name="20% - Accent5 3 5 3" xfId="3055" xr:uid="{D986C01D-D1AE-4DB2-9EC3-6E8955A5E5B3}"/>
    <cellStyle name="20% - Accent5 3 5 4" xfId="3711" xr:uid="{35E0B809-1C66-40CA-B5A1-D009EAA9AD2A}"/>
    <cellStyle name="20% - Accent5 3 5 5" xfId="4374" xr:uid="{608E3357-935C-4FEE-9F71-2679ECD70CB8}"/>
    <cellStyle name="20% - Accent5 3 5 6" xfId="1345" xr:uid="{6B98FD8F-56B3-480D-8388-F678EAE0B030}"/>
    <cellStyle name="20% - Accent5 3 6" xfId="1890" xr:uid="{7D97723E-96CB-4F5E-8C58-CBBE96F26838}"/>
    <cellStyle name="20% - Accent5 3 7" xfId="2077" xr:uid="{6A1B6440-0A65-446F-B73C-2B9C2DBAF84D}"/>
    <cellStyle name="20% - Accent5 3 8" xfId="2728" xr:uid="{A5A88A26-5241-4C0A-B4DA-B1E135F21FBF}"/>
    <cellStyle name="20% - Accent5 3 9" xfId="3383" xr:uid="{78C7703A-F953-4297-8A88-FB76DA5225C8}"/>
    <cellStyle name="20% - Accent5 4" xfId="370" xr:uid="{E7D879B9-22BD-4607-835D-D92C9C1D42DE}"/>
    <cellStyle name="20% - Accent5 4 10" xfId="1030" xr:uid="{89DA9736-BC08-4A91-83F0-570C3901225D}"/>
    <cellStyle name="20% - Accent5 4 2" xfId="485" xr:uid="{C95E5931-6358-45C4-819D-365D44A264B2}"/>
    <cellStyle name="20% - Accent5 4 2 2" xfId="704" xr:uid="{C029D9A0-8B29-49CF-9BE1-A5B9E8C25D3B}"/>
    <cellStyle name="20% - Accent5 4 2 2 2" xfId="2533" xr:uid="{A0A02533-8B93-48A4-9B56-F372A6228414}"/>
    <cellStyle name="20% - Accent5 4 2 2 3" xfId="3184" xr:uid="{C9EAC937-D9C8-4560-B013-B706A9298E4C}"/>
    <cellStyle name="20% - Accent5 4 2 2 4" xfId="3840" xr:uid="{BEEE1F96-2DA8-4CF4-BF4F-1A07E5F98F2B}"/>
    <cellStyle name="20% - Accent5 4 2 2 5" xfId="4503" xr:uid="{69EB33B3-E6DE-4D9E-8CF9-A66123CFE49D}"/>
    <cellStyle name="20% - Accent5 4 2 2 6" xfId="1474" xr:uid="{A481C2A8-7A2F-43AE-9DCA-032010E5813D}"/>
    <cellStyle name="20% - Accent5 4 2 3" xfId="1897" xr:uid="{76642F94-5159-4165-890E-A2A781FDFFB7}"/>
    <cellStyle name="20% - Accent5 4 2 4" xfId="2206" xr:uid="{9DF2C2DF-EAB4-4F4B-8448-38251A1DECFE}"/>
    <cellStyle name="20% - Accent5 4 2 5" xfId="2857" xr:uid="{30E7C119-9C04-47BF-9800-F67766297CB5}"/>
    <cellStyle name="20% - Accent5 4 2 6" xfId="3513" xr:uid="{4286D367-33BF-4039-BD40-879ED0C22D58}"/>
    <cellStyle name="20% - Accent5 4 2 7" xfId="4176" xr:uid="{AA95AC59-81A6-482A-9995-2D1F7FA053FB}"/>
    <cellStyle name="20% - Accent5 4 2 8" xfId="1137" xr:uid="{33DF8E4C-3C16-47FC-9150-D0F8708304FB}"/>
    <cellStyle name="20% - Accent5 4 3" xfId="594" xr:uid="{D2A9FB2D-BA4F-48A2-851B-5B9F9FF83C75}"/>
    <cellStyle name="20% - Accent5 4 3 2" xfId="1582" xr:uid="{6BD9D00B-1B40-45C2-BDA4-DA8C8734225D}"/>
    <cellStyle name="20% - Accent5 4 3 2 2" xfId="2641" xr:uid="{E9C7773C-76A4-4910-9A89-05C491E34DF3}"/>
    <cellStyle name="20% - Accent5 4 3 2 3" xfId="3292" xr:uid="{8E97908C-38BF-4C8D-B208-FC56483B45A7}"/>
    <cellStyle name="20% - Accent5 4 3 2 4" xfId="3948" xr:uid="{264B3F1D-0EF5-4F1E-A282-D69F7BE6B7BB}"/>
    <cellStyle name="20% - Accent5 4 3 2 5" xfId="4611" xr:uid="{0CA09458-A9CB-4E7C-AD5E-A89198F171B9}"/>
    <cellStyle name="20% - Accent5 4 3 3" xfId="2314" xr:uid="{FD4B072F-E4CC-4F6D-84EE-F3B0ABBD2666}"/>
    <cellStyle name="20% - Accent5 4 3 4" xfId="2965" xr:uid="{CBF6475B-DED1-4C8E-9663-46443AE6BA10}"/>
    <cellStyle name="20% - Accent5 4 3 5" xfId="3621" xr:uid="{9F4C4EC6-7C53-428E-B85D-7E9FE046ED56}"/>
    <cellStyle name="20% - Accent5 4 3 6" xfId="4284" xr:uid="{19F47B67-1626-49D1-904B-271DAC238FA5}"/>
    <cellStyle name="20% - Accent5 4 3 7" xfId="1251" xr:uid="{F0D56EF2-C5C8-4F42-881A-B1099CA7297F}"/>
    <cellStyle name="20% - Accent5 4 4" xfId="1366" xr:uid="{1E27DC21-02CD-46C2-9110-79675C129DAD}"/>
    <cellStyle name="20% - Accent5 4 4 2" xfId="2425" xr:uid="{DFD7772C-AA23-47A6-A397-6E96FEAF5E02}"/>
    <cellStyle name="20% - Accent5 4 4 3" xfId="3076" xr:uid="{842F7015-E88D-4931-8D21-D6D5C198649B}"/>
    <cellStyle name="20% - Accent5 4 4 4" xfId="3732" xr:uid="{4BB3D839-37BE-43FD-B584-066300054ED9}"/>
    <cellStyle name="20% - Accent5 4 4 5" xfId="4395" xr:uid="{997437DA-C5DC-44A3-B58C-8D01E707A1A2}"/>
    <cellStyle name="20% - Accent5 4 5" xfId="1991" xr:uid="{DD8801B9-D46E-4457-AC5D-93C0F0EBA6DB}"/>
    <cellStyle name="20% - Accent5 4 6" xfId="2098" xr:uid="{5EE48954-D616-436F-B4AB-B4E48AB2489E}"/>
    <cellStyle name="20% - Accent5 4 7" xfId="2749" xr:uid="{117C9EB1-A83A-43D1-983A-DDD0DFDEC4DF}"/>
    <cellStyle name="20% - Accent5 4 8" xfId="3405" xr:uid="{439E154E-F12D-4DF2-9379-557E1B153F88}"/>
    <cellStyle name="20% - Accent5 4 9" xfId="4068" xr:uid="{FC920B82-000E-41D7-957A-337DCB855DB9}"/>
    <cellStyle name="20% - Accent5 5" xfId="326" xr:uid="{7DE2C66A-36F6-4125-B188-798279DF3441}"/>
    <cellStyle name="20% - Accent5 5 10" xfId="1081" xr:uid="{354F094D-8AB0-461F-8653-7332A7543FA5}"/>
    <cellStyle name="20% - Accent5 5 2" xfId="447" xr:uid="{40B4C03E-0F36-49CA-81C4-EE3556869D97}"/>
    <cellStyle name="20% - Accent5 5 2 2" xfId="666" xr:uid="{058FA5D6-67BA-4EED-B0C0-E548073F2146}"/>
    <cellStyle name="20% - Accent5 5 2 2 2" xfId="2477" xr:uid="{1DA4371E-CC2B-4412-9206-A4F147495A9C}"/>
    <cellStyle name="20% - Accent5 5 2 3" xfId="3128" xr:uid="{18FDE18A-2CB0-4948-B030-CF08818CCB46}"/>
    <cellStyle name="20% - Accent5 5 2 4" xfId="3784" xr:uid="{BC63459F-F3FA-41CD-B658-A1D5EF0AF5EA}"/>
    <cellStyle name="20% - Accent5 5 2 5" xfId="4447" xr:uid="{F35B37FD-74F2-402D-99C8-C8698E1F77B9}"/>
    <cellStyle name="20% - Accent5 5 2 6" xfId="1418" xr:uid="{70B7ADA4-FB86-432F-9869-F25DE6433F02}"/>
    <cellStyle name="20% - Accent5 5 3" xfId="556" xr:uid="{05FBF430-C123-46C1-83BE-163FA29A463A}"/>
    <cellStyle name="20% - Accent5 5 3 2" xfId="1978" xr:uid="{C4244C9A-8F6D-4C75-84F8-6D7D5708873D}"/>
    <cellStyle name="20% - Accent5 5 4" xfId="2150" xr:uid="{943C2A73-2F18-4887-9B33-4346650E7C93}"/>
    <cellStyle name="20% - Accent5 5 5" xfId="2801" xr:uid="{BE6DFA5E-2213-4A66-AF36-CC8AAEB77733}"/>
    <cellStyle name="20% - Accent5 5 6" xfId="3457" xr:uid="{94E392C3-2D8C-4804-A62B-58C9BC7138D5}"/>
    <cellStyle name="20% - Accent5 5 7" xfId="4120" xr:uid="{39143BF7-348A-42E1-B819-C6929BB51FA9}"/>
    <cellStyle name="20% - Accent5 5 8" xfId="1823" xr:uid="{4F8F9820-7AF4-4894-B530-59E98A251770}"/>
    <cellStyle name="20% - Accent5 5 9" xfId="1675" xr:uid="{F60793D8-F5AB-4CAC-B280-58E005B4917E}"/>
    <cellStyle name="20% - Accent5 6" xfId="400" xr:uid="{8BE18431-70A3-4A58-98DA-D044CA8BACE1}"/>
    <cellStyle name="20% - Accent5 6 2" xfId="620" xr:uid="{EB88145C-EC1C-495C-9EF7-D148CBACC87F}"/>
    <cellStyle name="20% - Accent5 6 2 2" xfId="2585" xr:uid="{EAC72856-8FA3-48CD-86F8-6DC195BDE2D1}"/>
    <cellStyle name="20% - Accent5 6 2 3" xfId="3236" xr:uid="{B5752EE2-4FFF-4C55-A268-33225C250F66}"/>
    <cellStyle name="20% - Accent5 6 2 4" xfId="3892" xr:uid="{E2B67A59-6E0F-4A5D-83E0-E3E5B0AF6161}"/>
    <cellStyle name="20% - Accent5 6 2 5" xfId="4555" xr:uid="{CA14FCB2-237C-4DD9-8337-231384D53487}"/>
    <cellStyle name="20% - Accent5 6 2 6" xfId="1526" xr:uid="{9804EB30-5A14-496C-9893-A3FEB2050AEB}"/>
    <cellStyle name="20% - Accent5 6 3" xfId="2258" xr:uid="{8DBFB187-8BEB-4BE0-A321-C40ABC97639F}"/>
    <cellStyle name="20% - Accent5 6 4" xfId="2909" xr:uid="{AD33585A-24FF-4721-8A5F-3A13DAE1EC4B}"/>
    <cellStyle name="20% - Accent5 6 5" xfId="3565" xr:uid="{E4AAB99E-B4EB-4A7F-BEBD-D0D4D823861F}"/>
    <cellStyle name="20% - Accent5 6 6" xfId="4228" xr:uid="{08552BC0-7B77-44EC-BC48-90231A94AE10}"/>
    <cellStyle name="20% - Accent5 6 7" xfId="1195" xr:uid="{19B89719-C9D4-4BD1-8ABB-88CABFDEEBD8}"/>
    <cellStyle name="20% - Accent5 7" xfId="510" xr:uid="{12FDC52D-4754-4D15-9DA1-F7AED20EF5FF}"/>
    <cellStyle name="20% - Accent5 7 2" xfId="2369" xr:uid="{CE12EBF9-E60B-4A04-B373-34730A0CDC14}"/>
    <cellStyle name="20% - Accent5 7 3" xfId="3020" xr:uid="{5D98542B-E8BA-45C2-96EF-B704D940BD6F}"/>
    <cellStyle name="20% - Accent5 7 4" xfId="3676" xr:uid="{3488C9E8-814E-4DF4-B2BA-EBA59966023E}"/>
    <cellStyle name="20% - Accent5 7 5" xfId="4339" xr:uid="{34C5193C-967A-4F23-8BD5-690B8E9AA82F}"/>
    <cellStyle name="20% - Accent5 7 6" xfId="1305" xr:uid="{07DA10AB-EFC0-46F8-89CD-137D8EB2DFEC}"/>
    <cellStyle name="20% - Accent5 8" xfId="278" xr:uid="{8AE5B5FA-8D7A-40D3-8205-7EA2D21CF21B}"/>
    <cellStyle name="20% - Accent5 8 2" xfId="1851" xr:uid="{D86C6B8B-5459-4EAE-8D7D-53E05488D600}"/>
    <cellStyle name="20% - Accent5 9" xfId="2042" xr:uid="{50EDB27E-2684-42A2-94BC-FE1993E90DC4}"/>
    <cellStyle name="20% - Accent6" xfId="41" builtinId="50" customBuiltin="1"/>
    <cellStyle name="20% - Accent6 10" xfId="2695" xr:uid="{9F63F2EF-5302-4B16-8AA3-957A5720693A}"/>
    <cellStyle name="20% - Accent6 11" xfId="3349" xr:uid="{6DCFA3F7-78AA-433A-B8D3-0788F563D898}"/>
    <cellStyle name="20% - Accent6 12" xfId="4014" xr:uid="{355AC591-2373-47A0-B923-07A62C9BAAD4}"/>
    <cellStyle name="20% - Accent6 13" xfId="733" xr:uid="{B0106BFE-9842-4091-B501-3279CA672D54}"/>
    <cellStyle name="20% - Accent6 14" xfId="161" xr:uid="{45C62912-DA63-4D17-A434-A8B35317E23C}"/>
    <cellStyle name="20% - Accent6 2" xfId="79" xr:uid="{ADF0BF6E-7553-42C3-9BC9-E149AD2234F7}"/>
    <cellStyle name="20% - Accent6 2 10" xfId="4027" xr:uid="{462D57E1-785B-470E-8853-1F47B770C04D}"/>
    <cellStyle name="20% - Accent6 2 11" xfId="741" xr:uid="{80A059E8-06F0-43E8-A0BF-D7589A2410DA}"/>
    <cellStyle name="20% - Accent6 2 12" xfId="172" xr:uid="{B82C7ACB-D86B-46A6-B982-5FB065A87195}"/>
    <cellStyle name="20% - Accent6 2 2" xfId="1043" xr:uid="{D6DA8CD0-A519-4F06-B054-D7150F89D2AB}"/>
    <cellStyle name="20% - Accent6 2 2 2" xfId="1150" xr:uid="{456C87FF-1D54-4ED8-8188-AB105531ED2D}"/>
    <cellStyle name="20% - Accent6 2 2 2 2" xfId="1487" xr:uid="{C26BD12A-BC26-4917-B0B6-02926B19FAD3}"/>
    <cellStyle name="20% - Accent6 2 2 2 2 2" xfId="2546" xr:uid="{A658A603-AA9A-4C46-8127-60799188677B}"/>
    <cellStyle name="20% - Accent6 2 2 2 2 3" xfId="3197" xr:uid="{3CABF531-73F6-4D61-A1BF-92E8B93D7667}"/>
    <cellStyle name="20% - Accent6 2 2 2 2 4" xfId="3853" xr:uid="{B972CF5E-56A6-4350-A5AC-9A05A8C628B4}"/>
    <cellStyle name="20% - Accent6 2 2 2 2 5" xfId="4516" xr:uid="{29E5C3C8-112D-477F-91E1-02FC107EF5D0}"/>
    <cellStyle name="20% - Accent6 2 2 2 3" xfId="2026" xr:uid="{F78D6BC4-4E90-4B5B-A478-FA41E136FD17}"/>
    <cellStyle name="20% - Accent6 2 2 2 4" xfId="2219" xr:uid="{93790953-6209-4225-BDA6-870985C1D81C}"/>
    <cellStyle name="20% - Accent6 2 2 2 5" xfId="2870" xr:uid="{D96690C1-27F8-4760-B79A-782D11F57B87}"/>
    <cellStyle name="20% - Accent6 2 2 2 6" xfId="3526" xr:uid="{3CDEE4D4-C5B3-4AC6-B609-296741772306}"/>
    <cellStyle name="20% - Accent6 2 2 2 7" xfId="4189" xr:uid="{3286BF5F-FA12-45E7-8B3E-68BDFCDE561C}"/>
    <cellStyle name="20% - Accent6 2 2 3" xfId="1264" xr:uid="{76F70778-4FEE-474A-8EB4-B69664C7F11C}"/>
    <cellStyle name="20% - Accent6 2 2 3 2" xfId="1595" xr:uid="{07579ADD-CEFF-4359-BAE1-9319C23DF28D}"/>
    <cellStyle name="20% - Accent6 2 2 3 2 2" xfId="2654" xr:uid="{6ABE8EAB-8D95-49AA-8A98-3B8226EFB88A}"/>
    <cellStyle name="20% - Accent6 2 2 3 2 3" xfId="3305" xr:uid="{449E16A1-7694-4089-BA8C-E78CA602135B}"/>
    <cellStyle name="20% - Accent6 2 2 3 2 4" xfId="3961" xr:uid="{DFEE7786-1C1F-41CF-BA19-B2E99D198661}"/>
    <cellStyle name="20% - Accent6 2 2 3 2 5" xfId="4624" xr:uid="{9213B8B4-2245-40FE-BF11-210E5E1B1AF2}"/>
    <cellStyle name="20% - Accent6 2 2 3 3" xfId="2327" xr:uid="{D458D0CA-82BC-47C9-8C14-3192F88FF325}"/>
    <cellStyle name="20% - Accent6 2 2 3 4" xfId="2978" xr:uid="{69DD93B9-49A0-447D-BC8B-862CC9FDBE94}"/>
    <cellStyle name="20% - Accent6 2 2 3 5" xfId="3634" xr:uid="{117F2AFB-A664-44BE-8DA1-6D686E9CF0BE}"/>
    <cellStyle name="20% - Accent6 2 2 3 6" xfId="4297" xr:uid="{E2DA63D9-2EAC-44B6-A2CE-6E5655A207AC}"/>
    <cellStyle name="20% - Accent6 2 2 4" xfId="1379" xr:uid="{C87B6A33-7B76-4C97-B332-754EB493A2FF}"/>
    <cellStyle name="20% - Accent6 2 2 4 2" xfId="2438" xr:uid="{C732C7CF-E016-4509-9A9A-0DDA3DDA06A9}"/>
    <cellStyle name="20% - Accent6 2 2 4 3" xfId="3089" xr:uid="{D68FE534-FBE3-438E-9592-1031E7AB41DB}"/>
    <cellStyle name="20% - Accent6 2 2 4 4" xfId="3745" xr:uid="{A0F63D93-4158-4B5B-9E2E-C26A2F0EFAAB}"/>
    <cellStyle name="20% - Accent6 2 2 4 5" xfId="4408" xr:uid="{F13B71C2-1D68-4F29-9137-01D45CECCF89}"/>
    <cellStyle name="20% - Accent6 2 2 5" xfId="1909" xr:uid="{0D087498-E091-43F0-94FB-BB2F8DB942F1}"/>
    <cellStyle name="20% - Accent6 2 2 6" xfId="2111" xr:uid="{838E241E-7C62-4990-A83D-A59894C0BDB6}"/>
    <cellStyle name="20% - Accent6 2 2 7" xfId="2762" xr:uid="{73890D7B-458A-4CE1-8153-DCD8C448AA60}"/>
    <cellStyle name="20% - Accent6 2 2 8" xfId="3418" xr:uid="{9CD96AFF-BEF0-48D2-BD95-E7D47DB0C0B7}"/>
    <cellStyle name="20% - Accent6 2 2 9" xfId="4081" xr:uid="{AC99B3C4-839F-44F2-A397-4C73C5C56538}"/>
    <cellStyle name="20% - Accent6 2 3" xfId="1096" xr:uid="{BFE2E4C3-9804-4F5D-9BC3-276866AD49A4}"/>
    <cellStyle name="20% - Accent6 2 3 2" xfId="1433" xr:uid="{61773BAC-06AE-46CC-B395-52A51C4A9680}"/>
    <cellStyle name="20% - Accent6 2 3 2 2" xfId="2492" xr:uid="{5324F67A-FDCF-4CE1-B475-A88A2A5680B8}"/>
    <cellStyle name="20% - Accent6 2 3 2 3" xfId="3143" xr:uid="{0725626C-B50B-4D30-8E22-5B3727F25174}"/>
    <cellStyle name="20% - Accent6 2 3 2 4" xfId="3799" xr:uid="{433FCEE3-2000-440E-B677-AB93FEF8ABEE}"/>
    <cellStyle name="20% - Accent6 2 3 2 5" xfId="4462" xr:uid="{40EEE168-E6E6-40C2-B8C5-91E602BAC8C3}"/>
    <cellStyle name="20% - Accent6 2 3 3" xfId="1999" xr:uid="{87AE66A5-BE4C-41E9-A99D-CB87CB81412C}"/>
    <cellStyle name="20% - Accent6 2 3 4" xfId="2165" xr:uid="{D0848EC6-4EF6-4855-93C7-277E463B7D80}"/>
    <cellStyle name="20% - Accent6 2 3 5" xfId="2816" xr:uid="{A4E6466C-BD8B-4505-B733-2243DE4A85F0}"/>
    <cellStyle name="20% - Accent6 2 3 6" xfId="3472" xr:uid="{65F2033D-0403-43F5-802D-651203F4E42F}"/>
    <cellStyle name="20% - Accent6 2 3 7" xfId="4135" xr:uid="{576C8E66-0882-4750-8C59-275122415E09}"/>
    <cellStyle name="20% - Accent6 2 4" xfId="1210" xr:uid="{BD66B317-51B5-4419-9376-37B522FDEF0B}"/>
    <cellStyle name="20% - Accent6 2 4 2" xfId="1541" xr:uid="{5DC045D7-453A-4234-AA16-9362E1D95680}"/>
    <cellStyle name="20% - Accent6 2 4 2 2" xfId="2600" xr:uid="{55C05E39-507D-4657-8480-3EF8E83037D0}"/>
    <cellStyle name="20% - Accent6 2 4 2 3" xfId="3251" xr:uid="{1C90A4F7-CBB7-456B-979F-EF78E284F052}"/>
    <cellStyle name="20% - Accent6 2 4 2 4" xfId="3907" xr:uid="{04C644B5-52DE-4071-9F1F-3962DB56300B}"/>
    <cellStyle name="20% - Accent6 2 4 2 5" xfId="4570" xr:uid="{084220BA-2491-4D37-91E0-7B100C978863}"/>
    <cellStyle name="20% - Accent6 2 4 3" xfId="2273" xr:uid="{D1D0D298-CAAA-4BCC-AF6A-580E07CFC6D2}"/>
    <cellStyle name="20% - Accent6 2 4 4" xfId="2924" xr:uid="{A3115FAB-65E8-4C4E-B3E0-478A44F13460}"/>
    <cellStyle name="20% - Accent6 2 4 5" xfId="3580" xr:uid="{302B5C98-B7B7-41AC-BE44-7B4734EE1E3A}"/>
    <cellStyle name="20% - Accent6 2 4 6" xfId="4243" xr:uid="{30096838-F786-4E70-92C4-2E9CCE26A244}"/>
    <cellStyle name="20% - Accent6 2 5" xfId="1325" xr:uid="{EA8FCCCF-8EBC-42B5-B2B3-FF58FB755088}"/>
    <cellStyle name="20% - Accent6 2 5 2" xfId="2384" xr:uid="{3E6DA6BD-0842-464B-93CD-807ABEDB7F1B}"/>
    <cellStyle name="20% - Accent6 2 5 3" xfId="3035" xr:uid="{0ED736B3-22B3-4D89-8589-30BEEC421818}"/>
    <cellStyle name="20% - Accent6 2 5 4" xfId="3691" xr:uid="{F40D44F4-FB26-4367-9C16-733436695E07}"/>
    <cellStyle name="20% - Accent6 2 5 5" xfId="4354" xr:uid="{7AB6874D-1E6F-4196-B2DB-20F88D9F66AA}"/>
    <cellStyle name="20% - Accent6 2 6" xfId="1873" xr:uid="{4529E45D-EB33-4BD9-9126-BF147355478D}"/>
    <cellStyle name="20% - Accent6 2 7" xfId="2057" xr:uid="{0C932B73-AD59-4EC3-B75F-7DA8FF365107}"/>
    <cellStyle name="20% - Accent6 2 8" xfId="2708" xr:uid="{98FA32EE-87DA-4002-A08B-B38F0003AC55}"/>
    <cellStyle name="20% - Accent6 2 9" xfId="3363" xr:uid="{394E065E-6505-4D38-8EC9-987A51484452}"/>
    <cellStyle name="20% - Accent6 3" xfId="256" xr:uid="{B6B0E98D-DFEC-47F4-94DA-194E5DC62663}"/>
    <cellStyle name="20% - Accent6 3 10" xfId="4049" xr:uid="{12D54F37-D1F1-4D50-9789-44703AF6C707}"/>
    <cellStyle name="20% - Accent6 3 11" xfId="1810" xr:uid="{3A12A4F2-3AB1-480C-A593-B5868EB0F45C}"/>
    <cellStyle name="20% - Accent6 3 12" xfId="1752" xr:uid="{9CCBA71D-BFF3-4C2E-B726-FAAD8BD1C00F}"/>
    <cellStyle name="20% - Accent6 3 13" xfId="1001" xr:uid="{E7A4E5AA-D5CC-48FD-A76E-C8F7BB4E4965}"/>
    <cellStyle name="20% - Accent6 3 2" xfId="352" xr:uid="{52EC0295-0B89-44F4-8835-B5D67C021D06}"/>
    <cellStyle name="20% - Accent6 3 2 10" xfId="1065" xr:uid="{9167DECD-F436-40DD-BB0C-06A967ABD819}"/>
    <cellStyle name="20% - Accent6 3 2 2" xfId="468" xr:uid="{560E8D8E-E8BD-4E96-93F2-84B29A2BBB8D}"/>
    <cellStyle name="20% - Accent6 3 2 2 2" xfId="687" xr:uid="{91ABD560-E0D2-4167-9FE0-974D55618ACB}"/>
    <cellStyle name="20% - Accent6 3 2 2 2 2" xfId="2568" xr:uid="{113A3BCD-C6DA-4DDE-B115-D04034218654}"/>
    <cellStyle name="20% - Accent6 3 2 2 2 3" xfId="3219" xr:uid="{E299E7A2-E247-4ED8-BB33-62BC3AD7B1A1}"/>
    <cellStyle name="20% - Accent6 3 2 2 2 4" xfId="3875" xr:uid="{686D7FD7-9870-4570-ABD8-82E10379F27C}"/>
    <cellStyle name="20% - Accent6 3 2 2 2 5" xfId="4538" xr:uid="{2A9538C6-2CE4-4BEF-B0CF-9F4455BA20D1}"/>
    <cellStyle name="20% - Accent6 3 2 2 2 6" xfId="1509" xr:uid="{49A00709-672B-4FC3-845A-ADBEE5D5B15E}"/>
    <cellStyle name="20% - Accent6 3 2 2 3" xfId="1893" xr:uid="{901A754D-0819-4CD3-A60B-C7A6E282C7EB}"/>
    <cellStyle name="20% - Accent6 3 2 2 4" xfId="2241" xr:uid="{07A8922B-4EBA-48D8-A8A6-419670CB88A8}"/>
    <cellStyle name="20% - Accent6 3 2 2 5" xfId="2892" xr:uid="{9ED3222C-A171-47FB-9B37-07ABEEB68A2C}"/>
    <cellStyle name="20% - Accent6 3 2 2 6" xfId="3548" xr:uid="{0985C9BA-0C6C-4804-841F-D716F2705B29}"/>
    <cellStyle name="20% - Accent6 3 2 2 7" xfId="4211" xr:uid="{A4AA77E1-8783-416C-9ABD-5EDE819C2A33}"/>
    <cellStyle name="20% - Accent6 3 2 2 8" xfId="1172" xr:uid="{81C86ADB-8B68-49C0-9512-6A5599BFB744}"/>
    <cellStyle name="20% - Accent6 3 2 3" xfId="577" xr:uid="{AAF63C5D-6D18-4995-AC82-8DC91C5F800B}"/>
    <cellStyle name="20% - Accent6 3 2 3 2" xfId="1617" xr:uid="{8F277D40-4573-4E5B-8868-E783F53CF02C}"/>
    <cellStyle name="20% - Accent6 3 2 3 2 2" xfId="2676" xr:uid="{8D12668E-36AD-42E8-8A84-C804D3E3CEC1}"/>
    <cellStyle name="20% - Accent6 3 2 3 2 3" xfId="3327" xr:uid="{7B5743AA-70E2-4A32-8B3C-55273167F537}"/>
    <cellStyle name="20% - Accent6 3 2 3 2 4" xfId="3983" xr:uid="{EB4F3EFB-D0A1-4701-AFCE-9EF480C95FEB}"/>
    <cellStyle name="20% - Accent6 3 2 3 2 5" xfId="4646" xr:uid="{7D7C4961-B938-405C-8754-1EBB3FC6C6EC}"/>
    <cellStyle name="20% - Accent6 3 2 3 3" xfId="2349" xr:uid="{3D50F2FF-020E-462B-BA6F-6857D57E9970}"/>
    <cellStyle name="20% - Accent6 3 2 3 4" xfId="3000" xr:uid="{9DCEF529-6690-4DE1-8815-A59905B87407}"/>
    <cellStyle name="20% - Accent6 3 2 3 5" xfId="3656" xr:uid="{3FDD8AAC-038B-4494-9F2A-74E38F4D2D91}"/>
    <cellStyle name="20% - Accent6 3 2 3 6" xfId="4319" xr:uid="{ED63BD72-60FF-4E10-B58D-FADF56ED803A}"/>
    <cellStyle name="20% - Accent6 3 2 3 7" xfId="1286" xr:uid="{EC7F6B8A-B279-4000-A985-36FEDEF3D0B4}"/>
    <cellStyle name="20% - Accent6 3 2 4" xfId="1401" xr:uid="{4EFF53BF-01C4-4AF6-9ECA-E3212F3F2A22}"/>
    <cellStyle name="20% - Accent6 3 2 4 2" xfId="2460" xr:uid="{7E4B5E00-6C14-44AD-AEDE-1FE06328F056}"/>
    <cellStyle name="20% - Accent6 3 2 4 3" xfId="3111" xr:uid="{5CF23539-0191-4E98-8740-075B4E5E3959}"/>
    <cellStyle name="20% - Accent6 3 2 4 4" xfId="3767" xr:uid="{0E516EA7-5F15-4B5B-AFCE-5FCBB0CC2158}"/>
    <cellStyle name="20% - Accent6 3 2 4 5" xfId="4430" xr:uid="{BB71C5AD-A06A-440E-BC21-ECEFCE4DFDE9}"/>
    <cellStyle name="20% - Accent6 3 2 5" xfId="1903" xr:uid="{162F20DB-87F1-4E03-B5DA-1B56A21B15A9}"/>
    <cellStyle name="20% - Accent6 3 2 6" xfId="2133" xr:uid="{78940273-909C-4609-813C-D487958B9900}"/>
    <cellStyle name="20% - Accent6 3 2 7" xfId="2784" xr:uid="{3C6DB0E3-0866-42FD-BB7E-847BD4DFA7F4}"/>
    <cellStyle name="20% - Accent6 3 2 8" xfId="3440" xr:uid="{47068E44-B82C-4E84-9EFB-47181F7D81A3}"/>
    <cellStyle name="20% - Accent6 3 2 9" xfId="4103" xr:uid="{274B66EF-CF5C-4937-82AC-596483ED12FF}"/>
    <cellStyle name="20% - Accent6 3 3" xfId="425" xr:uid="{BC337090-D691-4B81-A70D-E7E3CE0B0227}"/>
    <cellStyle name="20% - Accent6 3 3 2" xfId="644" xr:uid="{CEBCF2A7-C126-41C5-ABC9-2031F7F38F06}"/>
    <cellStyle name="20% - Accent6 3 3 2 2" xfId="2514" xr:uid="{BCB24B2F-56F0-4360-A73A-243981522322}"/>
    <cellStyle name="20% - Accent6 3 3 2 3" xfId="3165" xr:uid="{B1990AE9-1494-4546-8BDD-47F0998E3B69}"/>
    <cellStyle name="20% - Accent6 3 3 2 4" xfId="3821" xr:uid="{AD447D85-3D1A-42D5-924A-4DDAA472F3A6}"/>
    <cellStyle name="20% - Accent6 3 3 2 5" xfId="4484" xr:uid="{7314A1E8-15C7-4080-825A-866633A2199A}"/>
    <cellStyle name="20% - Accent6 3 3 2 6" xfId="1455" xr:uid="{D90617E8-ADB7-45F0-B709-CA9C0BC30A5C}"/>
    <cellStyle name="20% - Accent6 3 3 3" xfId="1963" xr:uid="{A30BB73E-D7D3-4C1F-ACE4-C73FEEED71D4}"/>
    <cellStyle name="20% - Accent6 3 3 4" xfId="2187" xr:uid="{B96D919E-9278-4EAA-A5DC-2788AC37C1F9}"/>
    <cellStyle name="20% - Accent6 3 3 5" xfId="2838" xr:uid="{30613D62-ADBC-4A3C-8162-5740E90FB93C}"/>
    <cellStyle name="20% - Accent6 3 3 6" xfId="3494" xr:uid="{F4C43324-B56E-49A9-BFB1-84F3510BC811}"/>
    <cellStyle name="20% - Accent6 3 3 7" xfId="4157" xr:uid="{909F511E-6A9C-4361-9431-EEE51E92F308}"/>
    <cellStyle name="20% - Accent6 3 3 8" xfId="1118" xr:uid="{E9B8C9FA-561B-4D97-BDE9-226B9798B133}"/>
    <cellStyle name="20% - Accent6 3 4" xfId="534" xr:uid="{FC2DD430-9813-439F-9FFB-6BD33877C51D}"/>
    <cellStyle name="20% - Accent6 3 4 2" xfId="1563" xr:uid="{C3B6D542-4D8A-495B-9325-21BB63643A1E}"/>
    <cellStyle name="20% - Accent6 3 4 2 2" xfId="2622" xr:uid="{026BBB99-3447-4708-9C7B-D2B44F1FFE40}"/>
    <cellStyle name="20% - Accent6 3 4 2 3" xfId="3273" xr:uid="{433149A0-34EB-49C7-B5F6-16117A861A73}"/>
    <cellStyle name="20% - Accent6 3 4 2 4" xfId="3929" xr:uid="{AA2A97D6-BB7D-44E9-8CC1-F1668511C1C3}"/>
    <cellStyle name="20% - Accent6 3 4 2 5" xfId="4592" xr:uid="{25DE9BA3-F9F0-4C2C-9884-7D65886BDBAE}"/>
    <cellStyle name="20% - Accent6 3 4 3" xfId="2295" xr:uid="{63753B0A-3D0B-4492-B0CF-F4C31F290FAC}"/>
    <cellStyle name="20% - Accent6 3 4 4" xfId="2946" xr:uid="{0089732C-8EE1-4F86-B14D-A3FB7763C241}"/>
    <cellStyle name="20% - Accent6 3 4 5" xfId="3602" xr:uid="{FF894EDC-6B51-428A-8DE2-793E12F8D067}"/>
    <cellStyle name="20% - Accent6 3 4 6" xfId="4265" xr:uid="{A1AB368C-F91A-48CD-B3C1-87DACA89CACE}"/>
    <cellStyle name="20% - Accent6 3 4 7" xfId="1232" xr:uid="{73E44EE2-6B93-4EA3-8B91-790E66FAA633}"/>
    <cellStyle name="20% - Accent6 3 5" xfId="304" xr:uid="{9142A971-0921-4081-812B-3869FD9D18F1}"/>
    <cellStyle name="20% - Accent6 3 5 2" xfId="2406" xr:uid="{4F8D7222-8F87-4205-AE07-4D7BB74D7031}"/>
    <cellStyle name="20% - Accent6 3 5 3" xfId="3057" xr:uid="{927D69C2-05B9-45E5-8306-F4F9EFF225C9}"/>
    <cellStyle name="20% - Accent6 3 5 4" xfId="3713" xr:uid="{678C5B56-D5E5-40F3-9D4E-7B500F1162A8}"/>
    <cellStyle name="20% - Accent6 3 5 5" xfId="4376" xr:uid="{00502588-88D1-4A3C-800D-0905FE22D8F3}"/>
    <cellStyle name="20% - Accent6 3 5 6" xfId="1347" xr:uid="{891BDA48-E21E-44FE-9D40-1FB1DA2789B9}"/>
    <cellStyle name="20% - Accent6 3 6" xfId="1888" xr:uid="{35080724-EF60-4616-8233-8D9118CD255B}"/>
    <cellStyle name="20% - Accent6 3 7" xfId="2079" xr:uid="{EF2904E7-194B-45C6-9956-19CA9817E830}"/>
    <cellStyle name="20% - Accent6 3 8" xfId="2730" xr:uid="{F379AABC-0BF0-4C7F-B78B-C59ECCBC99C9}"/>
    <cellStyle name="20% - Accent6 3 9" xfId="3385" xr:uid="{D03D71CC-CF5D-40FB-A3C9-E344DA084466}"/>
    <cellStyle name="20% - Accent6 4" xfId="372" xr:uid="{A924205B-ACE8-44C4-A630-8CC8C284D8C3}"/>
    <cellStyle name="20% - Accent6 4 10" xfId="1032" xr:uid="{9CF3BC1A-4AF7-4F2B-AA7E-07831911E506}"/>
    <cellStyle name="20% - Accent6 4 2" xfId="487" xr:uid="{64365871-0718-4F95-B18A-1F24ACD36A1B}"/>
    <cellStyle name="20% - Accent6 4 2 2" xfId="706" xr:uid="{E07AD106-D243-4042-B8CB-6F298CB14682}"/>
    <cellStyle name="20% - Accent6 4 2 2 2" xfId="2535" xr:uid="{430ACD1B-BD43-4EAE-B879-3260F02CC0EE}"/>
    <cellStyle name="20% - Accent6 4 2 2 3" xfId="3186" xr:uid="{3D586C32-AC7D-4CE7-8E26-CFDBD3841B37}"/>
    <cellStyle name="20% - Accent6 4 2 2 4" xfId="3842" xr:uid="{AF10B935-7CF4-456E-B2F5-16A1603F5970}"/>
    <cellStyle name="20% - Accent6 4 2 2 5" xfId="4505" xr:uid="{DED6CD47-E690-4D9E-8EF0-1B7C9315DE6E}"/>
    <cellStyle name="20% - Accent6 4 2 2 6" xfId="1476" xr:uid="{5E809E24-4EE5-48A6-8CBB-5DCE36ABAFBD}"/>
    <cellStyle name="20% - Accent6 4 2 3" xfId="1915" xr:uid="{38CE1675-B002-41D1-803D-641740E6FF83}"/>
    <cellStyle name="20% - Accent6 4 2 4" xfId="2208" xr:uid="{DD9DECFE-B768-400B-8DE9-417240B9691F}"/>
    <cellStyle name="20% - Accent6 4 2 5" xfId="2859" xr:uid="{1AFF5055-5B10-4D92-8DC1-A526B7352CDC}"/>
    <cellStyle name="20% - Accent6 4 2 6" xfId="3515" xr:uid="{847735C0-4AC1-49B5-98EE-12B54212BCDA}"/>
    <cellStyle name="20% - Accent6 4 2 7" xfId="4178" xr:uid="{8EAE0355-15A0-441C-B79A-84E433ED3F36}"/>
    <cellStyle name="20% - Accent6 4 2 8" xfId="1139" xr:uid="{29DB32C2-77E5-43BF-9358-CE5807EB7076}"/>
    <cellStyle name="20% - Accent6 4 3" xfId="596" xr:uid="{62C64A94-560B-4F1D-A253-74C6ABE99689}"/>
    <cellStyle name="20% - Accent6 4 3 2" xfId="1584" xr:uid="{67FBA42A-3DE6-467E-B525-6AB750C51C56}"/>
    <cellStyle name="20% - Accent6 4 3 2 2" xfId="2643" xr:uid="{1692157F-ECE7-44D2-B6FB-F8F0069544B1}"/>
    <cellStyle name="20% - Accent6 4 3 2 3" xfId="3294" xr:uid="{3A405D4C-4A83-43AB-BE52-CC1EB61D9151}"/>
    <cellStyle name="20% - Accent6 4 3 2 4" xfId="3950" xr:uid="{78EA64B6-0884-4A45-91D0-03176C00C351}"/>
    <cellStyle name="20% - Accent6 4 3 2 5" xfId="4613" xr:uid="{B2A41126-B86C-4EF4-A3A9-2F2B44FA12D3}"/>
    <cellStyle name="20% - Accent6 4 3 3" xfId="2316" xr:uid="{AA7FE872-9641-448B-BED0-C7AC0715B226}"/>
    <cellStyle name="20% - Accent6 4 3 4" xfId="2967" xr:uid="{9062E9A2-88FA-419D-93FC-DB7F4D871681}"/>
    <cellStyle name="20% - Accent6 4 3 5" xfId="3623" xr:uid="{6AAFCA77-4562-42B5-BCC3-967307CA53F6}"/>
    <cellStyle name="20% - Accent6 4 3 6" xfId="4286" xr:uid="{E88C8E48-4F99-4FCB-AB58-86E86C395A1A}"/>
    <cellStyle name="20% - Accent6 4 3 7" xfId="1253" xr:uid="{03AA6553-93D4-4E45-B14F-B20126955A77}"/>
    <cellStyle name="20% - Accent6 4 4" xfId="1368" xr:uid="{45A0AB43-4E77-4615-8624-3340DB793F33}"/>
    <cellStyle name="20% - Accent6 4 4 2" xfId="2427" xr:uid="{A0A4E31F-8521-482B-BBE0-889258EF7243}"/>
    <cellStyle name="20% - Accent6 4 4 3" xfId="3078" xr:uid="{B5585A3D-C4B8-4114-B838-56AB283F3819}"/>
    <cellStyle name="20% - Accent6 4 4 4" xfId="3734" xr:uid="{1F361AF9-67C2-451A-A4E2-6974788D4B05}"/>
    <cellStyle name="20% - Accent6 4 4 5" xfId="4397" xr:uid="{AFD48ED0-6567-4B6B-9A65-0C0B1C8DB6B2}"/>
    <cellStyle name="20% - Accent6 4 5" xfId="1904" xr:uid="{F5B7E125-C7A0-46C6-9B1C-B5FB40B55768}"/>
    <cellStyle name="20% - Accent6 4 6" xfId="2100" xr:uid="{33A258DF-C149-4C8E-86AA-38EF0EBF0779}"/>
    <cellStyle name="20% - Accent6 4 7" xfId="2751" xr:uid="{23880901-5B9D-4B5A-97DD-E7A1CDDCD68F}"/>
    <cellStyle name="20% - Accent6 4 8" xfId="3407" xr:uid="{5F5E1BC5-C897-4811-B3C2-5F127B67E5A8}"/>
    <cellStyle name="20% - Accent6 4 9" xfId="4070" xr:uid="{01F1089C-5957-4D77-AF2C-D753EADA74ED}"/>
    <cellStyle name="20% - Accent6 5" xfId="328" xr:uid="{33FE5FE3-2C26-45AE-A988-9BC8364E5C1D}"/>
    <cellStyle name="20% - Accent6 5 10" xfId="1083" xr:uid="{2994EA5B-069F-4A80-A27B-00982E3F0E44}"/>
    <cellStyle name="20% - Accent6 5 2" xfId="449" xr:uid="{574F9E2A-F474-439D-ADD5-38C81EE9BABA}"/>
    <cellStyle name="20% - Accent6 5 2 2" xfId="668" xr:uid="{8CF1AE4A-7A59-4764-BA6C-9A204EEF91DE}"/>
    <cellStyle name="20% - Accent6 5 2 2 2" xfId="2479" xr:uid="{DC03A803-E67A-4574-A91D-D6692C4969B0}"/>
    <cellStyle name="20% - Accent6 5 2 3" xfId="3130" xr:uid="{767F0369-F784-4D76-AB0F-60088E1E8A5F}"/>
    <cellStyle name="20% - Accent6 5 2 4" xfId="3786" xr:uid="{04281CE3-3A89-47E4-8A17-EB24ED6FBAD9}"/>
    <cellStyle name="20% - Accent6 5 2 5" xfId="4449" xr:uid="{D3AB71F9-5088-41A8-8370-3C40F8B746F7}"/>
    <cellStyle name="20% - Accent6 5 2 6" xfId="1420" xr:uid="{F948DB52-42D2-4766-8791-06F81944196F}"/>
    <cellStyle name="20% - Accent6 5 3" xfId="558" xr:uid="{670E74DD-94C9-4078-BE2E-358A274C0902}"/>
    <cellStyle name="20% - Accent6 5 3 2" xfId="1967" xr:uid="{1C04F9A0-1F8A-454F-AF94-2BA9BF08C7B5}"/>
    <cellStyle name="20% - Accent6 5 4" xfId="2152" xr:uid="{B1DAD55C-5BA8-408A-828B-F4B71191396D}"/>
    <cellStyle name="20% - Accent6 5 5" xfId="2803" xr:uid="{A124D244-C06D-4AF5-BF28-F27390BB304F}"/>
    <cellStyle name="20% - Accent6 5 6" xfId="3459" xr:uid="{4FCF6CFF-E207-4AED-9718-0B65B5880000}"/>
    <cellStyle name="20% - Accent6 5 7" xfId="4122" xr:uid="{19352F04-2913-42B9-BA53-9EF0D65C79C7}"/>
    <cellStyle name="20% - Accent6 5 8" xfId="1825" xr:uid="{613E9387-0701-4A60-AA6D-383396C4C8A8}"/>
    <cellStyle name="20% - Accent6 5 9" xfId="1679" xr:uid="{51C4226C-1935-4293-9890-AE8A5A380BAC}"/>
    <cellStyle name="20% - Accent6 6" xfId="402" xr:uid="{8E1DFD80-7365-4DE5-AA33-B444EB13ABF0}"/>
    <cellStyle name="20% - Accent6 6 2" xfId="622" xr:uid="{93859709-9FA4-4B0D-8D70-0F51D8C0D7EA}"/>
    <cellStyle name="20% - Accent6 6 2 2" xfId="2587" xr:uid="{F7033DF5-5A61-435B-B2AE-217E07A2F1A3}"/>
    <cellStyle name="20% - Accent6 6 2 3" xfId="3238" xr:uid="{775BA507-61AD-4992-BDA6-0C42176BC6A0}"/>
    <cellStyle name="20% - Accent6 6 2 4" xfId="3894" xr:uid="{7034BD20-666D-47BB-B21F-FD089BE8596A}"/>
    <cellStyle name="20% - Accent6 6 2 5" xfId="4557" xr:uid="{C4D7C8C3-2195-48BE-927B-707481304A41}"/>
    <cellStyle name="20% - Accent6 6 2 6" xfId="1528" xr:uid="{EB6867A5-29B9-4AEF-8AE2-7E366BCEC233}"/>
    <cellStyle name="20% - Accent6 6 3" xfId="2260" xr:uid="{DE990F9A-E1BE-441D-A895-DCF21E732B68}"/>
    <cellStyle name="20% - Accent6 6 4" xfId="2911" xr:uid="{CD12E135-8D7B-4E25-AE95-6AB45FE46302}"/>
    <cellStyle name="20% - Accent6 6 5" xfId="3567" xr:uid="{77207FB1-6010-4925-8340-067D2DF21DED}"/>
    <cellStyle name="20% - Accent6 6 6" xfId="4230" xr:uid="{1905C41E-E266-4311-A5A9-C5B7A80E435E}"/>
    <cellStyle name="20% - Accent6 6 7" xfId="1197" xr:uid="{5B3D7CF9-3DF0-4AE3-B75B-334E17486E95}"/>
    <cellStyle name="20% - Accent6 7" xfId="512" xr:uid="{E11E33A0-B78B-4CDA-BCD6-6007F929865A}"/>
    <cellStyle name="20% - Accent6 7 2" xfId="2371" xr:uid="{A4C1AA57-DB29-41DA-82E3-81EC35732B25}"/>
    <cellStyle name="20% - Accent6 7 3" xfId="3022" xr:uid="{9C52404F-5C5F-4233-9719-84485AA2B9C7}"/>
    <cellStyle name="20% - Accent6 7 4" xfId="3678" xr:uid="{7841E396-EBFA-4355-9D0C-515531D35454}"/>
    <cellStyle name="20% - Accent6 7 5" xfId="4341" xr:uid="{E466A007-18FF-4D31-BA9B-67CC19B92F4C}"/>
    <cellStyle name="20% - Accent6 7 6" xfId="1307" xr:uid="{A0DC8D96-2B85-4670-86CF-23956BF9C618}"/>
    <cellStyle name="20% - Accent6 8" xfId="280" xr:uid="{2A66A078-78C6-434C-BC5C-8BC0376EA214}"/>
    <cellStyle name="20% - Accent6 8 2" xfId="1987" xr:uid="{9125CC22-9EAE-49EE-8F00-3F6E0FA0DE10}"/>
    <cellStyle name="20% - Accent6 9" xfId="2044" xr:uid="{2CE0932B-99FC-4ED9-9A66-12637227980F}"/>
    <cellStyle name="40% - Accent1" xfId="22" builtinId="31" customBuiltin="1"/>
    <cellStyle name="40% - Accent1 10" xfId="2686" xr:uid="{696F9C95-DD91-4E13-A85F-33973DA2068F}"/>
    <cellStyle name="40% - Accent1 11" xfId="3340" xr:uid="{E6DD4706-D58D-4B84-A459-CAC33CF294E2}"/>
    <cellStyle name="40% - Accent1 12" xfId="4005" xr:uid="{5B8BBA73-0368-4C9D-9B89-7A0C5019F98F}"/>
    <cellStyle name="40% - Accent1 13" xfId="724" xr:uid="{133FCFE9-FD9D-4EBF-8629-D1698F936E0C}"/>
    <cellStyle name="40% - Accent1 14" xfId="152" xr:uid="{6C2E41B7-3718-4BE2-A600-0B5224D694B5}"/>
    <cellStyle name="40% - Accent1 2" xfId="80" xr:uid="{4B92F239-9619-44CE-8E59-B290E2027631}"/>
    <cellStyle name="40% - Accent1 2 10" xfId="4028" xr:uid="{0B902BE2-E533-4983-ACBC-521886B554DF}"/>
    <cellStyle name="40% - Accent1 2 11" xfId="742" xr:uid="{E9896AC8-5081-43DD-B21B-FBC2A1E547DD}"/>
    <cellStyle name="40% - Accent1 2 12" xfId="173" xr:uid="{AC318626-E545-48B4-8924-99AC23DB6023}"/>
    <cellStyle name="40% - Accent1 2 2" xfId="1044" xr:uid="{84896FDF-9C10-4D40-91ED-9D20C4A04FAD}"/>
    <cellStyle name="40% - Accent1 2 2 2" xfId="1151" xr:uid="{950F34AE-41A9-4E98-8E9C-7EB84576BBF2}"/>
    <cellStyle name="40% - Accent1 2 2 2 2" xfId="1488" xr:uid="{16739F9B-C834-4D05-A1B8-164C4E86C2C2}"/>
    <cellStyle name="40% - Accent1 2 2 2 2 2" xfId="2547" xr:uid="{81E888A5-D507-4B40-84E2-AFED511248B3}"/>
    <cellStyle name="40% - Accent1 2 2 2 2 3" xfId="3198" xr:uid="{0EA11607-3D83-40BC-9C62-832F9D0DCCD8}"/>
    <cellStyle name="40% - Accent1 2 2 2 2 4" xfId="3854" xr:uid="{8CEAA57B-096E-4A4E-8110-F6FE20E48E0D}"/>
    <cellStyle name="40% - Accent1 2 2 2 2 5" xfId="4517" xr:uid="{2CFACD0E-EBD0-4FFA-90A9-896CA4F001FF}"/>
    <cellStyle name="40% - Accent1 2 2 2 3" xfId="2010" xr:uid="{3BC6D6E6-A9DB-44CB-A9D5-0FD434F0D50C}"/>
    <cellStyle name="40% - Accent1 2 2 2 4" xfId="2220" xr:uid="{1319C067-71E6-46BB-9F33-6C2C7D13858C}"/>
    <cellStyle name="40% - Accent1 2 2 2 5" xfId="2871" xr:uid="{E8D67EF2-0A3A-41DA-8C56-C3EA25262E40}"/>
    <cellStyle name="40% - Accent1 2 2 2 6" xfId="3527" xr:uid="{4FC50707-E3FC-4E49-83A3-4B77AC0969BA}"/>
    <cellStyle name="40% - Accent1 2 2 2 7" xfId="4190" xr:uid="{AE504611-F0D7-4AE1-ADF1-C5B51945BC99}"/>
    <cellStyle name="40% - Accent1 2 2 3" xfId="1265" xr:uid="{55754514-C2E0-41ED-AA6A-7486B3940393}"/>
    <cellStyle name="40% - Accent1 2 2 3 2" xfId="1596" xr:uid="{3D557E84-8EDA-41E8-8543-F781EDDC6FA7}"/>
    <cellStyle name="40% - Accent1 2 2 3 2 2" xfId="2655" xr:uid="{36978D5C-8F1E-4F0D-ADFA-AC5F7CF0AAB9}"/>
    <cellStyle name="40% - Accent1 2 2 3 2 3" xfId="3306" xr:uid="{6112222D-5511-4A33-8C02-8F72FC8D3583}"/>
    <cellStyle name="40% - Accent1 2 2 3 2 4" xfId="3962" xr:uid="{418D59CA-B068-4A8C-A1DB-C0F2156FED4B}"/>
    <cellStyle name="40% - Accent1 2 2 3 2 5" xfId="4625" xr:uid="{47CB5A47-2ACE-4BE7-BBF3-2C9EC0C682CF}"/>
    <cellStyle name="40% - Accent1 2 2 3 3" xfId="2328" xr:uid="{4BCC0D4B-39CE-4249-AD6B-FBFE9F11ECE9}"/>
    <cellStyle name="40% - Accent1 2 2 3 4" xfId="2979" xr:uid="{D16DAFC7-0D7D-47FC-A293-11AA83109CF6}"/>
    <cellStyle name="40% - Accent1 2 2 3 5" xfId="3635" xr:uid="{ECBBC5EA-C0D8-4597-8628-A01ED367B999}"/>
    <cellStyle name="40% - Accent1 2 2 3 6" xfId="4298" xr:uid="{0406097D-B3DA-491F-8E90-540B29A4EB9C}"/>
    <cellStyle name="40% - Accent1 2 2 4" xfId="1380" xr:uid="{717F09E3-9A33-4728-B50E-0510572DAFC0}"/>
    <cellStyle name="40% - Accent1 2 2 4 2" xfId="2439" xr:uid="{4A84D6E8-2F53-414E-9878-D7CAFF852A26}"/>
    <cellStyle name="40% - Accent1 2 2 4 3" xfId="3090" xr:uid="{08248977-1EC0-4569-A8A6-C75F2A47A359}"/>
    <cellStyle name="40% - Accent1 2 2 4 4" xfId="3746" xr:uid="{0C1F425A-1078-4E04-B484-739D388FAFDE}"/>
    <cellStyle name="40% - Accent1 2 2 4 5" xfId="4409" xr:uid="{D3149B98-E07B-45A3-A2B6-D761414BF904}"/>
    <cellStyle name="40% - Accent1 2 2 5" xfId="1990" xr:uid="{6465EE1D-E388-4B86-901E-6208AB075659}"/>
    <cellStyle name="40% - Accent1 2 2 6" xfId="2112" xr:uid="{6610DC42-9330-4362-A7F6-D68329048C99}"/>
    <cellStyle name="40% - Accent1 2 2 7" xfId="2763" xr:uid="{5CCD0592-2566-4DB4-8FD9-7F49636DEDDD}"/>
    <cellStyle name="40% - Accent1 2 2 8" xfId="3419" xr:uid="{11EC76B6-B64A-4F0D-9171-124FAE08B0C0}"/>
    <cellStyle name="40% - Accent1 2 2 9" xfId="4082" xr:uid="{80BCA89E-5071-4940-BC80-9C72634B462F}"/>
    <cellStyle name="40% - Accent1 2 3" xfId="1097" xr:uid="{B137F9E5-6F51-4567-8DFC-6F750F53B784}"/>
    <cellStyle name="40% - Accent1 2 3 2" xfId="1434" xr:uid="{03E5519D-4AAE-4FF3-A46B-63DD3F5EB5F6}"/>
    <cellStyle name="40% - Accent1 2 3 2 2" xfId="2493" xr:uid="{6C9E1C81-3556-47EA-8137-6D97F7C8F50D}"/>
    <cellStyle name="40% - Accent1 2 3 2 3" xfId="3144" xr:uid="{396E3D09-F4BE-45C2-B99C-4DD3CB5F068A}"/>
    <cellStyle name="40% - Accent1 2 3 2 4" xfId="3800" xr:uid="{48E20974-786A-460F-93A2-4E480A802D94}"/>
    <cellStyle name="40% - Accent1 2 3 2 5" xfId="4463" xr:uid="{B54356AF-B17A-4126-9B00-68285D01802A}"/>
    <cellStyle name="40% - Accent1 2 3 3" xfId="1784" xr:uid="{96BE5ADC-4C54-482F-9B55-BFF53E29925A}"/>
    <cellStyle name="40% - Accent1 2 3 4" xfId="2166" xr:uid="{37A443D0-6571-4563-A5C5-EC7E81F6C403}"/>
    <cellStyle name="40% - Accent1 2 3 5" xfId="2817" xr:uid="{FC660EFB-9C28-491F-A8A8-D95B9D1B2D27}"/>
    <cellStyle name="40% - Accent1 2 3 6" xfId="3473" xr:uid="{3AB1A173-3B4E-4F83-BE6C-8E91D4C619BB}"/>
    <cellStyle name="40% - Accent1 2 3 7" xfId="4136" xr:uid="{BA7272CE-BA2E-46E4-95F1-E80B0081B8B4}"/>
    <cellStyle name="40% - Accent1 2 4" xfId="1211" xr:uid="{B8502F75-88F1-49D5-818E-71E33D0459BC}"/>
    <cellStyle name="40% - Accent1 2 4 2" xfId="1542" xr:uid="{895C8D50-76A1-41CB-BD82-F9599667F071}"/>
    <cellStyle name="40% - Accent1 2 4 2 2" xfId="2601" xr:uid="{15611982-A85A-435B-B867-F7F0F446D71F}"/>
    <cellStyle name="40% - Accent1 2 4 2 3" xfId="3252" xr:uid="{25064B07-56ED-48B1-A9BB-76365F3C0991}"/>
    <cellStyle name="40% - Accent1 2 4 2 4" xfId="3908" xr:uid="{2C7FFB66-096F-4600-B8DA-8424AD0E127C}"/>
    <cellStyle name="40% - Accent1 2 4 2 5" xfId="4571" xr:uid="{2D8993D1-1263-42CF-946F-BA585049420D}"/>
    <cellStyle name="40% - Accent1 2 4 3" xfId="2274" xr:uid="{DB692569-B0A6-4341-BC32-15FE756B6585}"/>
    <cellStyle name="40% - Accent1 2 4 4" xfId="2925" xr:uid="{B1323E6C-8213-46A6-93CE-A9F7152E2813}"/>
    <cellStyle name="40% - Accent1 2 4 5" xfId="3581" xr:uid="{1687ECF9-026A-48CE-AEF3-D0B216D8639A}"/>
    <cellStyle name="40% - Accent1 2 4 6" xfId="4244" xr:uid="{A7F27FC8-09B1-4F25-89BA-132E137DE3AB}"/>
    <cellStyle name="40% - Accent1 2 5" xfId="1326" xr:uid="{A153BEA3-FE12-44E0-AE48-4C45CE65A79D}"/>
    <cellStyle name="40% - Accent1 2 5 2" xfId="2385" xr:uid="{4BD5431B-B682-4DF1-B4D3-F93FB2F77C1D}"/>
    <cellStyle name="40% - Accent1 2 5 3" xfId="3036" xr:uid="{EFAB0A8C-CD89-4A4D-869C-0CAF72F6D5DB}"/>
    <cellStyle name="40% - Accent1 2 5 4" xfId="3692" xr:uid="{4EE2CBCD-CF28-4694-8978-BDEFFFAD4847}"/>
    <cellStyle name="40% - Accent1 2 5 5" xfId="4355" xr:uid="{FD4178F7-9A88-4ED1-8F9F-4AC30E178348}"/>
    <cellStyle name="40% - Accent1 2 6" xfId="2029" xr:uid="{1CDBFFCF-662B-4D72-B9D9-DF0A054C8510}"/>
    <cellStyle name="40% - Accent1 2 7" xfId="2058" xr:uid="{9EC9B959-C6CA-4101-A6E8-C93BE34DFEB3}"/>
    <cellStyle name="40% - Accent1 2 8" xfId="2709" xr:uid="{266154AE-DEAF-447C-9B68-DBF02A47FEDA}"/>
    <cellStyle name="40% - Accent1 2 9" xfId="3364" xr:uid="{9E277231-4EE4-40AB-923E-E9FE742E03E8}"/>
    <cellStyle name="40% - Accent1 3" xfId="247" xr:uid="{21421F4E-1B0E-47C1-B3D1-E4B6CE4BDA15}"/>
    <cellStyle name="40% - Accent1 3 10" xfId="4040" xr:uid="{D19B728D-3954-4624-9002-63DF356B938A}"/>
    <cellStyle name="40% - Accent1 3 11" xfId="1801" xr:uid="{66FEF4B5-3FA8-4504-82B9-150E8E0B78CF}"/>
    <cellStyle name="40% - Accent1 3 12" xfId="1713" xr:uid="{654BD94E-87F3-4311-AF9D-80DFEC3EBD6B}"/>
    <cellStyle name="40% - Accent1 3 13" xfId="992" xr:uid="{0D1335E4-1C8A-411D-901B-3ECB17BD8652}"/>
    <cellStyle name="40% - Accent1 3 2" xfId="343" xr:uid="{7A901467-3576-4ED2-9157-3F9EB564EB7D}"/>
    <cellStyle name="40% - Accent1 3 2 10" xfId="1056" xr:uid="{7DC7C89A-1333-43EB-8ECC-C8535AA2AF82}"/>
    <cellStyle name="40% - Accent1 3 2 2" xfId="459" xr:uid="{A4587C5E-27C5-4A97-91A9-4775193A5BF5}"/>
    <cellStyle name="40% - Accent1 3 2 2 2" xfId="678" xr:uid="{1F4654EA-00C4-484D-A2CF-3D2C215F0898}"/>
    <cellStyle name="40% - Accent1 3 2 2 2 2" xfId="2559" xr:uid="{C6277731-0CFB-41BA-BDF1-AD7791AF244F}"/>
    <cellStyle name="40% - Accent1 3 2 2 2 3" xfId="3210" xr:uid="{B1B5BDA2-E56F-48E8-A612-90FFEB5ADC4D}"/>
    <cellStyle name="40% - Accent1 3 2 2 2 4" xfId="3866" xr:uid="{1787E580-6858-4AE3-B779-69A7C6B544EC}"/>
    <cellStyle name="40% - Accent1 3 2 2 2 5" xfId="4529" xr:uid="{045B17C3-5128-4B6C-B86C-46820A8C7565}"/>
    <cellStyle name="40% - Accent1 3 2 2 2 6" xfId="1500" xr:uid="{636DF666-F3D6-44BB-897D-AF44AC6DDB3F}"/>
    <cellStyle name="40% - Accent1 3 2 2 3" xfId="1882" xr:uid="{BC237293-6CF5-4B61-92BA-F8994D798396}"/>
    <cellStyle name="40% - Accent1 3 2 2 4" xfId="2232" xr:uid="{D1FC0CEC-F2DB-4A47-BF4C-FCDD2F24FC2B}"/>
    <cellStyle name="40% - Accent1 3 2 2 5" xfId="2883" xr:uid="{3A961234-CEF0-47E1-8D2C-794687ABB47B}"/>
    <cellStyle name="40% - Accent1 3 2 2 6" xfId="3539" xr:uid="{ACCBA058-07A1-48C0-8A61-13B7D90183E5}"/>
    <cellStyle name="40% - Accent1 3 2 2 7" xfId="4202" xr:uid="{11797543-A939-414A-8C15-915CC7FF2D43}"/>
    <cellStyle name="40% - Accent1 3 2 2 8" xfId="1163" xr:uid="{719A9C07-5360-47A6-84B4-22E0BA863EC7}"/>
    <cellStyle name="40% - Accent1 3 2 3" xfId="568" xr:uid="{545FDA3B-4CA8-4F7B-8076-9E9681BFB557}"/>
    <cellStyle name="40% - Accent1 3 2 3 2" xfId="1608" xr:uid="{BCF25BC9-D96F-4B94-A350-FEF7D217390F}"/>
    <cellStyle name="40% - Accent1 3 2 3 2 2" xfId="2667" xr:uid="{3CAEB500-F9C4-481B-A6C7-002E15830028}"/>
    <cellStyle name="40% - Accent1 3 2 3 2 3" xfId="3318" xr:uid="{67C35AA4-DF1F-472D-981F-5082CF99A0AF}"/>
    <cellStyle name="40% - Accent1 3 2 3 2 4" xfId="3974" xr:uid="{7B037813-BB9F-4251-B971-514A8C7A6183}"/>
    <cellStyle name="40% - Accent1 3 2 3 2 5" xfId="4637" xr:uid="{A3F354DA-343E-4E05-8D9F-D12BF86E11A8}"/>
    <cellStyle name="40% - Accent1 3 2 3 3" xfId="2340" xr:uid="{E4209394-1154-4F55-B10B-D51A82BB638F}"/>
    <cellStyle name="40% - Accent1 3 2 3 4" xfId="2991" xr:uid="{5DC89D26-18FC-4C1A-B66E-E4826E9EDD15}"/>
    <cellStyle name="40% - Accent1 3 2 3 5" xfId="3647" xr:uid="{594E6C5E-BAB6-4A8C-A957-75AF7961DA97}"/>
    <cellStyle name="40% - Accent1 3 2 3 6" xfId="4310" xr:uid="{48700D70-67D3-486A-9EEA-613684D5448B}"/>
    <cellStyle name="40% - Accent1 3 2 3 7" xfId="1277" xr:uid="{1D062543-6771-4B47-AE0F-5AAFA374EEEB}"/>
    <cellStyle name="40% - Accent1 3 2 4" xfId="1392" xr:uid="{08213BC0-89D1-4B66-9C2B-DF539F7EAF33}"/>
    <cellStyle name="40% - Accent1 3 2 4 2" xfId="2451" xr:uid="{DF606210-6BA9-48DD-8C83-876A35861E06}"/>
    <cellStyle name="40% - Accent1 3 2 4 3" xfId="3102" xr:uid="{83ECD397-6976-49D6-9457-A5D29FAE8101}"/>
    <cellStyle name="40% - Accent1 3 2 4 4" xfId="3758" xr:uid="{2E84533A-984B-44AD-B6EE-2C955492ACFB}"/>
    <cellStyle name="40% - Accent1 3 2 4 5" xfId="4421" xr:uid="{4E8EC9E4-8325-4CEC-B3A0-CB9512D120F2}"/>
    <cellStyle name="40% - Accent1 3 2 5" xfId="1929" xr:uid="{84DB80BF-81A8-4367-9954-0113008EEAC6}"/>
    <cellStyle name="40% - Accent1 3 2 6" xfId="2124" xr:uid="{5DFE27C0-0E61-4F14-80E2-B60A6F67FE6B}"/>
    <cellStyle name="40% - Accent1 3 2 7" xfId="2775" xr:uid="{949EF25F-EF8B-46D9-A784-7B063F08FFF3}"/>
    <cellStyle name="40% - Accent1 3 2 8" xfId="3431" xr:uid="{C5555B51-7864-47F6-9238-414B626D7A1A}"/>
    <cellStyle name="40% - Accent1 3 2 9" xfId="4094" xr:uid="{3DA41246-4E66-446E-A5E5-AB472F918CD9}"/>
    <cellStyle name="40% - Accent1 3 3" xfId="416" xr:uid="{71F6FC8E-FCCD-487C-8F90-BF70DD737A2B}"/>
    <cellStyle name="40% - Accent1 3 3 2" xfId="635" xr:uid="{00348B06-AAE0-4B81-B64E-6ABFE8B4EBEE}"/>
    <cellStyle name="40% - Accent1 3 3 2 2" xfId="2505" xr:uid="{5866B207-328F-4FB5-B2B5-944A783D7E46}"/>
    <cellStyle name="40% - Accent1 3 3 2 3" xfId="3156" xr:uid="{2BBAEB95-2CD6-4E4B-912C-0D898960DF8F}"/>
    <cellStyle name="40% - Accent1 3 3 2 4" xfId="3812" xr:uid="{5CBCD627-1ACD-4D0A-B3C6-9EF65A9278EE}"/>
    <cellStyle name="40% - Accent1 3 3 2 5" xfId="4475" xr:uid="{8D1D4150-C19E-4241-8830-4C7E19D66029}"/>
    <cellStyle name="40% - Accent1 3 3 2 6" xfId="1446" xr:uid="{87A8F6CF-DC41-4E6B-AE77-DBE81E1795B9}"/>
    <cellStyle name="40% - Accent1 3 3 3" xfId="1849" xr:uid="{6F9539DC-D7F0-4F64-B3E9-029986EAFA98}"/>
    <cellStyle name="40% - Accent1 3 3 4" xfId="2178" xr:uid="{578BDA06-B0BA-4020-AA7B-7D82E53923F7}"/>
    <cellStyle name="40% - Accent1 3 3 5" xfId="2829" xr:uid="{7709E2CA-4B1C-454B-833E-64BA137B6619}"/>
    <cellStyle name="40% - Accent1 3 3 6" xfId="3485" xr:uid="{DEB9FAA7-F9C3-4C3F-8DE4-E92EDBED8874}"/>
    <cellStyle name="40% - Accent1 3 3 7" xfId="4148" xr:uid="{68C66335-F317-4DCE-909B-9B2A5783C847}"/>
    <cellStyle name="40% - Accent1 3 3 8" xfId="1109" xr:uid="{714DFAC1-27D3-479D-B040-A876832490B0}"/>
    <cellStyle name="40% - Accent1 3 4" xfId="525" xr:uid="{E7C92BE6-B1C6-49CA-8A57-9D00DABD6612}"/>
    <cellStyle name="40% - Accent1 3 4 2" xfId="1554" xr:uid="{788FBC38-FA76-4AF8-A31E-9264C7349421}"/>
    <cellStyle name="40% - Accent1 3 4 2 2" xfId="2613" xr:uid="{A5073EE3-BD84-4FD1-AF78-240D7E64613F}"/>
    <cellStyle name="40% - Accent1 3 4 2 3" xfId="3264" xr:uid="{AA3B516B-7659-476A-A662-1229E15967D9}"/>
    <cellStyle name="40% - Accent1 3 4 2 4" xfId="3920" xr:uid="{644AFD42-DBA4-40FD-9FE3-7D5372252AA4}"/>
    <cellStyle name="40% - Accent1 3 4 2 5" xfId="4583" xr:uid="{581ABE8A-BEF3-4C19-942B-D101B446B1CC}"/>
    <cellStyle name="40% - Accent1 3 4 3" xfId="2286" xr:uid="{F00B2AF3-FE67-4BE3-9FB1-23A545D6D59C}"/>
    <cellStyle name="40% - Accent1 3 4 4" xfId="2937" xr:uid="{E73E29F4-B2D3-4BCB-909B-CC0F70EC38F2}"/>
    <cellStyle name="40% - Accent1 3 4 5" xfId="3593" xr:uid="{2F9D4E77-6F1E-488E-A3B0-8E32853DF5EE}"/>
    <cellStyle name="40% - Accent1 3 4 6" xfId="4256" xr:uid="{A29D6874-6B10-4146-9924-9ED29B8A52D8}"/>
    <cellStyle name="40% - Accent1 3 4 7" xfId="1223" xr:uid="{7A5B434D-D15D-475A-B977-F41578A8F108}"/>
    <cellStyle name="40% - Accent1 3 5" xfId="295" xr:uid="{11B7713B-D8C2-4AD2-A331-743746D0D7C8}"/>
    <cellStyle name="40% - Accent1 3 5 2" xfId="2397" xr:uid="{DAE0709B-AF97-4802-AF54-AC99D8976975}"/>
    <cellStyle name="40% - Accent1 3 5 3" xfId="3048" xr:uid="{65E053FD-F762-41D5-AA86-BB56C30585E9}"/>
    <cellStyle name="40% - Accent1 3 5 4" xfId="3704" xr:uid="{49281A1B-E8DF-4260-A7FF-073D03C9CEEC}"/>
    <cellStyle name="40% - Accent1 3 5 5" xfId="4367" xr:uid="{94D14F7B-14DE-4647-B721-F75694F880A1}"/>
    <cellStyle name="40% - Accent1 3 5 6" xfId="1338" xr:uid="{F2E1D1F1-9E81-4ECB-A56F-9B2EB8E86498}"/>
    <cellStyle name="40% - Accent1 3 6" xfId="1950" xr:uid="{F4632879-3B5C-4E03-B2B8-DD34A014EAB8}"/>
    <cellStyle name="40% - Accent1 3 7" xfId="2070" xr:uid="{DF2CB2E6-9F58-4821-A6F8-90DB70B5A4AC}"/>
    <cellStyle name="40% - Accent1 3 8" xfId="2721" xr:uid="{FBA0E883-40E9-4F19-BC17-F253A89C4D00}"/>
    <cellStyle name="40% - Accent1 3 9" xfId="3376" xr:uid="{599BAE6E-F419-4D62-A875-5E9E9D63C396}"/>
    <cellStyle name="40% - Accent1 4" xfId="362" xr:uid="{DC2DE697-2136-4FC0-97DB-738F5EF166FE}"/>
    <cellStyle name="40% - Accent1 4 10" xfId="1023" xr:uid="{10233F05-9189-408B-83C4-049FF23900C8}"/>
    <cellStyle name="40% - Accent1 4 2" xfId="478" xr:uid="{BB5EF0E8-9061-458D-85B9-421D632004A9}"/>
    <cellStyle name="40% - Accent1 4 2 2" xfId="697" xr:uid="{46448357-A5B1-4F48-BF32-274B397D1D3A}"/>
    <cellStyle name="40% - Accent1 4 2 2 2" xfId="2526" xr:uid="{5CC29A6E-6EA1-4BEB-B1D1-53F5E177AC17}"/>
    <cellStyle name="40% - Accent1 4 2 2 3" xfId="3177" xr:uid="{FCA1A7AB-ABA1-41AD-8EDF-B7EE44ED93FB}"/>
    <cellStyle name="40% - Accent1 4 2 2 4" xfId="3833" xr:uid="{8EEEB86C-CCFA-45A3-A71F-D502EAD6BC7A}"/>
    <cellStyle name="40% - Accent1 4 2 2 5" xfId="4496" xr:uid="{B5067B0C-759C-48BD-9742-FB56B6F42714}"/>
    <cellStyle name="40% - Accent1 4 2 2 6" xfId="1467" xr:uid="{0B7BA786-F8B0-4808-AAE4-87511A7FB65A}"/>
    <cellStyle name="40% - Accent1 4 2 3" xfId="1864" xr:uid="{96EFB949-D1E6-4C52-B202-AFB6D6A17A30}"/>
    <cellStyle name="40% - Accent1 4 2 4" xfId="2199" xr:uid="{31EA8330-3F4B-4592-818B-77A03F8381F3}"/>
    <cellStyle name="40% - Accent1 4 2 5" xfId="2850" xr:uid="{FD99E7D8-E9A3-4A62-BA5E-3B4C60CA6526}"/>
    <cellStyle name="40% - Accent1 4 2 6" xfId="3506" xr:uid="{5DC21FAA-82CF-4CC5-A321-DBE5A4C2B42F}"/>
    <cellStyle name="40% - Accent1 4 2 7" xfId="4169" xr:uid="{9C6B9A33-8B67-4C97-88C4-D800A89DFEE3}"/>
    <cellStyle name="40% - Accent1 4 2 8" xfId="1130" xr:uid="{7C079558-F38C-488A-8CD2-5FD451358BFA}"/>
    <cellStyle name="40% - Accent1 4 3" xfId="587" xr:uid="{AE7C4959-1E63-42CF-A2A2-9B2AFFA13E4E}"/>
    <cellStyle name="40% - Accent1 4 3 2" xfId="1575" xr:uid="{D6C1F692-24BF-446B-A72F-BBEACD37E153}"/>
    <cellStyle name="40% - Accent1 4 3 2 2" xfId="2634" xr:uid="{3D6C22D5-FADB-42E4-9FBE-2EC74787D51F}"/>
    <cellStyle name="40% - Accent1 4 3 2 3" xfId="3285" xr:uid="{6F0A1E42-8731-45D4-A926-FEAED37B1D88}"/>
    <cellStyle name="40% - Accent1 4 3 2 4" xfId="3941" xr:uid="{74DB3A4F-2B3D-4D40-9AF1-08B59668E5E5}"/>
    <cellStyle name="40% - Accent1 4 3 2 5" xfId="4604" xr:uid="{0AEA7EAB-1357-4B36-BDA4-6190511B19EE}"/>
    <cellStyle name="40% - Accent1 4 3 3" xfId="2307" xr:uid="{6103E3BC-62BB-4DBE-9E03-BB4B770F23A6}"/>
    <cellStyle name="40% - Accent1 4 3 4" xfId="2958" xr:uid="{F5460A5B-9CDF-4DF3-B623-25A3798A008E}"/>
    <cellStyle name="40% - Accent1 4 3 5" xfId="3614" xr:uid="{136B30EC-CF09-4C45-BB5C-7D575D0F9995}"/>
    <cellStyle name="40% - Accent1 4 3 6" xfId="4277" xr:uid="{B1B7BBDD-29D2-496B-89D5-76138E17A737}"/>
    <cellStyle name="40% - Accent1 4 3 7" xfId="1244" xr:uid="{A4DF8305-39AC-4FD7-96F2-8CBCC066EF3F}"/>
    <cellStyle name="40% - Accent1 4 4" xfId="1359" xr:uid="{36AD595E-D23E-4806-B376-0140C2B079CB}"/>
    <cellStyle name="40% - Accent1 4 4 2" xfId="2418" xr:uid="{E6B8D9BA-B8F2-400D-8E2F-F3961CE2A1EB}"/>
    <cellStyle name="40% - Accent1 4 4 3" xfId="3069" xr:uid="{BB996100-E3EE-425F-8304-DB7512A9C1FB}"/>
    <cellStyle name="40% - Accent1 4 4 4" xfId="3725" xr:uid="{6B593515-18B4-44D0-8FEB-681325A20A70}"/>
    <cellStyle name="40% - Accent1 4 4 5" xfId="4388" xr:uid="{DE5191D1-FDE0-4B9A-AFB5-314A01B2EEAB}"/>
    <cellStyle name="40% - Accent1 4 5" xfId="1899" xr:uid="{B611DEBA-0475-47BB-85CD-E17AEC0A13EE}"/>
    <cellStyle name="40% - Accent1 4 6" xfId="2091" xr:uid="{ED1B1906-1425-4890-8027-6C0A57B9C64E}"/>
    <cellStyle name="40% - Accent1 4 7" xfId="2742" xr:uid="{315A142C-6619-4313-8636-81563AB5F45D}"/>
    <cellStyle name="40% - Accent1 4 8" xfId="3398" xr:uid="{FDE6C923-0FE3-40CD-9B3D-18227E5CF98D}"/>
    <cellStyle name="40% - Accent1 4 9" xfId="4061" xr:uid="{81852B87-CF05-4BA8-B3F3-70682836C664}"/>
    <cellStyle name="40% - Accent1 5" xfId="319" xr:uid="{0E2B6842-E0A6-4B0B-8A48-A1892AE7B009}"/>
    <cellStyle name="40% - Accent1 5 10" xfId="1074" xr:uid="{FEB07B06-B118-4D61-B893-0CB34304D2F6}"/>
    <cellStyle name="40% - Accent1 5 2" xfId="440" xr:uid="{741E86DE-B343-45F5-8255-D3E754320AC0}"/>
    <cellStyle name="40% - Accent1 5 2 2" xfId="659" xr:uid="{2DC12FDF-662B-4A77-8906-E1FF42067C96}"/>
    <cellStyle name="40% - Accent1 5 2 2 2" xfId="2470" xr:uid="{9FACB5D6-9DD2-4CC1-95B1-E85C3F817198}"/>
    <cellStyle name="40% - Accent1 5 2 3" xfId="3121" xr:uid="{114B67F4-4A03-4A98-BAC2-6FFB7990DE58}"/>
    <cellStyle name="40% - Accent1 5 2 4" xfId="3777" xr:uid="{650B96AF-8A98-4D5C-A77D-2BA48DB4F09C}"/>
    <cellStyle name="40% - Accent1 5 2 5" xfId="4440" xr:uid="{51D777F3-C2A7-442C-A964-425DDE8A6A94}"/>
    <cellStyle name="40% - Accent1 5 2 6" xfId="1411" xr:uid="{44959929-1CC5-4462-B41D-8531AC57DF56}"/>
    <cellStyle name="40% - Accent1 5 3" xfId="549" xr:uid="{8C0F2E5C-712F-4BFB-A042-4215C04D394B}"/>
    <cellStyle name="40% - Accent1 5 3 2" xfId="2004" xr:uid="{D39116BC-5283-4534-B278-AF13BEC3CA7D}"/>
    <cellStyle name="40% - Accent1 5 4" xfId="2143" xr:uid="{96D5554D-844E-43BC-AC7B-8084BD07EF61}"/>
    <cellStyle name="40% - Accent1 5 5" xfId="2794" xr:uid="{A43B7F4A-4230-4132-94A6-9904396B7105}"/>
    <cellStyle name="40% - Accent1 5 6" xfId="3450" xr:uid="{65F32FE6-A23F-4A8B-8F5B-3C3C408502C9}"/>
    <cellStyle name="40% - Accent1 5 7" xfId="4113" xr:uid="{ADEA2C8D-8BB8-4DBF-B0D8-1DDFDEAF22EF}"/>
    <cellStyle name="40% - Accent1 5 8" xfId="1816" xr:uid="{D0928D95-10FA-439A-B5B8-C1DC9B440A04}"/>
    <cellStyle name="40% - Accent1 5 9" xfId="1660" xr:uid="{BD62D88F-6731-4A2B-86AA-FC7F74C29A9A}"/>
    <cellStyle name="40% - Accent1 6" xfId="393" xr:uid="{E1A85D50-2C73-4515-A8FB-638BA2CA45C2}"/>
    <cellStyle name="40% - Accent1 6 2" xfId="613" xr:uid="{95CD1C7C-9E51-46E3-98EA-0CF7C2EF82F7}"/>
    <cellStyle name="40% - Accent1 6 2 2" xfId="2578" xr:uid="{13B815CA-901D-4E07-A475-7F669B7C0277}"/>
    <cellStyle name="40% - Accent1 6 2 3" xfId="3229" xr:uid="{7AD14A11-706E-40B6-BF56-0F2BEB835813}"/>
    <cellStyle name="40% - Accent1 6 2 4" xfId="3885" xr:uid="{6D0EBDFA-9349-44E4-AB8F-4B2649FAA279}"/>
    <cellStyle name="40% - Accent1 6 2 5" xfId="4548" xr:uid="{649A3202-FE84-4F66-A517-CAC939097860}"/>
    <cellStyle name="40% - Accent1 6 2 6" xfId="1519" xr:uid="{73C35317-5C90-43BE-97E8-D13409540B7B}"/>
    <cellStyle name="40% - Accent1 6 3" xfId="2251" xr:uid="{F0E298FB-E55A-40C3-840E-4A5FDE04D940}"/>
    <cellStyle name="40% - Accent1 6 4" xfId="2902" xr:uid="{E92BA85D-2B9D-42B0-A86B-DF6430E78108}"/>
    <cellStyle name="40% - Accent1 6 5" xfId="3558" xr:uid="{E8F93D33-D61C-4E9D-BF14-5E01CB5F6E13}"/>
    <cellStyle name="40% - Accent1 6 6" xfId="4221" xr:uid="{AD088390-1548-4B5A-912C-6E62105D14AA}"/>
    <cellStyle name="40% - Accent1 6 7" xfId="1188" xr:uid="{B94E4F1B-C92A-4DFF-A966-73C8CC235407}"/>
    <cellStyle name="40% - Accent1 7" xfId="503" xr:uid="{F360F2F0-AA6A-4A28-B8BE-4310FF9C78A6}"/>
    <cellStyle name="40% - Accent1 7 2" xfId="2362" xr:uid="{3E325EB5-1EE8-4E7B-82C9-1903E4843DAB}"/>
    <cellStyle name="40% - Accent1 7 3" xfId="3013" xr:uid="{DEE5B666-9800-4E43-8377-A4A154CAC250}"/>
    <cellStyle name="40% - Accent1 7 4" xfId="3669" xr:uid="{9E38257E-510B-4303-9C1F-5015C9128169}"/>
    <cellStyle name="40% - Accent1 7 5" xfId="4332" xr:uid="{746775E6-B59B-4094-BB60-DC8747883C6B}"/>
    <cellStyle name="40% - Accent1 7 6" xfId="1298" xr:uid="{C009E38C-3827-47E3-B4F7-48A4DEBD383A}"/>
    <cellStyle name="40% - Accent1 8" xfId="271" xr:uid="{7A087955-1421-42D1-AA5D-1C07CDCDE821}"/>
    <cellStyle name="40% - Accent1 8 2" xfId="1949" xr:uid="{5448C6B4-E89C-45C7-829A-CF217A9C4402}"/>
    <cellStyle name="40% - Accent1 9" xfId="2035" xr:uid="{34DBCA75-50BC-4BBF-A659-DDA60EC1DC5C}"/>
    <cellStyle name="40% - Accent2" xfId="26" builtinId="35" customBuiltin="1"/>
    <cellStyle name="40% - Accent2 10" xfId="2688" xr:uid="{2AA4DC04-CBC2-454B-AB0F-03A0C9AB71C9}"/>
    <cellStyle name="40% - Accent2 11" xfId="3342" xr:uid="{6FF0085E-A780-41FC-AA63-00F4529AB753}"/>
    <cellStyle name="40% - Accent2 12" xfId="4007" xr:uid="{EEF9268D-CFC3-4004-BC4D-B0EFD52B6508}"/>
    <cellStyle name="40% - Accent2 13" xfId="726" xr:uid="{ED12E598-EF05-47A4-A9AB-8D72F6510A60}"/>
    <cellStyle name="40% - Accent2 14" xfId="154" xr:uid="{7485D380-0823-4F72-AE29-BC816DD25818}"/>
    <cellStyle name="40% - Accent2 2" xfId="81" xr:uid="{8D653923-EC45-4E9D-9DBE-BFAD3CB032E8}"/>
    <cellStyle name="40% - Accent2 2 10" xfId="4029" xr:uid="{112D2F1D-F9BD-464F-9FAF-6A05B8281365}"/>
    <cellStyle name="40% - Accent2 2 11" xfId="743" xr:uid="{0EDB5FEE-F0EB-44F1-837C-ABB2030C8237}"/>
    <cellStyle name="40% - Accent2 2 12" xfId="174" xr:uid="{60708F44-4BE4-4F4A-BE05-CC7AE15441EE}"/>
    <cellStyle name="40% - Accent2 2 2" xfId="1045" xr:uid="{7F221E6E-53F8-4998-9FA4-7ACE8716816B}"/>
    <cellStyle name="40% - Accent2 2 2 2" xfId="1152" xr:uid="{36CF1EB8-2ED3-488B-965C-01CCEA6BDD2B}"/>
    <cellStyle name="40% - Accent2 2 2 2 2" xfId="1489" xr:uid="{D2811BAA-CEC6-40A2-96F2-56DE6C08221E}"/>
    <cellStyle name="40% - Accent2 2 2 2 2 2" xfId="2548" xr:uid="{70871ED8-3DCE-41E1-9379-BEFDC8482A92}"/>
    <cellStyle name="40% - Accent2 2 2 2 2 3" xfId="3199" xr:uid="{17FBEF15-3AF0-4BBF-8C39-54833831FE37}"/>
    <cellStyle name="40% - Accent2 2 2 2 2 4" xfId="3855" xr:uid="{2885F6A1-E7FD-450D-B22F-F3E5559C606C}"/>
    <cellStyle name="40% - Accent2 2 2 2 2 5" xfId="4518" xr:uid="{2A760AF5-2406-4AAC-8255-586A01CC8355}"/>
    <cellStyle name="40% - Accent2 2 2 2 3" xfId="2001" xr:uid="{6D37BD3C-A037-43B9-9039-956CEDF8B183}"/>
    <cellStyle name="40% - Accent2 2 2 2 4" xfId="2221" xr:uid="{95037C99-AAF2-4299-8E89-E0F1B2CA1049}"/>
    <cellStyle name="40% - Accent2 2 2 2 5" xfId="2872" xr:uid="{A3C04D53-9B50-421B-81D6-5EE9AC3496A3}"/>
    <cellStyle name="40% - Accent2 2 2 2 6" xfId="3528" xr:uid="{90A6D174-B037-454C-B2DF-6D963CB5F7E2}"/>
    <cellStyle name="40% - Accent2 2 2 2 7" xfId="4191" xr:uid="{EAB84DA0-2411-4D9D-A3D4-1D2D7A7F8CDF}"/>
    <cellStyle name="40% - Accent2 2 2 3" xfId="1266" xr:uid="{658392DE-BD8C-4FB3-955E-405B58999F8A}"/>
    <cellStyle name="40% - Accent2 2 2 3 2" xfId="1597" xr:uid="{3EBEA018-A3E7-4256-9963-F2B8F03B360D}"/>
    <cellStyle name="40% - Accent2 2 2 3 2 2" xfId="2656" xr:uid="{0AF9804D-83A5-4C2B-B896-F8DA4580CC59}"/>
    <cellStyle name="40% - Accent2 2 2 3 2 3" xfId="3307" xr:uid="{FC723D87-C870-4825-BFF0-D7091CC6BF4A}"/>
    <cellStyle name="40% - Accent2 2 2 3 2 4" xfId="3963" xr:uid="{BF04F17F-768F-4E7D-9081-16DABA311691}"/>
    <cellStyle name="40% - Accent2 2 2 3 2 5" xfId="4626" xr:uid="{5FE96D33-772E-4362-8B69-471A4BDBC978}"/>
    <cellStyle name="40% - Accent2 2 2 3 3" xfId="2329" xr:uid="{52DAE181-D5D6-48C3-A613-768EDD8CD0D8}"/>
    <cellStyle name="40% - Accent2 2 2 3 4" xfId="2980" xr:uid="{B3B12BE8-F17F-4DBD-9205-D7E0DA4D0AD7}"/>
    <cellStyle name="40% - Accent2 2 2 3 5" xfId="3636" xr:uid="{F21D9C23-946F-4BF2-B302-A9CE0B9451DF}"/>
    <cellStyle name="40% - Accent2 2 2 3 6" xfId="4299" xr:uid="{F3B7AE35-1FAF-4D48-AF8F-4701E89F2D59}"/>
    <cellStyle name="40% - Accent2 2 2 4" xfId="1381" xr:uid="{14BF6865-7529-4FA6-9CA9-6C27A6437A08}"/>
    <cellStyle name="40% - Accent2 2 2 4 2" xfId="2440" xr:uid="{8F70A31D-B33B-4255-AE6B-BAD1C0AA105A}"/>
    <cellStyle name="40% - Accent2 2 2 4 3" xfId="3091" xr:uid="{AE07D663-A0E9-4120-A455-2F54A7D953B2}"/>
    <cellStyle name="40% - Accent2 2 2 4 4" xfId="3747" xr:uid="{8F6E67F5-0574-4710-B6B9-DA321C1BE3FD}"/>
    <cellStyle name="40% - Accent2 2 2 4 5" xfId="4410" xr:uid="{9491A447-C7CC-463F-B53E-37222F2E5B03}"/>
    <cellStyle name="40% - Accent2 2 2 5" xfId="1847" xr:uid="{37A29193-229A-416B-B395-CCFD9EDB23DC}"/>
    <cellStyle name="40% - Accent2 2 2 6" xfId="2113" xr:uid="{7E985ED1-FE4B-41F4-A2B8-B83BA4193302}"/>
    <cellStyle name="40% - Accent2 2 2 7" xfId="2764" xr:uid="{3B3723FF-BBBF-4655-932C-68EF6F4F2C15}"/>
    <cellStyle name="40% - Accent2 2 2 8" xfId="3420" xr:uid="{F0BA5219-AE2D-4DB6-854B-7E075F366243}"/>
    <cellStyle name="40% - Accent2 2 2 9" xfId="4083" xr:uid="{8C91D671-4BD6-443E-8053-B1A72887C098}"/>
    <cellStyle name="40% - Accent2 2 3" xfId="1098" xr:uid="{39125293-8B2E-434D-8D89-EB55C79275BC}"/>
    <cellStyle name="40% - Accent2 2 3 2" xfId="1435" xr:uid="{BAC3FD36-FDBA-487E-8639-288F06EBAB76}"/>
    <cellStyle name="40% - Accent2 2 3 2 2" xfId="2494" xr:uid="{9B7CEBDC-7CFD-46DB-84E3-57E623E11CE7}"/>
    <cellStyle name="40% - Accent2 2 3 2 3" xfId="3145" xr:uid="{AED69138-0A35-4EA3-BE31-CBEDAB3BCFA4}"/>
    <cellStyle name="40% - Accent2 2 3 2 4" xfId="3801" xr:uid="{94EE7BF4-A086-4A9A-8EA4-8D18B8E9DA8F}"/>
    <cellStyle name="40% - Accent2 2 3 2 5" xfId="4464" xr:uid="{425CD15A-28E1-4CA2-AE42-2D738AB91D01}"/>
    <cellStyle name="40% - Accent2 2 3 3" xfId="2021" xr:uid="{364AC7FB-6932-4C67-8225-39DF240D82C4}"/>
    <cellStyle name="40% - Accent2 2 3 4" xfId="2167" xr:uid="{C30F998B-7A05-49A3-BBAC-A54861271448}"/>
    <cellStyle name="40% - Accent2 2 3 5" xfId="2818" xr:uid="{A4B96238-663B-4C49-A824-53D3CC1FA3A2}"/>
    <cellStyle name="40% - Accent2 2 3 6" xfId="3474" xr:uid="{A3A8E7BA-0B81-40CF-8B4A-3E85082A31F2}"/>
    <cellStyle name="40% - Accent2 2 3 7" xfId="4137" xr:uid="{8CB377DD-1FD9-47B2-B2DF-0C06D3CDBFD5}"/>
    <cellStyle name="40% - Accent2 2 4" xfId="1212" xr:uid="{85C73ED8-7E31-4276-9AE7-4D92A2ABA622}"/>
    <cellStyle name="40% - Accent2 2 4 2" xfId="1543" xr:uid="{43BB674F-0BB8-40B5-8DCB-E6A713785EB3}"/>
    <cellStyle name="40% - Accent2 2 4 2 2" xfId="2602" xr:uid="{F37E8ACA-FAF4-4F50-B22D-A4740AF31143}"/>
    <cellStyle name="40% - Accent2 2 4 2 3" xfId="3253" xr:uid="{7C61D053-DD3D-4EFA-B6DA-11A2180F6181}"/>
    <cellStyle name="40% - Accent2 2 4 2 4" xfId="3909" xr:uid="{A4A4EFD8-4597-462F-BB8D-B868AB04254D}"/>
    <cellStyle name="40% - Accent2 2 4 2 5" xfId="4572" xr:uid="{93786484-2A4A-44F1-AB93-15134B09755D}"/>
    <cellStyle name="40% - Accent2 2 4 3" xfId="2275" xr:uid="{429BC532-34A2-4ADB-9715-8BAA2BD16A14}"/>
    <cellStyle name="40% - Accent2 2 4 4" xfId="2926" xr:uid="{CB63C69B-4E21-414E-B530-707FF8B6F5FF}"/>
    <cellStyle name="40% - Accent2 2 4 5" xfId="3582" xr:uid="{97CB0D59-CE89-4E0E-94D7-8851B50CFAA7}"/>
    <cellStyle name="40% - Accent2 2 4 6" xfId="4245" xr:uid="{1A5C795B-2CCF-4E08-887D-F9366D688D79}"/>
    <cellStyle name="40% - Accent2 2 5" xfId="1327" xr:uid="{DEF6F204-93D0-4398-93F3-B645177E391D}"/>
    <cellStyle name="40% - Accent2 2 5 2" xfId="2386" xr:uid="{3907EDD1-4442-4D5A-88C9-2E046199A3AC}"/>
    <cellStyle name="40% - Accent2 2 5 3" xfId="3037" xr:uid="{5F8DB891-75E5-4E17-849B-683894CF255C}"/>
    <cellStyle name="40% - Accent2 2 5 4" xfId="3693" xr:uid="{10351179-EDAD-4AE1-A816-5F3BE89A8F50}"/>
    <cellStyle name="40% - Accent2 2 5 5" xfId="4356" xr:uid="{7E039622-8EB5-4DFE-BB12-D571939C7982}"/>
    <cellStyle name="40% - Accent2 2 6" xfId="1886" xr:uid="{43CAA3AA-C696-44A2-BBA3-50F503DA0D70}"/>
    <cellStyle name="40% - Accent2 2 7" xfId="2059" xr:uid="{33CA30CB-00D8-468C-A448-755590E10422}"/>
    <cellStyle name="40% - Accent2 2 8" xfId="2710" xr:uid="{36BD6908-5A7B-4B7C-9444-B2FC4F210122}"/>
    <cellStyle name="40% - Accent2 2 9" xfId="3365" xr:uid="{D430BE33-A5FD-4107-9A06-36AE3C707F60}"/>
    <cellStyle name="40% - Accent2 3" xfId="249" xr:uid="{241BAB8B-08F9-4638-A15E-FE93564D899C}"/>
    <cellStyle name="40% - Accent2 3 10" xfId="4042" xr:uid="{8DE33517-FB1F-495C-A2C6-ABD35948D045}"/>
    <cellStyle name="40% - Accent2 3 11" xfId="1803" xr:uid="{C1E5FB17-0361-4CCC-B9F0-97DB2BB80295}"/>
    <cellStyle name="40% - Accent2 3 12" xfId="1720" xr:uid="{DF78B65E-9CE7-4BC9-B744-50334E0503FC}"/>
    <cellStyle name="40% - Accent2 3 13" xfId="994" xr:uid="{B1D04FA5-408D-4D9B-B41B-C9F8457C95AD}"/>
    <cellStyle name="40% - Accent2 3 2" xfId="345" xr:uid="{0AE663FB-AC3F-4B14-A8EF-33DF848F7D6F}"/>
    <cellStyle name="40% - Accent2 3 2 10" xfId="1058" xr:uid="{ED46FCC0-B408-41A6-A376-A0998E1671B3}"/>
    <cellStyle name="40% - Accent2 3 2 2" xfId="461" xr:uid="{7960A5BE-BDE9-4E11-9071-BA851EF57595}"/>
    <cellStyle name="40% - Accent2 3 2 2 2" xfId="680" xr:uid="{2755A1FA-7D5B-4135-AA2A-32455D275171}"/>
    <cellStyle name="40% - Accent2 3 2 2 2 2" xfId="2561" xr:uid="{179095B3-F1E1-4E53-9075-8A2FA34C8A03}"/>
    <cellStyle name="40% - Accent2 3 2 2 2 3" xfId="3212" xr:uid="{16BCF6AB-FFFC-4330-9FEF-6417B1B458D2}"/>
    <cellStyle name="40% - Accent2 3 2 2 2 4" xfId="3868" xr:uid="{5D2905C5-80FC-497C-A470-AF705BC32F19}"/>
    <cellStyle name="40% - Accent2 3 2 2 2 5" xfId="4531" xr:uid="{4634E99E-A8FA-451B-AB03-C8A85BF195AA}"/>
    <cellStyle name="40% - Accent2 3 2 2 2 6" xfId="1502" xr:uid="{05AB20D3-B475-4960-8D31-728638DE7F68}"/>
    <cellStyle name="40% - Accent2 3 2 2 3" xfId="1842" xr:uid="{F227A0BF-7BDF-4E3C-9BD1-030906129F35}"/>
    <cellStyle name="40% - Accent2 3 2 2 4" xfId="2234" xr:uid="{801E7323-7F22-4254-8F1A-D91A383109CB}"/>
    <cellStyle name="40% - Accent2 3 2 2 5" xfId="2885" xr:uid="{0545D456-E505-4980-B602-E502778BB9EF}"/>
    <cellStyle name="40% - Accent2 3 2 2 6" xfId="3541" xr:uid="{09FE581C-05B7-4B97-8710-729C95EC5972}"/>
    <cellStyle name="40% - Accent2 3 2 2 7" xfId="4204" xr:uid="{CC483E56-C3CC-4A7C-9FAC-5B859801B9D8}"/>
    <cellStyle name="40% - Accent2 3 2 2 8" xfId="1165" xr:uid="{4E58F536-369E-462D-9800-A46BB4739309}"/>
    <cellStyle name="40% - Accent2 3 2 3" xfId="570" xr:uid="{D0839542-3321-495D-885C-F2EF211516B3}"/>
    <cellStyle name="40% - Accent2 3 2 3 2" xfId="1610" xr:uid="{4A68C96A-A75A-4F34-8F3C-CA77BA21A2F3}"/>
    <cellStyle name="40% - Accent2 3 2 3 2 2" xfId="2669" xr:uid="{F6F01744-5182-42EF-9559-F7B4718DAE90}"/>
    <cellStyle name="40% - Accent2 3 2 3 2 3" xfId="3320" xr:uid="{60CF2A98-C86A-443F-8FBC-506E256B3B49}"/>
    <cellStyle name="40% - Accent2 3 2 3 2 4" xfId="3976" xr:uid="{655D6834-A334-4729-939C-EE96BA225A06}"/>
    <cellStyle name="40% - Accent2 3 2 3 2 5" xfId="4639" xr:uid="{51435057-C52C-4F10-BE22-7B022DA4FCC0}"/>
    <cellStyle name="40% - Accent2 3 2 3 3" xfId="2342" xr:uid="{84461804-10B8-4659-AD9B-E15C6D73FC91}"/>
    <cellStyle name="40% - Accent2 3 2 3 4" xfId="2993" xr:uid="{0327FC59-6B85-4015-8EAC-43E6105E6779}"/>
    <cellStyle name="40% - Accent2 3 2 3 5" xfId="3649" xr:uid="{D34B39FA-55D3-4841-B15D-137A7742F9C2}"/>
    <cellStyle name="40% - Accent2 3 2 3 6" xfId="4312" xr:uid="{884059ED-14A6-42E6-B71F-5ECF16B2B80E}"/>
    <cellStyle name="40% - Accent2 3 2 3 7" xfId="1279" xr:uid="{BC1A1DE0-8CBB-45CC-9756-E80CEED834CB}"/>
    <cellStyle name="40% - Accent2 3 2 4" xfId="1394" xr:uid="{C902A806-D573-4926-85E3-28970170CF58}"/>
    <cellStyle name="40% - Accent2 3 2 4 2" xfId="2453" xr:uid="{74C7F96D-8F88-41BF-B38D-186BBDB42863}"/>
    <cellStyle name="40% - Accent2 3 2 4 3" xfId="3104" xr:uid="{FEA53440-BD49-420D-8ED3-970AC0963FB4}"/>
    <cellStyle name="40% - Accent2 3 2 4 4" xfId="3760" xr:uid="{08A01984-3332-464C-8661-32467FCA7847}"/>
    <cellStyle name="40% - Accent2 3 2 4 5" xfId="4423" xr:uid="{55B11551-BC7C-4885-82CE-50592CF0A9CE}"/>
    <cellStyle name="40% - Accent2 3 2 5" xfId="1850" xr:uid="{78C1B5DC-0B79-435D-A9B7-AC8B0665B00E}"/>
    <cellStyle name="40% - Accent2 3 2 6" xfId="2126" xr:uid="{636D842D-2FF2-489C-83D4-4575F867620F}"/>
    <cellStyle name="40% - Accent2 3 2 7" xfId="2777" xr:uid="{57E91D5D-A4A4-4903-A9C2-DB54847AFC8A}"/>
    <cellStyle name="40% - Accent2 3 2 8" xfId="3433" xr:uid="{C88153B0-F51C-484A-B9BA-605785594253}"/>
    <cellStyle name="40% - Accent2 3 2 9" xfId="4096" xr:uid="{7C80032E-9C4E-4DFB-A035-4DA6932A82C0}"/>
    <cellStyle name="40% - Accent2 3 3" xfId="418" xr:uid="{0A958824-A70B-43DB-B430-997D26613835}"/>
    <cellStyle name="40% - Accent2 3 3 2" xfId="637" xr:uid="{859C6B6C-C2B7-4397-85B3-6F4230308ABF}"/>
    <cellStyle name="40% - Accent2 3 3 2 2" xfId="2507" xr:uid="{9AEFEE78-9658-45DB-AF00-A98D5F7A338A}"/>
    <cellStyle name="40% - Accent2 3 3 2 3" xfId="3158" xr:uid="{3C443B70-1672-4CF6-9604-7EDA023216F2}"/>
    <cellStyle name="40% - Accent2 3 3 2 4" xfId="3814" xr:uid="{FEE6BC9F-F4A3-4E42-98BF-F1A67D5DADB8}"/>
    <cellStyle name="40% - Accent2 3 3 2 5" xfId="4477" xr:uid="{183EAA07-0510-43E7-875D-87638A75145D}"/>
    <cellStyle name="40% - Accent2 3 3 2 6" xfId="1448" xr:uid="{619CEA1E-9678-45B5-9488-F1CBE955A9E7}"/>
    <cellStyle name="40% - Accent2 3 3 3" xfId="2022" xr:uid="{7B186C28-6311-4376-A7CA-76DF46257BD7}"/>
    <cellStyle name="40% - Accent2 3 3 4" xfId="2180" xr:uid="{1B917EAB-85C4-4884-BAAF-7E71656FB53D}"/>
    <cellStyle name="40% - Accent2 3 3 5" xfId="2831" xr:uid="{B46AF053-C42E-48D8-98D0-171612D5B401}"/>
    <cellStyle name="40% - Accent2 3 3 6" xfId="3487" xr:uid="{1C6EB41F-87C4-4FCF-895D-6375843A03D0}"/>
    <cellStyle name="40% - Accent2 3 3 7" xfId="4150" xr:uid="{78762E5A-4245-4EE5-BFCE-40C8F7E56201}"/>
    <cellStyle name="40% - Accent2 3 3 8" xfId="1111" xr:uid="{C04551F4-73C1-4702-B77F-EAB19A1F0A9D}"/>
    <cellStyle name="40% - Accent2 3 4" xfId="527" xr:uid="{DD2D1DE3-0873-4E34-AA0C-6A2AFD9D5CBB}"/>
    <cellStyle name="40% - Accent2 3 4 2" xfId="1556" xr:uid="{33E68C67-9691-421A-A0A9-C5F132E3C1A0}"/>
    <cellStyle name="40% - Accent2 3 4 2 2" xfId="2615" xr:uid="{25C383D5-7CFD-445D-A307-6C6ECE36A8C4}"/>
    <cellStyle name="40% - Accent2 3 4 2 3" xfId="3266" xr:uid="{0249FC32-9976-49B2-B929-0817F790945B}"/>
    <cellStyle name="40% - Accent2 3 4 2 4" xfId="3922" xr:uid="{30BC6205-0E6B-46B5-A283-80C6767F8B0D}"/>
    <cellStyle name="40% - Accent2 3 4 2 5" xfId="4585" xr:uid="{83D7AB41-247A-41DD-9FEB-A238B85CDAAB}"/>
    <cellStyle name="40% - Accent2 3 4 3" xfId="2288" xr:uid="{A8582F0F-E5F2-4069-9F57-ABF7A5265D81}"/>
    <cellStyle name="40% - Accent2 3 4 4" xfId="2939" xr:uid="{8D17F329-7E95-4226-AA85-0C494AA66109}"/>
    <cellStyle name="40% - Accent2 3 4 5" xfId="3595" xr:uid="{85C341ED-50C0-4E04-93BD-5FBC2DF9D969}"/>
    <cellStyle name="40% - Accent2 3 4 6" xfId="4258" xr:uid="{2BFF60F0-B3D4-48CE-BED1-6619C0825FEB}"/>
    <cellStyle name="40% - Accent2 3 4 7" xfId="1225" xr:uid="{58226E74-CC35-4713-9DB3-5BC316DD7972}"/>
    <cellStyle name="40% - Accent2 3 5" xfId="297" xr:uid="{9FE8E4F4-0763-44FA-9A55-965AB6CFAD2B}"/>
    <cellStyle name="40% - Accent2 3 5 2" xfId="2399" xr:uid="{21393EDD-A18D-4A01-B4D8-ED8DAE7CC5A7}"/>
    <cellStyle name="40% - Accent2 3 5 3" xfId="3050" xr:uid="{63193EF6-3725-4D86-A680-774D4071BA5F}"/>
    <cellStyle name="40% - Accent2 3 5 4" xfId="3706" xr:uid="{731EA1A2-9E43-4E49-8439-A0496FA8263E}"/>
    <cellStyle name="40% - Accent2 3 5 5" xfId="4369" xr:uid="{8DC78AF0-8DF4-4F6D-80B2-CDC6AB1EA7DF}"/>
    <cellStyle name="40% - Accent2 3 5 6" xfId="1340" xr:uid="{EA409720-B74F-48EA-8C5E-A81EDF888C61}"/>
    <cellStyle name="40% - Accent2 3 6" xfId="1952" xr:uid="{75A41288-DDE2-4204-BA33-5FD8B55480A4}"/>
    <cellStyle name="40% - Accent2 3 7" xfId="2072" xr:uid="{F35AC63C-AFA4-4722-A487-0A68B109E23D}"/>
    <cellStyle name="40% - Accent2 3 8" xfId="2723" xr:uid="{73C11B03-9725-4277-B486-BC3AB7EB0EBC}"/>
    <cellStyle name="40% - Accent2 3 9" xfId="3378" xr:uid="{E6A46412-AE5C-4FF1-9751-F3F8301FE898}"/>
    <cellStyle name="40% - Accent2 4" xfId="364" xr:uid="{DBFDA685-B842-4A58-9A57-4802B021A864}"/>
    <cellStyle name="40% - Accent2 4 10" xfId="1025" xr:uid="{79C4AE39-7A49-49E2-9CDC-686ECFAAE0AE}"/>
    <cellStyle name="40% - Accent2 4 2" xfId="480" xr:uid="{DBDDBCE1-8D54-457C-85E4-54A0A7D1DBC4}"/>
    <cellStyle name="40% - Accent2 4 2 2" xfId="699" xr:uid="{100A8811-EFEB-4E02-855E-A92E56FA3852}"/>
    <cellStyle name="40% - Accent2 4 2 2 2" xfId="2528" xr:uid="{01A57CFE-10B1-4AB9-968E-E159ACCF454D}"/>
    <cellStyle name="40% - Accent2 4 2 2 3" xfId="3179" xr:uid="{45FC6A8B-B11A-440B-A13E-F5BCC1E02F59}"/>
    <cellStyle name="40% - Accent2 4 2 2 4" xfId="3835" xr:uid="{B0BEB078-D976-432F-AF0B-444B63BE48E0}"/>
    <cellStyle name="40% - Accent2 4 2 2 5" xfId="4498" xr:uid="{9A7F831C-D1E1-464D-9F0F-108A7888D5C9}"/>
    <cellStyle name="40% - Accent2 4 2 2 6" xfId="1469" xr:uid="{BB7F0105-DAF3-4693-BEF3-447A0AE039B6}"/>
    <cellStyle name="40% - Accent2 4 2 3" xfId="1838" xr:uid="{451DFF4F-CFA9-48C9-BBF6-3DAD915CF189}"/>
    <cellStyle name="40% - Accent2 4 2 4" xfId="2201" xr:uid="{EE50140A-7744-4E1C-A774-2418D7AAC4E5}"/>
    <cellStyle name="40% - Accent2 4 2 5" xfId="2852" xr:uid="{2E7A9D21-86D0-42BB-9C55-9B6D8ABD3FB8}"/>
    <cellStyle name="40% - Accent2 4 2 6" xfId="3508" xr:uid="{8BF002D2-D504-42D5-A4F5-11E64A39AFF6}"/>
    <cellStyle name="40% - Accent2 4 2 7" xfId="4171" xr:uid="{19906619-0236-413D-9394-61911C022A3C}"/>
    <cellStyle name="40% - Accent2 4 2 8" xfId="1132" xr:uid="{E3D302C1-3FB8-484F-A49C-2207FC11092F}"/>
    <cellStyle name="40% - Accent2 4 3" xfId="589" xr:uid="{D3F5C15D-C4C8-4F5F-89C3-C1ADF5D3496B}"/>
    <cellStyle name="40% - Accent2 4 3 2" xfId="1577" xr:uid="{091E89D4-C3A3-45A5-9EC3-7A3A6AFB81D4}"/>
    <cellStyle name="40% - Accent2 4 3 2 2" xfId="2636" xr:uid="{C14BBD45-0A69-4756-99F5-D05B36FBF8FE}"/>
    <cellStyle name="40% - Accent2 4 3 2 3" xfId="3287" xr:uid="{76995370-092A-4BAC-A1D5-9C8A03AA5B11}"/>
    <cellStyle name="40% - Accent2 4 3 2 4" xfId="3943" xr:uid="{DC05D707-06BE-44A6-A4A7-DC32B6E7AFDD}"/>
    <cellStyle name="40% - Accent2 4 3 2 5" xfId="4606" xr:uid="{1170156B-5977-4912-83C4-87F95BF563BE}"/>
    <cellStyle name="40% - Accent2 4 3 3" xfId="2309" xr:uid="{16EDF332-6D3C-4ABE-AAE9-A6DCC6C35170}"/>
    <cellStyle name="40% - Accent2 4 3 4" xfId="2960" xr:uid="{EE1B11C9-086E-451A-9101-86D44B28627E}"/>
    <cellStyle name="40% - Accent2 4 3 5" xfId="3616" xr:uid="{903F0D10-41AC-4D40-AEEC-34CE414A7E3D}"/>
    <cellStyle name="40% - Accent2 4 3 6" xfId="4279" xr:uid="{600F66BF-C582-4246-9375-237A02D12B70}"/>
    <cellStyle name="40% - Accent2 4 3 7" xfId="1246" xr:uid="{89C2407A-26BF-4573-AA36-D604583A8ABD}"/>
    <cellStyle name="40% - Accent2 4 4" xfId="1361" xr:uid="{3C1FE62D-70AA-4650-9D54-7603A14BC077}"/>
    <cellStyle name="40% - Accent2 4 4 2" xfId="2420" xr:uid="{A3824A7C-A918-4DC1-977F-12F7ED824314}"/>
    <cellStyle name="40% - Accent2 4 4 3" xfId="3071" xr:uid="{741E036A-61B2-41A6-9422-18E3F32469F5}"/>
    <cellStyle name="40% - Accent2 4 4 4" xfId="3727" xr:uid="{8C4B4D62-908B-4510-95CC-FF0B8F861D16}"/>
    <cellStyle name="40% - Accent2 4 4 5" xfId="4390" xr:uid="{806CEB54-1998-44D2-8B28-1B792D195C10}"/>
    <cellStyle name="40% - Accent2 4 5" xfId="1916" xr:uid="{AB29308C-70A2-41B3-B97F-D481A8B31696}"/>
    <cellStyle name="40% - Accent2 4 6" xfId="2093" xr:uid="{D9495F32-59A2-4547-83B1-B0C07A7393B1}"/>
    <cellStyle name="40% - Accent2 4 7" xfId="2744" xr:uid="{4942E128-9FAA-4CDA-82F1-DE98A13F32FD}"/>
    <cellStyle name="40% - Accent2 4 8" xfId="3400" xr:uid="{3E89729C-77BD-4471-9E60-63F3C38D64B3}"/>
    <cellStyle name="40% - Accent2 4 9" xfId="4063" xr:uid="{7CBC4D88-C47C-496E-8413-6DB06C840C9F}"/>
    <cellStyle name="40% - Accent2 5" xfId="321" xr:uid="{BBF2CD29-E994-4F29-AC34-C9CA7F0D9C8F}"/>
    <cellStyle name="40% - Accent2 5 10" xfId="1076" xr:uid="{A40CA37A-D951-430D-8392-D21F4997778B}"/>
    <cellStyle name="40% - Accent2 5 2" xfId="442" xr:uid="{0848B844-EC55-4B27-B118-BE42B344E9FD}"/>
    <cellStyle name="40% - Accent2 5 2 2" xfId="661" xr:uid="{861C4C32-4A0D-4222-91AD-34574D629288}"/>
    <cellStyle name="40% - Accent2 5 2 2 2" xfId="2472" xr:uid="{E5E00798-2509-4BF0-8E0F-940D9A55AD3A}"/>
    <cellStyle name="40% - Accent2 5 2 3" xfId="3123" xr:uid="{EB32A72D-95C0-4F71-8FF8-8752F7698531}"/>
    <cellStyle name="40% - Accent2 5 2 4" xfId="3779" xr:uid="{BEBAF75B-89DA-4EC0-AC52-BE2BB20967FE}"/>
    <cellStyle name="40% - Accent2 5 2 5" xfId="4442" xr:uid="{FDE7022E-355E-4572-BEBC-4AB48903C526}"/>
    <cellStyle name="40% - Accent2 5 2 6" xfId="1413" xr:uid="{D455EB7D-BB47-49D0-9E2D-24C288A3590B}"/>
    <cellStyle name="40% - Accent2 5 3" xfId="551" xr:uid="{71D65240-07A3-47C3-BB3E-7150D9756B2D}"/>
    <cellStyle name="40% - Accent2 5 3 2" xfId="1877" xr:uid="{80D83829-8CF2-41CE-A44E-64E827117817}"/>
    <cellStyle name="40% - Accent2 5 4" xfId="2145" xr:uid="{076F9E0B-7C18-4CED-8B39-0223273399DF}"/>
    <cellStyle name="40% - Accent2 5 5" xfId="2796" xr:uid="{A043A8D9-F441-46DB-AC2D-44E9D8F4618C}"/>
    <cellStyle name="40% - Accent2 5 6" xfId="3452" xr:uid="{2CE0B3EB-4B40-4D15-A820-A7862E14D692}"/>
    <cellStyle name="40% - Accent2 5 7" xfId="4115" xr:uid="{EFE15C2A-8BDF-40AA-8D91-103E405F7450}"/>
    <cellStyle name="40% - Accent2 5 8" xfId="1818" xr:uid="{37A45BB6-916A-469D-8875-3C41303822AE}"/>
    <cellStyle name="40% - Accent2 5 9" xfId="1664" xr:uid="{89575E44-7FC2-4DF0-8C18-3882B001F017}"/>
    <cellStyle name="40% - Accent2 6" xfId="395" xr:uid="{C3472ADC-8A57-4C56-BBC4-D17D52A04008}"/>
    <cellStyle name="40% - Accent2 6 2" xfId="615" xr:uid="{1B66C192-214E-4396-8FF4-104020512AA5}"/>
    <cellStyle name="40% - Accent2 6 2 2" xfId="2580" xr:uid="{548B0D01-6A53-4F19-A278-AAC3A3D86C20}"/>
    <cellStyle name="40% - Accent2 6 2 3" xfId="3231" xr:uid="{5874AD92-7BF9-43FE-B0DC-7CC1CF0E1287}"/>
    <cellStyle name="40% - Accent2 6 2 4" xfId="3887" xr:uid="{F7311037-975A-4579-B635-8FCAE59C160F}"/>
    <cellStyle name="40% - Accent2 6 2 5" xfId="4550" xr:uid="{74557DAF-C50F-4660-B037-E9A50DDC1E72}"/>
    <cellStyle name="40% - Accent2 6 2 6" xfId="1521" xr:uid="{AAB29DE2-5181-417F-BE6D-B63B91B01A48}"/>
    <cellStyle name="40% - Accent2 6 3" xfId="2253" xr:uid="{54BEBE7D-3C2B-44DF-83AB-B0A5CC078F43}"/>
    <cellStyle name="40% - Accent2 6 4" xfId="2904" xr:uid="{18F87D93-D1F7-4723-96DE-A3FBD4E89109}"/>
    <cellStyle name="40% - Accent2 6 5" xfId="3560" xr:uid="{3FD242A5-AE48-4A77-BB3A-A50AA9E336C7}"/>
    <cellStyle name="40% - Accent2 6 6" xfId="4223" xr:uid="{B6259FB7-3D4A-4255-AFDC-7E1AE6F1FCD5}"/>
    <cellStyle name="40% - Accent2 6 7" xfId="1190" xr:uid="{1D456FDD-4EB6-452F-9DB9-A3DF38955DA4}"/>
    <cellStyle name="40% - Accent2 7" xfId="505" xr:uid="{819A8CC3-F91E-43D5-A594-DC8A029B95A9}"/>
    <cellStyle name="40% - Accent2 7 2" xfId="2364" xr:uid="{2578B438-2288-44E5-B82D-8BF06C40B704}"/>
    <cellStyle name="40% - Accent2 7 3" xfId="3015" xr:uid="{9CB0C890-040F-405A-BAD1-A40F33927ACE}"/>
    <cellStyle name="40% - Accent2 7 4" xfId="3671" xr:uid="{ADE698AC-39D9-41A8-ACA9-2BF45E6015D8}"/>
    <cellStyle name="40% - Accent2 7 5" xfId="4334" xr:uid="{A525FC98-3115-4EAF-B973-F6F45C35D742}"/>
    <cellStyle name="40% - Accent2 7 6" xfId="1300" xr:uid="{C6ACD3A3-FD6A-4CD4-81F6-D5C4457ADA2E}"/>
    <cellStyle name="40% - Accent2 8" xfId="273" xr:uid="{C508FE60-FC5A-400A-89F3-8F3713F03641}"/>
    <cellStyle name="40% - Accent2 8 2" xfId="1902" xr:uid="{75C638E6-F815-4432-97EC-7B8A60787D41}"/>
    <cellStyle name="40% - Accent2 9" xfId="2037" xr:uid="{37CE497B-2BE7-452A-A39C-A268B3FA758C}"/>
    <cellStyle name="40% - Accent3" xfId="30" builtinId="39" customBuiltin="1"/>
    <cellStyle name="40% - Accent3 10" xfId="2690" xr:uid="{A5F268AF-32C8-4495-9F91-6962C7E4B342}"/>
    <cellStyle name="40% - Accent3 11" xfId="3344" xr:uid="{0165B02B-AF36-4716-8A94-03834A0D8660}"/>
    <cellStyle name="40% - Accent3 12" xfId="4009" xr:uid="{BE73FA7A-CFB1-422B-AD48-E57F79A8A07F}"/>
    <cellStyle name="40% - Accent3 13" xfId="728" xr:uid="{62EE3F0D-A68E-4948-8FCB-CBDEA27FCDCC}"/>
    <cellStyle name="40% - Accent3 14" xfId="156" xr:uid="{F8A1930E-243E-41EF-A6AE-C271E27332AB}"/>
    <cellStyle name="40% - Accent3 2" xfId="82" xr:uid="{6318F103-6FD9-42EE-8263-2E9B51E474AD}"/>
    <cellStyle name="40% - Accent3 2 10" xfId="4030" xr:uid="{52D68D95-4D88-4C3D-8AC5-2D1842066A62}"/>
    <cellStyle name="40% - Accent3 2 11" xfId="744" xr:uid="{A1562010-1DA0-431F-92F7-4E3792359F14}"/>
    <cellStyle name="40% - Accent3 2 12" xfId="175" xr:uid="{3B9C46D4-B520-4F5D-B826-CA62BDF6A485}"/>
    <cellStyle name="40% - Accent3 2 2" xfId="1046" xr:uid="{A3E69D55-2923-4771-B3F7-03328E6881B1}"/>
    <cellStyle name="40% - Accent3 2 2 2" xfId="1153" xr:uid="{B17F724A-1356-4838-85B7-F6CA6C836F32}"/>
    <cellStyle name="40% - Accent3 2 2 2 2" xfId="1490" xr:uid="{B9D63F19-B64C-492A-8029-093D5917C2F1}"/>
    <cellStyle name="40% - Accent3 2 2 2 2 2" xfId="2549" xr:uid="{0BE50124-0976-453F-A095-694F72527B33}"/>
    <cellStyle name="40% - Accent3 2 2 2 2 3" xfId="3200" xr:uid="{6DC36DD0-FDCD-46FE-A68E-4D7D85A0078B}"/>
    <cellStyle name="40% - Accent3 2 2 2 2 4" xfId="3856" xr:uid="{71CA81A5-D173-4397-A855-E937B6F578EB}"/>
    <cellStyle name="40% - Accent3 2 2 2 2 5" xfId="4519" xr:uid="{D643F366-11C5-43D5-926B-70EF959A0A65}"/>
    <cellStyle name="40% - Accent3 2 2 2 3" xfId="1927" xr:uid="{BB7522AB-18A2-4DFE-97EF-C3344A491364}"/>
    <cellStyle name="40% - Accent3 2 2 2 4" xfId="2222" xr:uid="{2E71517E-DC74-443E-BD93-CF4AD3794900}"/>
    <cellStyle name="40% - Accent3 2 2 2 5" xfId="2873" xr:uid="{C3CAE7F1-2D5D-4B52-B7DD-7F2E4439ABB1}"/>
    <cellStyle name="40% - Accent3 2 2 2 6" xfId="3529" xr:uid="{97685F53-333A-41A9-9C8B-A20A726862D0}"/>
    <cellStyle name="40% - Accent3 2 2 2 7" xfId="4192" xr:uid="{7F3D133D-E52A-4ED9-AA96-F20E85FA342D}"/>
    <cellStyle name="40% - Accent3 2 2 3" xfId="1267" xr:uid="{B3C8603E-5BAC-424C-B31C-ED9DC63F272C}"/>
    <cellStyle name="40% - Accent3 2 2 3 2" xfId="1598" xr:uid="{ABD73B3A-D419-4B4D-8C94-DEC15E22D3AA}"/>
    <cellStyle name="40% - Accent3 2 2 3 2 2" xfId="2657" xr:uid="{3C416ABD-3EF9-4C2A-B075-48F951F6A028}"/>
    <cellStyle name="40% - Accent3 2 2 3 2 3" xfId="3308" xr:uid="{0BFCCC68-CE5E-4768-8572-0A6C93F1BC6B}"/>
    <cellStyle name="40% - Accent3 2 2 3 2 4" xfId="3964" xr:uid="{B865CCEB-CBE5-4882-999D-7F8550466664}"/>
    <cellStyle name="40% - Accent3 2 2 3 2 5" xfId="4627" xr:uid="{AFE29196-C8B9-4AF6-89B0-A06A12EEB137}"/>
    <cellStyle name="40% - Accent3 2 2 3 3" xfId="2330" xr:uid="{0256F0CC-BDF6-47D2-A290-B9F164EC4936}"/>
    <cellStyle name="40% - Accent3 2 2 3 4" xfId="2981" xr:uid="{E96E23D5-26C2-4841-BA3E-A9595CE564AE}"/>
    <cellStyle name="40% - Accent3 2 2 3 5" xfId="3637" xr:uid="{3D08FB04-2D0F-4363-951D-DBB59D1D49BE}"/>
    <cellStyle name="40% - Accent3 2 2 3 6" xfId="4300" xr:uid="{21B4E21E-3F66-4878-B000-FD2221AC824C}"/>
    <cellStyle name="40% - Accent3 2 2 4" xfId="1382" xr:uid="{1A1395BC-79C3-4528-B6D2-10710C3C7D4F}"/>
    <cellStyle name="40% - Accent3 2 2 4 2" xfId="2441" xr:uid="{A470674A-8339-4621-B610-EC5EAD4A8649}"/>
    <cellStyle name="40% - Accent3 2 2 4 3" xfId="3092" xr:uid="{1F439FBC-8F4F-42B2-BDC9-18B7B9809485}"/>
    <cellStyle name="40% - Accent3 2 2 4 4" xfId="3748" xr:uid="{4CD98427-B37F-4F32-B2A7-4BBF1962A7A5}"/>
    <cellStyle name="40% - Accent3 2 2 4 5" xfId="4411" xr:uid="{E02ABE50-1A46-478F-81BE-1DD32F4209DE}"/>
    <cellStyle name="40% - Accent3 2 2 5" xfId="1854" xr:uid="{D200EB80-30BD-42F3-9F86-97D3A7B3109A}"/>
    <cellStyle name="40% - Accent3 2 2 6" xfId="2114" xr:uid="{8EF05F6E-81EA-4725-8C4D-9EA74C86480D}"/>
    <cellStyle name="40% - Accent3 2 2 7" xfId="2765" xr:uid="{30420B75-2035-4801-BC77-A0AB9D42BFDC}"/>
    <cellStyle name="40% - Accent3 2 2 8" xfId="3421" xr:uid="{B687E85E-0024-45A8-837C-66203D53B3BA}"/>
    <cellStyle name="40% - Accent3 2 2 9" xfId="4084" xr:uid="{B354872E-F173-4E4B-AC9B-2A6B4F78AAE8}"/>
    <cellStyle name="40% - Accent3 2 3" xfId="1099" xr:uid="{E88F99B1-1E4B-43EF-97FF-C1E28110D843}"/>
    <cellStyle name="40% - Accent3 2 3 2" xfId="1436" xr:uid="{BD48D15A-9393-4928-8928-400D24A8DF60}"/>
    <cellStyle name="40% - Accent3 2 3 2 2" xfId="2495" xr:uid="{BFBBFA79-5B1C-459B-B55E-3AFD73EAAB3A}"/>
    <cellStyle name="40% - Accent3 2 3 2 3" xfId="3146" xr:uid="{355D0F16-7D48-4E94-A51E-0890BB715853}"/>
    <cellStyle name="40% - Accent3 2 3 2 4" xfId="3802" xr:uid="{E6F61CC8-FC41-4221-8D53-ED080A2EDCB5}"/>
    <cellStyle name="40% - Accent3 2 3 2 5" xfId="4465" xr:uid="{92ABB23D-039B-432B-8733-0D34D55C82C1}"/>
    <cellStyle name="40% - Accent3 2 3 3" xfId="1928" xr:uid="{407C7749-6440-4B33-BF24-740F3A811CB2}"/>
    <cellStyle name="40% - Accent3 2 3 4" xfId="2168" xr:uid="{B96F93D4-D3C6-4E95-9226-27092B087CE0}"/>
    <cellStyle name="40% - Accent3 2 3 5" xfId="2819" xr:uid="{485ACF5D-F788-4497-8CB2-1390CE0CE22E}"/>
    <cellStyle name="40% - Accent3 2 3 6" xfId="3475" xr:uid="{C7F8300A-3A37-4F0B-9BFF-839F72E41025}"/>
    <cellStyle name="40% - Accent3 2 3 7" xfId="4138" xr:uid="{5F37A7FA-F53A-4BF3-A7C1-A32B9896A2A8}"/>
    <cellStyle name="40% - Accent3 2 4" xfId="1213" xr:uid="{6D3AFC47-345B-4BBB-A607-D30E6551B087}"/>
    <cellStyle name="40% - Accent3 2 4 2" xfId="1544" xr:uid="{529A733B-B8E7-43A3-BAD1-6E24863FBD50}"/>
    <cellStyle name="40% - Accent3 2 4 2 2" xfId="2603" xr:uid="{05ADE740-AFFA-44DF-A817-AAD170A34C7F}"/>
    <cellStyle name="40% - Accent3 2 4 2 3" xfId="3254" xr:uid="{25E587C6-25D0-4A27-9D83-0F7AEBA4AEBF}"/>
    <cellStyle name="40% - Accent3 2 4 2 4" xfId="3910" xr:uid="{827CBD0C-750E-46C0-A5B3-51EE0CF5B156}"/>
    <cellStyle name="40% - Accent3 2 4 2 5" xfId="4573" xr:uid="{7EF4D801-B9F3-45C8-AF88-057E54FD9930}"/>
    <cellStyle name="40% - Accent3 2 4 3" xfId="2276" xr:uid="{F479C87A-65B1-45D4-A91C-D0E6D8B1F2B8}"/>
    <cellStyle name="40% - Accent3 2 4 4" xfId="2927" xr:uid="{51BEE362-B249-43F9-B2DF-3C6FBB373FB5}"/>
    <cellStyle name="40% - Accent3 2 4 5" xfId="3583" xr:uid="{91072229-27DE-4FB9-8BF6-174021EFF20B}"/>
    <cellStyle name="40% - Accent3 2 4 6" xfId="4246" xr:uid="{2DA1424A-C6E1-4041-9396-A498FC149330}"/>
    <cellStyle name="40% - Accent3 2 5" xfId="1328" xr:uid="{AD373D4E-276A-4801-A150-9B83186C6F65}"/>
    <cellStyle name="40% - Accent3 2 5 2" xfId="2387" xr:uid="{A17CE151-05C5-4ECB-9D26-F40E45DA4C69}"/>
    <cellStyle name="40% - Accent3 2 5 3" xfId="3038" xr:uid="{037D5DA0-91F7-4D0E-AAD3-1F266B3C6DF8}"/>
    <cellStyle name="40% - Accent3 2 5 4" xfId="3694" xr:uid="{4DE03C51-9BC7-4B30-905B-2460D06CB808}"/>
    <cellStyle name="40% - Accent3 2 5 5" xfId="4357" xr:uid="{9EF2D70C-967B-4B22-B78B-EFC4852F6806}"/>
    <cellStyle name="40% - Accent3 2 6" xfId="1984" xr:uid="{A5122236-4148-4E71-AFEF-B25A0E09BC5D}"/>
    <cellStyle name="40% - Accent3 2 7" xfId="2060" xr:uid="{590392CF-FDAB-4659-8F31-DB30DC4AC9BF}"/>
    <cellStyle name="40% - Accent3 2 8" xfId="2711" xr:uid="{CB6DA9DC-BE4C-407D-8F4A-E541958568C5}"/>
    <cellStyle name="40% - Accent3 2 9" xfId="3366" xr:uid="{5443E5CB-0E0B-4E2D-9379-AD17F7927959}"/>
    <cellStyle name="40% - Accent3 3" xfId="251" xr:uid="{180742A8-6A74-479A-8F92-EDDC28C53237}"/>
    <cellStyle name="40% - Accent3 3 10" xfId="4044" xr:uid="{A58FB51F-9CF4-4928-BC6A-A617D322B0C5}"/>
    <cellStyle name="40% - Accent3 3 11" xfId="1805" xr:uid="{F652F53B-FD85-46A2-8728-3DD876A0B164}"/>
    <cellStyle name="40% - Accent3 3 12" xfId="1727" xr:uid="{F1295483-184F-408C-8D2A-57343E5EDF10}"/>
    <cellStyle name="40% - Accent3 3 13" xfId="996" xr:uid="{917AF95A-A151-4822-BBCD-787B49375745}"/>
    <cellStyle name="40% - Accent3 3 2" xfId="347" xr:uid="{7DE79665-1C84-448E-B3A1-BAB35FC54A5D}"/>
    <cellStyle name="40% - Accent3 3 2 10" xfId="1060" xr:uid="{CB321762-68F7-4E5D-9922-D76CF0C80ACE}"/>
    <cellStyle name="40% - Accent3 3 2 2" xfId="463" xr:uid="{C86B2EB4-DA13-416E-ABE0-B1B021AA156D}"/>
    <cellStyle name="40% - Accent3 3 2 2 2" xfId="682" xr:uid="{F403D349-1D21-45A5-A3E3-D0370FF28E0E}"/>
    <cellStyle name="40% - Accent3 3 2 2 2 2" xfId="2563" xr:uid="{8254CB37-E8A1-46CD-B6DF-4EAF73DCB21D}"/>
    <cellStyle name="40% - Accent3 3 2 2 2 3" xfId="3214" xr:uid="{450E6169-A47A-4D54-82F5-42BBE11E0620}"/>
    <cellStyle name="40% - Accent3 3 2 2 2 4" xfId="3870" xr:uid="{5D89A4A5-500E-4208-9764-D8B463B7769D}"/>
    <cellStyle name="40% - Accent3 3 2 2 2 5" xfId="4533" xr:uid="{03C8EEBC-E601-4915-BAEE-AF57263278A7}"/>
    <cellStyle name="40% - Accent3 3 2 2 2 6" xfId="1504" xr:uid="{3111B763-39D1-4C3A-B0D3-00D7E7D220C6}"/>
    <cellStyle name="40% - Accent3 3 2 2 3" xfId="1940" xr:uid="{19B9B8EB-477D-4F2E-BEFD-172F9E2CA131}"/>
    <cellStyle name="40% - Accent3 3 2 2 4" xfId="2236" xr:uid="{E6CB2CD5-A41C-4F79-BE80-77163D818766}"/>
    <cellStyle name="40% - Accent3 3 2 2 5" xfId="2887" xr:uid="{B566535C-4BDA-464C-9EFD-57DD5D250727}"/>
    <cellStyle name="40% - Accent3 3 2 2 6" xfId="3543" xr:uid="{8181D004-9BCF-44B7-8721-88CF1D6085FA}"/>
    <cellStyle name="40% - Accent3 3 2 2 7" xfId="4206" xr:uid="{A27FF431-9C6F-489D-BDE5-33799A7AF923}"/>
    <cellStyle name="40% - Accent3 3 2 2 8" xfId="1167" xr:uid="{328D6345-38C8-46A7-BFED-C69710F61008}"/>
    <cellStyle name="40% - Accent3 3 2 3" xfId="572" xr:uid="{50EC1627-9481-4750-9D3A-CD60C0E30F2E}"/>
    <cellStyle name="40% - Accent3 3 2 3 2" xfId="1612" xr:uid="{64B92F51-0F27-4CCB-B3D6-E9AD9344A70A}"/>
    <cellStyle name="40% - Accent3 3 2 3 2 2" xfId="2671" xr:uid="{CA8E4A35-A504-4F2C-A563-13D6E4115AE7}"/>
    <cellStyle name="40% - Accent3 3 2 3 2 3" xfId="3322" xr:uid="{C6F0DBF3-6A96-4863-87F1-3F817B0DFB88}"/>
    <cellStyle name="40% - Accent3 3 2 3 2 4" xfId="3978" xr:uid="{29825F0B-1268-4E40-BEA7-69D6CAFEF0D6}"/>
    <cellStyle name="40% - Accent3 3 2 3 2 5" xfId="4641" xr:uid="{6B9596E3-5772-409A-80F0-E70E375E2380}"/>
    <cellStyle name="40% - Accent3 3 2 3 3" xfId="2344" xr:uid="{456EB8CF-1737-4B10-A89C-B4A7BC79EA13}"/>
    <cellStyle name="40% - Accent3 3 2 3 4" xfId="2995" xr:uid="{4C113F8C-031F-4061-B484-9F2CC9B9D242}"/>
    <cellStyle name="40% - Accent3 3 2 3 5" xfId="3651" xr:uid="{D8371F28-06D5-47B5-9A07-5C2A8D6D80B4}"/>
    <cellStyle name="40% - Accent3 3 2 3 6" xfId="4314" xr:uid="{2C541F60-1475-4ED5-B95A-4BC3CE0522A6}"/>
    <cellStyle name="40% - Accent3 3 2 3 7" xfId="1281" xr:uid="{BB382E39-02DE-4A2A-90F8-3A20A6552530}"/>
    <cellStyle name="40% - Accent3 3 2 4" xfId="1396" xr:uid="{049BC10D-EF47-456B-ABDA-5ECB0044389A}"/>
    <cellStyle name="40% - Accent3 3 2 4 2" xfId="2455" xr:uid="{4FF70105-F1D7-4545-A3E0-177B24FF4550}"/>
    <cellStyle name="40% - Accent3 3 2 4 3" xfId="3106" xr:uid="{67DCAB10-EB4A-474D-91E7-D9C85F9E6076}"/>
    <cellStyle name="40% - Accent3 3 2 4 4" xfId="3762" xr:uid="{4C4C3849-1982-425E-9698-853EE23922D0}"/>
    <cellStyle name="40% - Accent3 3 2 4 5" xfId="4425" xr:uid="{358F9416-3691-4140-B261-E7ED8853135F}"/>
    <cellStyle name="40% - Accent3 3 2 5" xfId="1776" xr:uid="{4277F5E6-E6E8-4C88-9BB2-B43B218ECC3F}"/>
    <cellStyle name="40% - Accent3 3 2 6" xfId="2128" xr:uid="{8AA17228-805D-461D-B917-66F41ECC864C}"/>
    <cellStyle name="40% - Accent3 3 2 7" xfId="2779" xr:uid="{80A86B0B-374F-4204-BC95-96042DF50AD2}"/>
    <cellStyle name="40% - Accent3 3 2 8" xfId="3435" xr:uid="{82B1474C-3A80-4D6A-8A5D-226CF570A088}"/>
    <cellStyle name="40% - Accent3 3 2 9" xfId="4098" xr:uid="{FEAEA688-D70F-4F37-9939-81DEAD855DDE}"/>
    <cellStyle name="40% - Accent3 3 3" xfId="420" xr:uid="{7789DBB7-E18F-4D95-AE84-02AC204EAFCE}"/>
    <cellStyle name="40% - Accent3 3 3 2" xfId="639" xr:uid="{6756FEDA-4FF7-415C-AB34-27B4F1AC0662}"/>
    <cellStyle name="40% - Accent3 3 3 2 2" xfId="2509" xr:uid="{186C7911-747B-4CED-895F-F6C8D8DC41FC}"/>
    <cellStyle name="40% - Accent3 3 3 2 3" xfId="3160" xr:uid="{9EC79827-F27F-4776-8788-2F6196D50900}"/>
    <cellStyle name="40% - Accent3 3 3 2 4" xfId="3816" xr:uid="{2E9E8088-6CCA-413E-83E2-4224169515DB}"/>
    <cellStyle name="40% - Accent3 3 3 2 5" xfId="4479" xr:uid="{5CDA2D29-98D1-421C-9B2D-68096BCD605E}"/>
    <cellStyle name="40% - Accent3 3 3 2 6" xfId="1450" xr:uid="{B24A14F6-E174-4661-BD08-EAAC2D528389}"/>
    <cellStyle name="40% - Accent3 3 3 3" xfId="2006" xr:uid="{C9956473-6ADA-4059-89B3-AB426A166A8C}"/>
    <cellStyle name="40% - Accent3 3 3 4" xfId="2182" xr:uid="{C2E69D78-3291-4962-935D-B8A968EBB817}"/>
    <cellStyle name="40% - Accent3 3 3 5" xfId="2833" xr:uid="{6C4D0BAD-F51F-4245-BEEF-CB8DAC1EE280}"/>
    <cellStyle name="40% - Accent3 3 3 6" xfId="3489" xr:uid="{FE7CF908-CD7D-4EE2-BB86-205C5BFE9B0C}"/>
    <cellStyle name="40% - Accent3 3 3 7" xfId="4152" xr:uid="{73F8ECA3-BA09-47AB-893D-F37DC05DEB25}"/>
    <cellStyle name="40% - Accent3 3 3 8" xfId="1113" xr:uid="{D26480C6-306C-4264-A5EA-AB249F83D83C}"/>
    <cellStyle name="40% - Accent3 3 4" xfId="529" xr:uid="{675DEE1F-33D5-401A-BF7B-89733ADF97CA}"/>
    <cellStyle name="40% - Accent3 3 4 2" xfId="1558" xr:uid="{4605745D-AFBA-4B05-834B-3260F58360F5}"/>
    <cellStyle name="40% - Accent3 3 4 2 2" xfId="2617" xr:uid="{3D182B4C-306D-486A-8A4A-8979FF697A5B}"/>
    <cellStyle name="40% - Accent3 3 4 2 3" xfId="3268" xr:uid="{A28A61B8-9704-47AA-BEC0-E306D9D83584}"/>
    <cellStyle name="40% - Accent3 3 4 2 4" xfId="3924" xr:uid="{F023979B-0807-4D38-9452-61B71101CF9C}"/>
    <cellStyle name="40% - Accent3 3 4 2 5" xfId="4587" xr:uid="{AC999109-0E2C-4BE7-B589-36DD411F0AC7}"/>
    <cellStyle name="40% - Accent3 3 4 3" xfId="2290" xr:uid="{053CFCED-EB18-4545-BB06-B336099098B2}"/>
    <cellStyle name="40% - Accent3 3 4 4" xfId="2941" xr:uid="{9A88CB39-ADDD-47CC-B2E0-65FE56E37E89}"/>
    <cellStyle name="40% - Accent3 3 4 5" xfId="3597" xr:uid="{F976AAD9-64B3-43E6-B06D-5D0BA520E0E8}"/>
    <cellStyle name="40% - Accent3 3 4 6" xfId="4260" xr:uid="{5D0B4FB6-32F1-4110-93DC-D936DF35BDD8}"/>
    <cellStyle name="40% - Accent3 3 4 7" xfId="1227" xr:uid="{8CC2C48C-6721-4639-B468-CB8EC63DE3BD}"/>
    <cellStyle name="40% - Accent3 3 5" xfId="299" xr:uid="{1952D54A-54DD-41E8-A377-3782B15EECAC}"/>
    <cellStyle name="40% - Accent3 3 5 2" xfId="2401" xr:uid="{19FEC735-8692-4FD2-BCE8-5AC9C213A2E1}"/>
    <cellStyle name="40% - Accent3 3 5 3" xfId="3052" xr:uid="{95207C1E-8DD6-4491-9CEC-43E93EBAA447}"/>
    <cellStyle name="40% - Accent3 3 5 4" xfId="3708" xr:uid="{90BA2481-B250-4132-98AB-DFC0F178B5D4}"/>
    <cellStyle name="40% - Accent3 3 5 5" xfId="4371" xr:uid="{688A0603-E272-47C1-A9CA-5148AEAB764D}"/>
    <cellStyle name="40% - Accent3 3 5 6" xfId="1342" xr:uid="{BBCE3C5F-5C13-4326-8217-25076735386B}"/>
    <cellStyle name="40% - Accent3 3 6" xfId="1923" xr:uid="{2843E396-9A92-4FEC-A916-8FF81E116EE2}"/>
    <cellStyle name="40% - Accent3 3 7" xfId="2074" xr:uid="{66FC745A-F959-40A5-A839-F3078A78CD72}"/>
    <cellStyle name="40% - Accent3 3 8" xfId="2725" xr:uid="{41ADDDCE-EB0C-42B6-BEE7-B2E793507109}"/>
    <cellStyle name="40% - Accent3 3 9" xfId="3380" xr:uid="{7736C36F-36FB-43A8-A4D9-44CCEAC591BB}"/>
    <cellStyle name="40% - Accent3 4" xfId="366" xr:uid="{85C3C121-08C3-4BF1-A376-6B4945D18E48}"/>
    <cellStyle name="40% - Accent3 4 10" xfId="1027" xr:uid="{AEA4BD62-CD03-4450-B898-59BFF2EB3E33}"/>
    <cellStyle name="40% - Accent3 4 2" xfId="482" xr:uid="{C8B1B7BB-A033-4740-87FD-A408C477A196}"/>
    <cellStyle name="40% - Accent3 4 2 2" xfId="701" xr:uid="{77DC1D91-5905-4B41-B1D7-70C22CF6EC47}"/>
    <cellStyle name="40% - Accent3 4 2 2 2" xfId="2530" xr:uid="{AA7E3DFD-0057-4E0C-8E03-5AFB2AF33EF2}"/>
    <cellStyle name="40% - Accent3 4 2 2 3" xfId="3181" xr:uid="{1FAD91E6-90D4-45F0-B4DB-1B581ED56FC6}"/>
    <cellStyle name="40% - Accent3 4 2 2 4" xfId="3837" xr:uid="{830225CB-D666-4F24-981B-F9D479007F81}"/>
    <cellStyle name="40% - Accent3 4 2 2 5" xfId="4500" xr:uid="{3AE01D3A-ACD8-4AA7-A3B5-5BEDD53C2218}"/>
    <cellStyle name="40% - Accent3 4 2 2 6" xfId="1471" xr:uid="{6A0BA129-818D-4A6C-9B03-041BE13D3FA1}"/>
    <cellStyle name="40% - Accent3 4 2 3" xfId="1856" xr:uid="{14D3428B-F4F8-4285-9C30-0412866654FF}"/>
    <cellStyle name="40% - Accent3 4 2 4" xfId="2203" xr:uid="{8E2734D8-5B60-469D-A7A8-F9938709DB27}"/>
    <cellStyle name="40% - Accent3 4 2 5" xfId="2854" xr:uid="{C8A86A3E-192F-4BEB-987E-B53F2E7D4B01}"/>
    <cellStyle name="40% - Accent3 4 2 6" xfId="3510" xr:uid="{7BA8C578-AB3F-47AC-9D1B-6B962005E21E}"/>
    <cellStyle name="40% - Accent3 4 2 7" xfId="4173" xr:uid="{A7B81336-51C2-4403-87D7-2F227168443C}"/>
    <cellStyle name="40% - Accent3 4 2 8" xfId="1134" xr:uid="{5C6EB46B-7588-4B53-893E-FE3D3E75CAF4}"/>
    <cellStyle name="40% - Accent3 4 3" xfId="591" xr:uid="{7D595112-247C-4EDE-BC57-43B26722E90B}"/>
    <cellStyle name="40% - Accent3 4 3 2" xfId="1579" xr:uid="{0D8B97B2-4F61-425A-A559-745F7ABD956A}"/>
    <cellStyle name="40% - Accent3 4 3 2 2" xfId="2638" xr:uid="{60C7403D-72D5-4FC9-A8FA-19C0EA952E32}"/>
    <cellStyle name="40% - Accent3 4 3 2 3" xfId="3289" xr:uid="{160B9657-5702-495E-B090-F9D90160E970}"/>
    <cellStyle name="40% - Accent3 4 3 2 4" xfId="3945" xr:uid="{793C0CD4-E09C-4F7D-B209-9553FFFBC1F4}"/>
    <cellStyle name="40% - Accent3 4 3 2 5" xfId="4608" xr:uid="{60E3C25C-D914-4ADD-BE8F-122A791146E7}"/>
    <cellStyle name="40% - Accent3 4 3 3" xfId="2311" xr:uid="{A139B010-FAD2-4D13-9728-A87248663D89}"/>
    <cellStyle name="40% - Accent3 4 3 4" xfId="2962" xr:uid="{D3A92A1E-DBCD-4CEF-96ED-0C6718CFFF74}"/>
    <cellStyle name="40% - Accent3 4 3 5" xfId="3618" xr:uid="{AFEF8A6E-21C8-45EA-9E51-4FED68D23172}"/>
    <cellStyle name="40% - Accent3 4 3 6" xfId="4281" xr:uid="{5034526D-1185-4C7B-9B0F-BD8F0B3B7642}"/>
    <cellStyle name="40% - Accent3 4 3 7" xfId="1248" xr:uid="{37D1873F-E9EE-4B8C-90BD-2A0C0C89E1CC}"/>
    <cellStyle name="40% - Accent3 4 4" xfId="1363" xr:uid="{ADE28666-F7B5-4691-AC7C-7F79AD020813}"/>
    <cellStyle name="40% - Accent3 4 4 2" xfId="2422" xr:uid="{48DB1A26-77EF-4EE1-A5D6-2EAB4344D982}"/>
    <cellStyle name="40% - Accent3 4 4 3" xfId="3073" xr:uid="{2448B04C-4355-469B-A715-9EFD1DC4BE42}"/>
    <cellStyle name="40% - Accent3 4 4 4" xfId="3729" xr:uid="{EC5DDF9B-AADB-448D-AE85-95EDF0D6506C}"/>
    <cellStyle name="40% - Accent3 4 4 5" xfId="4392" xr:uid="{1BB370F7-938E-4CC7-A0FD-49C5858CF95A}"/>
    <cellStyle name="40% - Accent3 4 5" xfId="1867" xr:uid="{90529E5C-810C-4EC5-BD6E-7F451A4D5CB6}"/>
    <cellStyle name="40% - Accent3 4 6" xfId="2095" xr:uid="{A9E9CEB7-B8BF-4687-8547-008BD779DAF2}"/>
    <cellStyle name="40% - Accent3 4 7" xfId="2746" xr:uid="{4752B6E4-0E84-43B0-A8F8-18846EA6B48F}"/>
    <cellStyle name="40% - Accent3 4 8" xfId="3402" xr:uid="{CA49332A-BC30-4CEA-8F7D-7B4AE9C2FB8A}"/>
    <cellStyle name="40% - Accent3 4 9" xfId="4065" xr:uid="{2ADF492E-E649-4ABA-8451-DC11F5024BED}"/>
    <cellStyle name="40% - Accent3 5" xfId="323" xr:uid="{CF8183E7-CF79-4EEC-BBCD-DB2F33BB8A30}"/>
    <cellStyle name="40% - Accent3 5 10" xfId="1078" xr:uid="{6DFCA471-5AA0-471E-9B57-94574FA8373A}"/>
    <cellStyle name="40% - Accent3 5 2" xfId="444" xr:uid="{D935451B-6531-49CA-B0B9-A231C47B4517}"/>
    <cellStyle name="40% - Accent3 5 2 2" xfId="663" xr:uid="{B2EDD503-8A82-471D-873B-3BA9CA2DFEC9}"/>
    <cellStyle name="40% - Accent3 5 2 2 2" xfId="2474" xr:uid="{9602A52C-7002-4216-88AD-8508A0C67C8A}"/>
    <cellStyle name="40% - Accent3 5 2 3" xfId="3125" xr:uid="{2E8298A7-5E96-4057-B538-82E941C5E043}"/>
    <cellStyle name="40% - Accent3 5 2 4" xfId="3781" xr:uid="{AFA72D57-127D-43D5-834A-9E973022E0DE}"/>
    <cellStyle name="40% - Accent3 5 2 5" xfId="4444" xr:uid="{ADC9C42E-BB05-47FC-9735-9C359BDD2562}"/>
    <cellStyle name="40% - Accent3 5 2 6" xfId="1415" xr:uid="{50A37132-9625-4D41-9A22-B77D39BEA6F8}"/>
    <cellStyle name="40% - Accent3 5 3" xfId="553" xr:uid="{015A8369-A758-4E74-AA0F-88031C88750B}"/>
    <cellStyle name="40% - Accent3 5 3 2" xfId="1954" xr:uid="{D4D60D68-D931-4273-A7BC-6CDB90CB5EFE}"/>
    <cellStyle name="40% - Accent3 5 4" xfId="2147" xr:uid="{AC804440-55E9-42AC-A6E6-24E768F9B47F}"/>
    <cellStyle name="40% - Accent3 5 5" xfId="2798" xr:uid="{76950658-D008-4CF2-9619-65429604D829}"/>
    <cellStyle name="40% - Accent3 5 6" xfId="3454" xr:uid="{435A3568-12D0-43CF-9DB9-F02A91227AE6}"/>
    <cellStyle name="40% - Accent3 5 7" xfId="4117" xr:uid="{4C1B7DB5-9E47-4BA6-9199-563FF7AC81AA}"/>
    <cellStyle name="40% - Accent3 5 8" xfId="1820" xr:uid="{D02105C6-4F9A-4F8F-B9B5-B3CCFC24175A}"/>
    <cellStyle name="40% - Accent3 5 9" xfId="1668" xr:uid="{177197B0-D460-425F-8383-C206FFE3D3AC}"/>
    <cellStyle name="40% - Accent3 6" xfId="397" xr:uid="{3BD7B921-1D9C-43FF-9D04-E73371B9C723}"/>
    <cellStyle name="40% - Accent3 6 2" xfId="617" xr:uid="{B9330A78-ADC9-431E-903F-15C3F9782622}"/>
    <cellStyle name="40% - Accent3 6 2 2" xfId="2582" xr:uid="{55B6580B-0B43-467B-9449-A61CB2FACE8E}"/>
    <cellStyle name="40% - Accent3 6 2 3" xfId="3233" xr:uid="{81DB7940-A59A-4B5E-824A-1A007F269D52}"/>
    <cellStyle name="40% - Accent3 6 2 4" xfId="3889" xr:uid="{A9475749-16E6-4C35-BD4F-B66BF315AA53}"/>
    <cellStyle name="40% - Accent3 6 2 5" xfId="4552" xr:uid="{2C259B1F-4F0D-44F1-A362-80C8A74A468D}"/>
    <cellStyle name="40% - Accent3 6 2 6" xfId="1523" xr:uid="{430F671E-1A72-4E0E-8915-4FB83D30B4E0}"/>
    <cellStyle name="40% - Accent3 6 3" xfId="2255" xr:uid="{04879D2E-E50E-4B9D-8FAC-4CD5AEFF83CA}"/>
    <cellStyle name="40% - Accent3 6 4" xfId="2906" xr:uid="{28CC2464-E0CC-4BC2-90E2-D7CFC5A7CBF7}"/>
    <cellStyle name="40% - Accent3 6 5" xfId="3562" xr:uid="{828E406C-E15E-4E0C-87E3-006D56587720}"/>
    <cellStyle name="40% - Accent3 6 6" xfId="4225" xr:uid="{108452DD-7503-4E5E-A143-9F40DFDADF6C}"/>
    <cellStyle name="40% - Accent3 6 7" xfId="1192" xr:uid="{456D266A-87DE-4A04-9E63-8DC2C2194363}"/>
    <cellStyle name="40% - Accent3 7" xfId="507" xr:uid="{835AAA8F-04C0-4715-8291-1B1F4F41398B}"/>
    <cellStyle name="40% - Accent3 7 2" xfId="2366" xr:uid="{9BE43712-F80D-4569-A72D-BAE6B72F9C39}"/>
    <cellStyle name="40% - Accent3 7 3" xfId="3017" xr:uid="{CC744324-4BF4-4D25-8B71-B595434DEBA3}"/>
    <cellStyle name="40% - Accent3 7 4" xfId="3673" xr:uid="{A27CD274-0B88-4F16-A42E-316FB4C198E1}"/>
    <cellStyle name="40% - Accent3 7 5" xfId="4336" xr:uid="{84839BBB-E434-4E25-A2A0-D3ACF119EEF9}"/>
    <cellStyle name="40% - Accent3 7 6" xfId="1302" xr:uid="{7E1EFE5B-4981-4E34-A279-C78D31FD587F}"/>
    <cellStyle name="40% - Accent3 8" xfId="275" xr:uid="{EC22449D-0BC5-456E-84BA-B99DFB3D6E42}"/>
    <cellStyle name="40% - Accent3 8 2" xfId="1934" xr:uid="{2BCF41C2-B684-4513-9369-FC3513FF63E2}"/>
    <cellStyle name="40% - Accent3 9" xfId="2039" xr:uid="{97FAAD22-D9D2-443C-AAE0-5BEE04BD00B8}"/>
    <cellStyle name="40% - Accent4" xfId="34" builtinId="43" customBuiltin="1"/>
    <cellStyle name="40% - Accent4 10" xfId="2692" xr:uid="{111774F0-FEF4-4BDB-9C88-A4BBA61DACA2}"/>
    <cellStyle name="40% - Accent4 11" xfId="3346" xr:uid="{3DAB6C4B-118F-477A-B87D-7193CB76382D}"/>
    <cellStyle name="40% - Accent4 12" xfId="4011" xr:uid="{7FFFF608-A752-4252-B2A6-88064611C8A5}"/>
    <cellStyle name="40% - Accent4 13" xfId="730" xr:uid="{0A681B03-2658-48B7-8054-1E95CB897C51}"/>
    <cellStyle name="40% - Accent4 14" xfId="158" xr:uid="{BD1E193D-B3DE-43E9-B142-C7C1EA3485C2}"/>
    <cellStyle name="40% - Accent4 2" xfId="83" xr:uid="{86C39504-43C3-4CE8-85D3-3CE94A38F5D1}"/>
    <cellStyle name="40% - Accent4 2 10" xfId="4031" xr:uid="{5E8CAA18-4A1B-498D-B7BB-25F4F3C93CBD}"/>
    <cellStyle name="40% - Accent4 2 11" xfId="745" xr:uid="{629818E0-AD82-4CC5-AF88-75D13A50C274}"/>
    <cellStyle name="40% - Accent4 2 12" xfId="176" xr:uid="{8825D4CF-9B3F-4C41-9FAE-0F5432C35A55}"/>
    <cellStyle name="40% - Accent4 2 2" xfId="1047" xr:uid="{8A9DD179-1F87-4DD4-B481-85D27522EB05}"/>
    <cellStyle name="40% - Accent4 2 2 2" xfId="1154" xr:uid="{84C7B5CB-3C79-4896-BAE4-E97439AA36DB}"/>
    <cellStyle name="40% - Accent4 2 2 2 2" xfId="1491" xr:uid="{B3240B30-332B-4574-AAD3-E9987AE40505}"/>
    <cellStyle name="40% - Accent4 2 2 2 2 2" xfId="2550" xr:uid="{BC58DBAF-8C21-4CC3-AC63-966DA98292F1}"/>
    <cellStyle name="40% - Accent4 2 2 2 2 3" xfId="3201" xr:uid="{C3B2918C-4E4F-4A76-8FC0-BEC9AE3B978C}"/>
    <cellStyle name="40% - Accent4 2 2 2 2 4" xfId="3857" xr:uid="{31ABF915-7E76-4B99-9481-E08E7910319A}"/>
    <cellStyle name="40% - Accent4 2 2 2 2 5" xfId="4520" xr:uid="{0820AD42-4E7A-48EE-BE96-CFFD08ACF260}"/>
    <cellStyle name="40% - Accent4 2 2 2 3" xfId="1942" xr:uid="{7C2CFF1D-A760-47C9-966D-181915D8311F}"/>
    <cellStyle name="40% - Accent4 2 2 2 4" xfId="2223" xr:uid="{DAC21088-AC8B-4E98-A446-E5EC227A5CB0}"/>
    <cellStyle name="40% - Accent4 2 2 2 5" xfId="2874" xr:uid="{B362E706-CBEB-4E57-92DA-6C97AA2550E3}"/>
    <cellStyle name="40% - Accent4 2 2 2 6" xfId="3530" xr:uid="{98909954-A94C-41E7-A2A8-A2B24BAD746D}"/>
    <cellStyle name="40% - Accent4 2 2 2 7" xfId="4193" xr:uid="{446A4C9A-41A3-45C6-9FEB-44054934B8C2}"/>
    <cellStyle name="40% - Accent4 2 2 3" xfId="1268" xr:uid="{D77CBF7E-BFF2-4319-8BA0-9A41AA0A4E15}"/>
    <cellStyle name="40% - Accent4 2 2 3 2" xfId="1599" xr:uid="{2A49A1D5-65E9-4630-8A42-353071D06E91}"/>
    <cellStyle name="40% - Accent4 2 2 3 2 2" xfId="2658" xr:uid="{208F72AE-6A07-44A7-BDF6-83C0FFF4730E}"/>
    <cellStyle name="40% - Accent4 2 2 3 2 3" xfId="3309" xr:uid="{73B4DEA3-6D63-495E-BFD2-577A1EA5008E}"/>
    <cellStyle name="40% - Accent4 2 2 3 2 4" xfId="3965" xr:uid="{F0778CD8-719B-4744-8AB9-B6B67481399C}"/>
    <cellStyle name="40% - Accent4 2 2 3 2 5" xfId="4628" xr:uid="{8887D588-9ED8-4BE7-943E-7A49E85ABC90}"/>
    <cellStyle name="40% - Accent4 2 2 3 3" xfId="2331" xr:uid="{84C0F9A6-BFE5-4683-A0AA-4F4860E6B80E}"/>
    <cellStyle name="40% - Accent4 2 2 3 4" xfId="2982" xr:uid="{3245979F-E390-48EC-A7D5-B221C5ED3E25}"/>
    <cellStyle name="40% - Accent4 2 2 3 5" xfId="3638" xr:uid="{DB5DC3B4-7332-4824-9797-BF56AE437F14}"/>
    <cellStyle name="40% - Accent4 2 2 3 6" xfId="4301" xr:uid="{E4742027-E97C-48A2-BBF5-16BA739855F2}"/>
    <cellStyle name="40% - Accent4 2 2 4" xfId="1383" xr:uid="{662A6982-126A-4B04-B5AC-F3B09B269DFA}"/>
    <cellStyle name="40% - Accent4 2 2 4 2" xfId="2442" xr:uid="{BBF441CA-0927-4B36-8440-5C4F52A91C7A}"/>
    <cellStyle name="40% - Accent4 2 2 4 3" xfId="3093" xr:uid="{F784DAD9-117B-472D-BA4B-EE522E97E21E}"/>
    <cellStyle name="40% - Accent4 2 2 4 4" xfId="3749" xr:uid="{D93C32B3-B0B2-49AC-B181-B464FBFE6826}"/>
    <cellStyle name="40% - Accent4 2 2 4 5" xfId="4412" xr:uid="{F4142F58-E7FE-4E24-A0B0-E3D9BFBFDBEA}"/>
    <cellStyle name="40% - Accent4 2 2 5" xfId="1887" xr:uid="{E05F0356-AE88-4382-99E0-2AA14B0531DC}"/>
    <cellStyle name="40% - Accent4 2 2 6" xfId="2115" xr:uid="{BE32EA42-2618-4ED9-A027-F4BA25D01B6F}"/>
    <cellStyle name="40% - Accent4 2 2 7" xfId="2766" xr:uid="{819726CA-FFD7-462C-B7A9-404F0993A14B}"/>
    <cellStyle name="40% - Accent4 2 2 8" xfId="3422" xr:uid="{E7CDD020-6A72-4B2B-A39F-E57E6CAA4D02}"/>
    <cellStyle name="40% - Accent4 2 2 9" xfId="4085" xr:uid="{EB427E93-A441-4A96-95CC-2F62A9096905}"/>
    <cellStyle name="40% - Accent4 2 3" xfId="1100" xr:uid="{EF11EBDA-6664-41CB-BD5D-7DFF24D985CD}"/>
    <cellStyle name="40% - Accent4 2 3 2" xfId="1437" xr:uid="{BA8FB575-21EC-4E35-A04C-FF3341C72A44}"/>
    <cellStyle name="40% - Accent4 2 3 2 2" xfId="2496" xr:uid="{73A147AC-4C27-48AF-A934-2F3D5A7F2558}"/>
    <cellStyle name="40% - Accent4 2 3 2 3" xfId="3147" xr:uid="{1FA51CDF-DC25-4030-98EB-427D058CFAFE}"/>
    <cellStyle name="40% - Accent4 2 3 2 4" xfId="3803" xr:uid="{277AA7A3-1726-4C53-BE78-84350148DDA4}"/>
    <cellStyle name="40% - Accent4 2 3 2 5" xfId="4466" xr:uid="{34099876-1080-4759-942D-3EB7314A9526}"/>
    <cellStyle name="40% - Accent4 2 3 3" xfId="1788" xr:uid="{F122A0C1-5ACB-473D-A6F1-88A3DE93345A}"/>
    <cellStyle name="40% - Accent4 2 3 4" xfId="2169" xr:uid="{98043C48-4B1A-4E2D-AC57-AA44A1CCA97E}"/>
    <cellStyle name="40% - Accent4 2 3 5" xfId="2820" xr:uid="{B3D3E10A-60C1-434B-9FA6-493E6F7C91C7}"/>
    <cellStyle name="40% - Accent4 2 3 6" xfId="3476" xr:uid="{89D52A52-05C7-4619-B229-8B0E4C58ED51}"/>
    <cellStyle name="40% - Accent4 2 3 7" xfId="4139" xr:uid="{AB9F735C-330C-4B38-98A5-B478EA11D10D}"/>
    <cellStyle name="40% - Accent4 2 4" xfId="1214" xr:uid="{6D3AC7B0-D288-4807-B974-115670927344}"/>
    <cellStyle name="40% - Accent4 2 4 2" xfId="1545" xr:uid="{4E3EB97B-2BEB-4019-B7C7-1D4FE01EA4A7}"/>
    <cellStyle name="40% - Accent4 2 4 2 2" xfId="2604" xr:uid="{49180E77-B6B0-4A54-8493-702659560B6B}"/>
    <cellStyle name="40% - Accent4 2 4 2 3" xfId="3255" xr:uid="{2BC48D5B-6A46-43EF-9831-900D355286B9}"/>
    <cellStyle name="40% - Accent4 2 4 2 4" xfId="3911" xr:uid="{15EC76F9-A51A-4329-9F86-685416973798}"/>
    <cellStyle name="40% - Accent4 2 4 2 5" xfId="4574" xr:uid="{A75E819C-023D-4F4F-A946-E450FE1EE2D1}"/>
    <cellStyle name="40% - Accent4 2 4 3" xfId="2277" xr:uid="{3384CE7C-FC4B-4D41-AF05-BF15FB1F9945}"/>
    <cellStyle name="40% - Accent4 2 4 4" xfId="2928" xr:uid="{ACA39FBE-E885-4097-A6B1-3232C4882DAC}"/>
    <cellStyle name="40% - Accent4 2 4 5" xfId="3584" xr:uid="{11A0660A-9761-4AE6-B722-330AC88E0DFA}"/>
    <cellStyle name="40% - Accent4 2 4 6" xfId="4247" xr:uid="{3923383E-1464-49D1-87A4-8AF52F55D5E4}"/>
    <cellStyle name="40% - Accent4 2 5" xfId="1329" xr:uid="{D8A3150B-55FE-4746-A5B8-DBC67939189D}"/>
    <cellStyle name="40% - Accent4 2 5 2" xfId="2388" xr:uid="{4625603B-A5CA-44FD-BAD1-AFA34621527D}"/>
    <cellStyle name="40% - Accent4 2 5 3" xfId="3039" xr:uid="{01CDFB7D-1357-44C1-8AAA-5CAFC750E14D}"/>
    <cellStyle name="40% - Accent4 2 5 4" xfId="3695" xr:uid="{995B79FF-414E-4BA2-8683-2A6C0DA737FD}"/>
    <cellStyle name="40% - Accent4 2 5 5" xfId="4358" xr:uid="{B23363FB-6FC3-442E-BC30-01157BFA0396}"/>
    <cellStyle name="40% - Accent4 2 6" xfId="1956" xr:uid="{CB865EF7-7ED0-42B4-B613-39620F4F8790}"/>
    <cellStyle name="40% - Accent4 2 7" xfId="2061" xr:uid="{DF7D5EFD-8E38-47A5-84B3-E8CB9FE42DFC}"/>
    <cellStyle name="40% - Accent4 2 8" xfId="2712" xr:uid="{26BB8021-A7EC-4792-88F1-8DC25CCE3BD4}"/>
    <cellStyle name="40% - Accent4 2 9" xfId="3367" xr:uid="{2907E1E7-3C9C-40F9-B835-A9AC46D05512}"/>
    <cellStyle name="40% - Accent4 3" xfId="253" xr:uid="{A2E1E9D8-46E6-4258-AEB1-C6507C179DAF}"/>
    <cellStyle name="40% - Accent4 3 10" xfId="4046" xr:uid="{CFBD53E0-6FF1-4B85-9322-7169F45057F1}"/>
    <cellStyle name="40% - Accent4 3 11" xfId="1807" xr:uid="{EDDBBBAE-9AF2-4BDB-95C4-B287B48A8B3D}"/>
    <cellStyle name="40% - Accent4 3 12" xfId="1711" xr:uid="{AB17343F-8073-406E-8B25-389BBB10AF21}"/>
    <cellStyle name="40% - Accent4 3 13" xfId="998" xr:uid="{1EB6532B-C463-425D-BCA9-FB7781DAC2EA}"/>
    <cellStyle name="40% - Accent4 3 2" xfId="349" xr:uid="{BA36B6A8-4B03-444F-B3A2-D80DE2CF7871}"/>
    <cellStyle name="40% - Accent4 3 2 10" xfId="1062" xr:uid="{657C8B0A-C8D9-4C07-9C33-37C5B2744C80}"/>
    <cellStyle name="40% - Accent4 3 2 2" xfId="465" xr:uid="{340717BC-326B-4FDA-8798-5FB6430C878E}"/>
    <cellStyle name="40% - Accent4 3 2 2 2" xfId="684" xr:uid="{C621C6D7-8032-40EE-B360-480104D53491}"/>
    <cellStyle name="40% - Accent4 3 2 2 2 2" xfId="2565" xr:uid="{A625C677-0AA5-4007-8A59-A319845FE82A}"/>
    <cellStyle name="40% - Accent4 3 2 2 2 3" xfId="3216" xr:uid="{BCC6DE8B-0B2E-4A50-BE6D-D5CABC944F9A}"/>
    <cellStyle name="40% - Accent4 3 2 2 2 4" xfId="3872" xr:uid="{BC0C3E7E-5F34-4A6B-9463-DB52581AE21B}"/>
    <cellStyle name="40% - Accent4 3 2 2 2 5" xfId="4535" xr:uid="{EC3DE8D7-732D-4A22-82E0-961B235FE2CA}"/>
    <cellStyle name="40% - Accent4 3 2 2 2 6" xfId="1506" xr:uid="{D4827A83-51F0-444A-BEDC-CEE47ECC6895}"/>
    <cellStyle name="40% - Accent4 3 2 2 3" xfId="1863" xr:uid="{1B87A8E5-F484-4278-A005-C594580D9504}"/>
    <cellStyle name="40% - Accent4 3 2 2 4" xfId="2238" xr:uid="{9138F11B-7C23-4442-A4A7-2C310DFF8A37}"/>
    <cellStyle name="40% - Accent4 3 2 2 5" xfId="2889" xr:uid="{D922610C-B0D0-4ECE-A369-805D263A714D}"/>
    <cellStyle name="40% - Accent4 3 2 2 6" xfId="3545" xr:uid="{D6986642-FBB0-4E5D-AA95-0DE19C203DEA}"/>
    <cellStyle name="40% - Accent4 3 2 2 7" xfId="4208" xr:uid="{E6C20DDF-D604-437F-8E52-0D5C65B848D5}"/>
    <cellStyle name="40% - Accent4 3 2 2 8" xfId="1169" xr:uid="{6DAE7CF5-74D1-46DA-A9A9-A8929079E1FF}"/>
    <cellStyle name="40% - Accent4 3 2 3" xfId="574" xr:uid="{9DA4F388-305A-45B2-8148-3A2BCE0DBD49}"/>
    <cellStyle name="40% - Accent4 3 2 3 2" xfId="1614" xr:uid="{D561FC6A-FB2B-406F-BFE6-5787BACF21E5}"/>
    <cellStyle name="40% - Accent4 3 2 3 2 2" xfId="2673" xr:uid="{0DBB481D-D57E-484C-A5E5-547E7E4E2229}"/>
    <cellStyle name="40% - Accent4 3 2 3 2 3" xfId="3324" xr:uid="{DC2D7B93-E7CD-41A2-A59E-CD8C7060F04C}"/>
    <cellStyle name="40% - Accent4 3 2 3 2 4" xfId="3980" xr:uid="{206D51CE-A5A1-4554-8E06-2C7682525C29}"/>
    <cellStyle name="40% - Accent4 3 2 3 2 5" xfId="4643" xr:uid="{07B36743-FE54-482B-94B4-BA149A006002}"/>
    <cellStyle name="40% - Accent4 3 2 3 3" xfId="2346" xr:uid="{8CB4321D-7F44-4DB4-BD4A-1229BD52E8FB}"/>
    <cellStyle name="40% - Accent4 3 2 3 4" xfId="2997" xr:uid="{F6FD0133-561E-4CC3-8789-87C7B6744C35}"/>
    <cellStyle name="40% - Accent4 3 2 3 5" xfId="3653" xr:uid="{3DA2796F-0F9E-4E02-8224-4A804E02A1DF}"/>
    <cellStyle name="40% - Accent4 3 2 3 6" xfId="4316" xr:uid="{9E9A54E6-B699-40A9-88F2-EADDECAA5B92}"/>
    <cellStyle name="40% - Accent4 3 2 3 7" xfId="1283" xr:uid="{8F64F969-54BA-48F1-98D4-10F0122CC28C}"/>
    <cellStyle name="40% - Accent4 3 2 4" xfId="1398" xr:uid="{6AF94872-F71E-49BC-8266-DFF4EECED747}"/>
    <cellStyle name="40% - Accent4 3 2 4 2" xfId="2457" xr:uid="{52A49476-D747-4581-A174-A80D0900ED13}"/>
    <cellStyle name="40% - Accent4 3 2 4 3" xfId="3108" xr:uid="{F9EA5368-1148-488B-B7D6-FCF4685680C9}"/>
    <cellStyle name="40% - Accent4 3 2 4 4" xfId="3764" xr:uid="{AFB19029-D102-49D1-9969-634BD482F440}"/>
    <cellStyle name="40% - Accent4 3 2 4 5" xfId="4427" xr:uid="{43477058-3BC7-4491-80EB-163354BED5EC}"/>
    <cellStyle name="40% - Accent4 3 2 5" xfId="1983" xr:uid="{BBBD5BF9-3393-4993-B1BA-F19B3549918B}"/>
    <cellStyle name="40% - Accent4 3 2 6" xfId="2130" xr:uid="{5105A8CF-7AC1-4531-A1E6-4BB95D19780D}"/>
    <cellStyle name="40% - Accent4 3 2 7" xfId="2781" xr:uid="{D45BFDD4-4923-4D1D-9273-0CAAA02514F3}"/>
    <cellStyle name="40% - Accent4 3 2 8" xfId="3437" xr:uid="{D83FDCAE-AC57-4496-B3B0-F618D5693EE4}"/>
    <cellStyle name="40% - Accent4 3 2 9" xfId="4100" xr:uid="{7B668FB0-CC51-4E8C-BD77-97FDF632FD43}"/>
    <cellStyle name="40% - Accent4 3 3" xfId="422" xr:uid="{82785EB4-C7E7-46B8-8D0B-014242BD40EB}"/>
    <cellStyle name="40% - Accent4 3 3 2" xfId="641" xr:uid="{BAF2A3C0-862B-45DD-B804-2DB22A615EEE}"/>
    <cellStyle name="40% - Accent4 3 3 2 2" xfId="2511" xr:uid="{23CD9E7B-BAD6-48BC-A584-FE8C2559B2CE}"/>
    <cellStyle name="40% - Accent4 3 3 2 3" xfId="3162" xr:uid="{A81434D4-1A1E-4D81-A926-99558F010A28}"/>
    <cellStyle name="40% - Accent4 3 3 2 4" xfId="3818" xr:uid="{567ADBCF-BA20-4AA3-8F33-CFD59295F9D6}"/>
    <cellStyle name="40% - Accent4 3 3 2 5" xfId="4481" xr:uid="{434BC2AF-DD8B-4208-9830-29171212BDBB}"/>
    <cellStyle name="40% - Accent4 3 3 2 6" xfId="1452" xr:uid="{2F438B7D-4C4B-4228-B170-D203DD8793D8}"/>
    <cellStyle name="40% - Accent4 3 3 3" xfId="1971" xr:uid="{84B5F8DD-AFD5-4640-BC93-D7D8A942FDA9}"/>
    <cellStyle name="40% - Accent4 3 3 4" xfId="2184" xr:uid="{F9A55C51-4632-40BB-8BC3-8282C85C7C65}"/>
    <cellStyle name="40% - Accent4 3 3 5" xfId="2835" xr:uid="{B9DB77A4-8C99-4D49-9AA4-DB41107D410B}"/>
    <cellStyle name="40% - Accent4 3 3 6" xfId="3491" xr:uid="{8FF259C9-1AEB-4B84-95FA-C6126C2AB859}"/>
    <cellStyle name="40% - Accent4 3 3 7" xfId="4154" xr:uid="{1AB5E813-AE58-4290-9D31-B6D65D722540}"/>
    <cellStyle name="40% - Accent4 3 3 8" xfId="1115" xr:uid="{10F3F8B0-15B5-463E-B6D2-C0C47B644FF2}"/>
    <cellStyle name="40% - Accent4 3 4" xfId="531" xr:uid="{B70154B6-1DB5-4002-B472-5E5AA5BFA11F}"/>
    <cellStyle name="40% - Accent4 3 4 2" xfId="1560" xr:uid="{96AB3481-67EB-4226-A6BA-FB446A24A657}"/>
    <cellStyle name="40% - Accent4 3 4 2 2" xfId="2619" xr:uid="{00ECD15F-7CBE-4993-9684-CEB6B7FE1DB3}"/>
    <cellStyle name="40% - Accent4 3 4 2 3" xfId="3270" xr:uid="{968EA87A-9486-4127-A31F-578EBE05C239}"/>
    <cellStyle name="40% - Accent4 3 4 2 4" xfId="3926" xr:uid="{DE64967A-DCBD-452D-8E75-ADDD15FC42AD}"/>
    <cellStyle name="40% - Accent4 3 4 2 5" xfId="4589" xr:uid="{677419B2-311D-467B-A7C7-FF522FEEFB5C}"/>
    <cellStyle name="40% - Accent4 3 4 3" xfId="2292" xr:uid="{CC917717-8821-4AC5-8581-FF0AD41868F5}"/>
    <cellStyle name="40% - Accent4 3 4 4" xfId="2943" xr:uid="{0703D51D-55DD-4CED-B348-9C87174E89F0}"/>
    <cellStyle name="40% - Accent4 3 4 5" xfId="3599" xr:uid="{55F1BD0D-48EE-4008-B665-939C0355A992}"/>
    <cellStyle name="40% - Accent4 3 4 6" xfId="4262" xr:uid="{485FF010-59D8-43B3-BEDA-EC2F11F663BA}"/>
    <cellStyle name="40% - Accent4 3 4 7" xfId="1229" xr:uid="{89CCB910-9D5B-488A-A375-99C8C756D261}"/>
    <cellStyle name="40% - Accent4 3 5" xfId="301" xr:uid="{187593DE-4EF1-4A32-8583-A923DCB6C723}"/>
    <cellStyle name="40% - Accent4 3 5 2" xfId="2403" xr:uid="{6768EC0E-5DDC-4C51-8981-3B269B0AD14E}"/>
    <cellStyle name="40% - Accent4 3 5 3" xfId="3054" xr:uid="{9E386362-A9C6-4464-B021-DED11D9F8930}"/>
    <cellStyle name="40% - Accent4 3 5 4" xfId="3710" xr:uid="{B4833A18-CE42-4112-96A2-A025A545D73F}"/>
    <cellStyle name="40% - Accent4 3 5 5" xfId="4373" xr:uid="{E1941019-2BAB-4701-8A3D-E40FCB75D2CC}"/>
    <cellStyle name="40% - Accent4 3 5 6" xfId="1344" xr:uid="{9C8DFBF3-9F0F-4E5F-905B-BAB7A056E7BA}"/>
    <cellStyle name="40% - Accent4 3 6" xfId="1881" xr:uid="{C0772398-ABA6-4564-B50C-B004B226915B}"/>
    <cellStyle name="40% - Accent4 3 7" xfId="2076" xr:uid="{375FAA79-802A-457C-9BD9-8BF180351F03}"/>
    <cellStyle name="40% - Accent4 3 8" xfId="2727" xr:uid="{8593F84E-41CB-4F2A-ACF4-5E9220639D61}"/>
    <cellStyle name="40% - Accent4 3 9" xfId="3382" xr:uid="{E7D78D1B-76B4-4C70-8DC0-8EC42A8C46BC}"/>
    <cellStyle name="40% - Accent4 4" xfId="369" xr:uid="{4A38DB11-9BFE-4276-8178-E5CE6A3F0A3B}"/>
    <cellStyle name="40% - Accent4 4 10" xfId="1029" xr:uid="{076A0CFC-6FAA-4EC8-936F-C9C94CF110D0}"/>
    <cellStyle name="40% - Accent4 4 2" xfId="484" xr:uid="{BCCE955A-8491-4D70-8E7C-EA1624F6647A}"/>
    <cellStyle name="40% - Accent4 4 2 2" xfId="703" xr:uid="{BDF5BB14-F601-4748-BD56-02F5E9C0DA0E}"/>
    <cellStyle name="40% - Accent4 4 2 2 2" xfId="2532" xr:uid="{7C854CF7-84C3-467F-884D-3C242871D4AF}"/>
    <cellStyle name="40% - Accent4 4 2 2 3" xfId="3183" xr:uid="{F68144A7-0137-453F-90FD-BAB718352EAA}"/>
    <cellStyle name="40% - Accent4 4 2 2 4" xfId="3839" xr:uid="{25AA1D46-72E6-47CC-83A6-8F6F10BE6F53}"/>
    <cellStyle name="40% - Accent4 4 2 2 5" xfId="4502" xr:uid="{4BDC6F13-707F-4D3E-998A-961CAE2E87CD}"/>
    <cellStyle name="40% - Accent4 4 2 2 6" xfId="1473" xr:uid="{7841A05E-692E-44B1-8340-E0745D6657E2}"/>
    <cellStyle name="40% - Accent4 4 2 3" xfId="2031" xr:uid="{4731BF36-B624-403C-A16B-1F7228DE8A24}"/>
    <cellStyle name="40% - Accent4 4 2 4" xfId="2205" xr:uid="{E2BA1736-81DB-4AD0-B5A2-8D36223FE7D8}"/>
    <cellStyle name="40% - Accent4 4 2 5" xfId="2856" xr:uid="{ECE9F703-31E8-4EF8-8EC6-15BBA2E07E42}"/>
    <cellStyle name="40% - Accent4 4 2 6" xfId="3512" xr:uid="{304BB154-5CF4-4A30-8D36-0752959DD866}"/>
    <cellStyle name="40% - Accent4 4 2 7" xfId="4175" xr:uid="{2A0283D4-35C6-4412-B08E-86F93EC0629F}"/>
    <cellStyle name="40% - Accent4 4 2 8" xfId="1136" xr:uid="{09D0CCAF-EB82-45BA-8EB4-AE1538860A87}"/>
    <cellStyle name="40% - Accent4 4 3" xfId="593" xr:uid="{069F6C73-531E-4202-A572-CB717D8D1DD8}"/>
    <cellStyle name="40% - Accent4 4 3 2" xfId="1581" xr:uid="{F79887DC-40E5-4911-A872-69E98E2118E3}"/>
    <cellStyle name="40% - Accent4 4 3 2 2" xfId="2640" xr:uid="{5C5BB5B3-170D-491D-BE73-02AE902EF66E}"/>
    <cellStyle name="40% - Accent4 4 3 2 3" xfId="3291" xr:uid="{30DA1A18-9218-4D43-80AD-0009D902B8C1}"/>
    <cellStyle name="40% - Accent4 4 3 2 4" xfId="3947" xr:uid="{276919D4-869D-4E03-B146-9990F4FE5AF7}"/>
    <cellStyle name="40% - Accent4 4 3 2 5" xfId="4610" xr:uid="{B85AA62A-D83F-4CB4-BC42-38603590003B}"/>
    <cellStyle name="40% - Accent4 4 3 3" xfId="2313" xr:uid="{48FB8AD5-608D-4C01-B403-C03A4312041A}"/>
    <cellStyle name="40% - Accent4 4 3 4" xfId="2964" xr:uid="{0E18C540-FF2F-40FF-B1D7-31C181F38B10}"/>
    <cellStyle name="40% - Accent4 4 3 5" xfId="3620" xr:uid="{7BB7149B-734D-4B2E-86B5-DC7351318C54}"/>
    <cellStyle name="40% - Accent4 4 3 6" xfId="4283" xr:uid="{7B26E8AE-557B-4695-81FB-E38B5E136401}"/>
    <cellStyle name="40% - Accent4 4 3 7" xfId="1250" xr:uid="{59E27B64-AEF2-4F7C-94BE-994E711DCD66}"/>
    <cellStyle name="40% - Accent4 4 4" xfId="1365" xr:uid="{5D988ECC-618B-4748-9479-B941FB0F358E}"/>
    <cellStyle name="40% - Accent4 4 4 2" xfId="2424" xr:uid="{F6D58ACD-A4F7-4CFF-9AC9-5B57AB8C3644}"/>
    <cellStyle name="40% - Accent4 4 4 3" xfId="3075" xr:uid="{1128E0DC-3A8D-4D2F-9C8F-710587196421}"/>
    <cellStyle name="40% - Accent4 4 4 4" xfId="3731" xr:uid="{400829D6-F698-49B5-A2FE-175E386D05AB}"/>
    <cellStyle name="40% - Accent4 4 4 5" xfId="4394" xr:uid="{24356A95-57CF-44AB-82FC-8B9305E761D7}"/>
    <cellStyle name="40% - Accent4 4 5" xfId="1837" xr:uid="{335B3AE4-80DF-475E-92CD-D1EB09042F9C}"/>
    <cellStyle name="40% - Accent4 4 6" xfId="2097" xr:uid="{187EA11D-2DBD-404E-A970-A6A4CC82417D}"/>
    <cellStyle name="40% - Accent4 4 7" xfId="2748" xr:uid="{35CFEFD0-F41A-442B-A604-905538F288C5}"/>
    <cellStyle name="40% - Accent4 4 8" xfId="3404" xr:uid="{E3F1FFC5-1CF3-444A-83B2-8F1A4ACC5B2F}"/>
    <cellStyle name="40% - Accent4 4 9" xfId="4067" xr:uid="{0ADA283E-E10B-4324-8BB0-99A64D228CC3}"/>
    <cellStyle name="40% - Accent4 5" xfId="325" xr:uid="{87A4AC31-2485-43E7-A43B-06597F5FAF22}"/>
    <cellStyle name="40% - Accent4 5 10" xfId="1080" xr:uid="{A14CFA30-BD83-417D-AAA0-4083CB02E12C}"/>
    <cellStyle name="40% - Accent4 5 2" xfId="446" xr:uid="{005AC5DD-CA0D-4FB7-93C4-F064705C733D}"/>
    <cellStyle name="40% - Accent4 5 2 2" xfId="665" xr:uid="{453A60DD-33B3-47C6-AFDF-845DE03AB8A0}"/>
    <cellStyle name="40% - Accent4 5 2 2 2" xfId="2476" xr:uid="{214C6002-D53D-4F8D-8473-CB690B3A2861}"/>
    <cellStyle name="40% - Accent4 5 2 3" xfId="3127" xr:uid="{8BCA144F-86CF-4EBF-BE12-480885D0E957}"/>
    <cellStyle name="40% - Accent4 5 2 4" xfId="3783" xr:uid="{B4DC9864-798C-4933-8406-7578F96914B0}"/>
    <cellStyle name="40% - Accent4 5 2 5" xfId="4446" xr:uid="{268514E0-8803-4222-A354-2A5F3C50C89A}"/>
    <cellStyle name="40% - Accent4 5 2 6" xfId="1417" xr:uid="{6385F07B-B589-4116-AB50-F3495E5AE339}"/>
    <cellStyle name="40% - Accent4 5 3" xfId="555" xr:uid="{579A7E20-8F2E-4628-BCA7-E4E5392C3365}"/>
    <cellStyle name="40% - Accent4 5 3 2" xfId="1982" xr:uid="{E42EF19B-1413-440C-8B79-06D1647AAADB}"/>
    <cellStyle name="40% - Accent4 5 4" xfId="2149" xr:uid="{F414616E-2FFB-4D10-9548-FED92DD05DD4}"/>
    <cellStyle name="40% - Accent4 5 5" xfId="2800" xr:uid="{06E66A4E-D064-4C33-A12A-FBC7ACA6B70B}"/>
    <cellStyle name="40% - Accent4 5 6" xfId="3456" xr:uid="{7CDD53B2-261D-4CD5-AB39-7AD07F11736D}"/>
    <cellStyle name="40% - Accent4 5 7" xfId="4119" xr:uid="{D42514D0-B3E4-4C86-8DC1-1104067E8205}"/>
    <cellStyle name="40% - Accent4 5 8" xfId="1822" xr:uid="{D6978C34-657C-4229-ACEA-00A9314667AA}"/>
    <cellStyle name="40% - Accent4 5 9" xfId="1672" xr:uid="{2A5C0E3A-5526-4349-8370-1EB3A53EBC88}"/>
    <cellStyle name="40% - Accent4 6" xfId="399" xr:uid="{43A855CF-D8E0-4669-BD04-ACAC69D6E65F}"/>
    <cellStyle name="40% - Accent4 6 2" xfId="619" xr:uid="{251C88B6-C211-4A55-B806-CB0AEB47A86B}"/>
    <cellStyle name="40% - Accent4 6 2 2" xfId="2584" xr:uid="{123B744A-EDB0-45EB-A1CC-EE1C876A1AAD}"/>
    <cellStyle name="40% - Accent4 6 2 3" xfId="3235" xr:uid="{98F402C9-E21F-4D09-BB24-CA6BC9F3CF08}"/>
    <cellStyle name="40% - Accent4 6 2 4" xfId="3891" xr:uid="{98656DBA-9E00-4416-9AC2-498EDC3AB3CA}"/>
    <cellStyle name="40% - Accent4 6 2 5" xfId="4554" xr:uid="{06E8555E-ECB5-44A1-BC3D-4A0D1024BA99}"/>
    <cellStyle name="40% - Accent4 6 2 6" xfId="1525" xr:uid="{9E4E3117-A767-41EB-9BB7-923BF69FCBCD}"/>
    <cellStyle name="40% - Accent4 6 3" xfId="2257" xr:uid="{8378075B-9D13-4FAA-834C-6BAE99A18D6E}"/>
    <cellStyle name="40% - Accent4 6 4" xfId="2908" xr:uid="{F902473E-8F3C-4B90-BBE5-6A1E30FFA2DB}"/>
    <cellStyle name="40% - Accent4 6 5" xfId="3564" xr:uid="{C16D65D9-9BE5-4875-9D27-7AC73F3FA4C0}"/>
    <cellStyle name="40% - Accent4 6 6" xfId="4227" xr:uid="{5FA2D0A6-F892-4B61-A99A-0323A8DB30C1}"/>
    <cellStyle name="40% - Accent4 6 7" xfId="1194" xr:uid="{A80C2519-F287-41BB-B5DE-D3132FFBB911}"/>
    <cellStyle name="40% - Accent4 7" xfId="509" xr:uid="{C264002A-BF9E-47A9-B566-65609DD0DD9F}"/>
    <cellStyle name="40% - Accent4 7 2" xfId="2368" xr:uid="{12E737C4-57C7-4918-ADBA-4D59D35DD0D1}"/>
    <cellStyle name="40% - Accent4 7 3" xfId="3019" xr:uid="{AA8AAA81-96F4-441E-85F5-9F0D740EDF52}"/>
    <cellStyle name="40% - Accent4 7 4" xfId="3675" xr:uid="{B45FC0B6-2F32-406A-A272-ACB44C7CA1D2}"/>
    <cellStyle name="40% - Accent4 7 5" xfId="4338" xr:uid="{BC4C2681-A5B2-43CE-9F29-336A729CC9FF}"/>
    <cellStyle name="40% - Accent4 7 6" xfId="1304" xr:uid="{90EA437B-616B-4990-8EFC-D47E8BD6413B}"/>
    <cellStyle name="40% - Accent4 8" xfId="277" xr:uid="{589A6DDC-A2FE-494C-8D72-72EDCD508E30}"/>
    <cellStyle name="40% - Accent4 8 2" xfId="1865" xr:uid="{1244EC7C-1C68-4438-9487-4CE3534EC45C}"/>
    <cellStyle name="40% - Accent4 9" xfId="2041" xr:uid="{C8EA8238-6FE9-4B97-AF9F-C3A8DD32C6B5}"/>
    <cellStyle name="40% - Accent5" xfId="38" builtinId="47" customBuiltin="1"/>
    <cellStyle name="40% - Accent5 10" xfId="2694" xr:uid="{F6235784-30B6-474B-B9B6-DAADD2EB8781}"/>
    <cellStyle name="40% - Accent5 11" xfId="3348" xr:uid="{B422553A-EB62-4CE5-9C4F-68EADD27215A}"/>
    <cellStyle name="40% - Accent5 12" xfId="4013" xr:uid="{9FB98E7C-7092-4F1A-9B37-3B93B926639D}"/>
    <cellStyle name="40% - Accent5 13" xfId="732" xr:uid="{69871613-BB2D-41CF-BBDF-C41375994EC1}"/>
    <cellStyle name="40% - Accent5 14" xfId="160" xr:uid="{86CEF266-F185-4656-B696-0BDBF06D48FE}"/>
    <cellStyle name="40% - Accent5 2" xfId="84" xr:uid="{EA0D60D9-01D1-4ABC-B4EE-10C6F5BC4864}"/>
    <cellStyle name="40% - Accent5 2 10" xfId="4032" xr:uid="{1964DB1F-A8E7-4CED-8CA7-344989FD27DD}"/>
    <cellStyle name="40% - Accent5 2 11" xfId="746" xr:uid="{24C3E975-D6B1-437A-976B-562E6A97B7AD}"/>
    <cellStyle name="40% - Accent5 2 12" xfId="177" xr:uid="{5DB34C69-E124-4DCA-A1B5-57B77384F4E8}"/>
    <cellStyle name="40% - Accent5 2 2" xfId="1048" xr:uid="{E89CEC1C-952F-458C-BC03-11EEA157AC5B}"/>
    <cellStyle name="40% - Accent5 2 2 2" xfId="1155" xr:uid="{4073C416-2D34-4040-8561-19F5894C709B}"/>
    <cellStyle name="40% - Accent5 2 2 2 2" xfId="1492" xr:uid="{4AFF9020-D4F8-4E44-B120-AAD725C9DB3E}"/>
    <cellStyle name="40% - Accent5 2 2 2 2 2" xfId="2551" xr:uid="{E92293A1-428B-46E4-8A66-88305F9343D3}"/>
    <cellStyle name="40% - Accent5 2 2 2 2 3" xfId="3202" xr:uid="{FB0F7834-6D53-4057-8E39-7CBE1D8B599A}"/>
    <cellStyle name="40% - Accent5 2 2 2 2 4" xfId="3858" xr:uid="{C6E65161-6E7D-4DD9-8778-4E076363074C}"/>
    <cellStyle name="40% - Accent5 2 2 2 2 5" xfId="4521" xr:uid="{287240B2-5DBA-4074-BC11-12B806FE837E}"/>
    <cellStyle name="40% - Accent5 2 2 2 3" xfId="1859" xr:uid="{64B9009A-5189-4C6F-B277-EB21221C6F10}"/>
    <cellStyle name="40% - Accent5 2 2 2 4" xfId="2224" xr:uid="{659C5EB2-0A5C-4B3F-8277-D00C9A8A2167}"/>
    <cellStyle name="40% - Accent5 2 2 2 5" xfId="2875" xr:uid="{77B88AAF-EF1D-45D1-BA53-55F27FF6F63C}"/>
    <cellStyle name="40% - Accent5 2 2 2 6" xfId="3531" xr:uid="{2EAFBDB2-83B9-43EB-AA86-D96B90318424}"/>
    <cellStyle name="40% - Accent5 2 2 2 7" xfId="4194" xr:uid="{F6E6A634-16DF-4AB5-955B-1F07116DBB62}"/>
    <cellStyle name="40% - Accent5 2 2 3" xfId="1269" xr:uid="{9B771726-6C1B-44C5-B75E-D8516E868B17}"/>
    <cellStyle name="40% - Accent5 2 2 3 2" xfId="1600" xr:uid="{5F7D9DF3-59F0-47A7-AE39-E0A7F397AE39}"/>
    <cellStyle name="40% - Accent5 2 2 3 2 2" xfId="2659" xr:uid="{6EE553D5-8F51-42D9-A583-582FF24B4B89}"/>
    <cellStyle name="40% - Accent5 2 2 3 2 3" xfId="3310" xr:uid="{DF02AFA4-1D69-488E-B000-18B5B0381907}"/>
    <cellStyle name="40% - Accent5 2 2 3 2 4" xfId="3966" xr:uid="{53B1DCE0-A987-430C-8B0C-3E93AB65C71D}"/>
    <cellStyle name="40% - Accent5 2 2 3 2 5" xfId="4629" xr:uid="{894AB984-EB21-4034-AA8A-5EF35DA8006D}"/>
    <cellStyle name="40% - Accent5 2 2 3 3" xfId="2332" xr:uid="{7E2E4B68-6ABD-40E8-8EB6-5B92EBE1E2C9}"/>
    <cellStyle name="40% - Accent5 2 2 3 4" xfId="2983" xr:uid="{FFC565CC-AC2A-4636-A477-4ED80200A277}"/>
    <cellStyle name="40% - Accent5 2 2 3 5" xfId="3639" xr:uid="{1E90C376-D86F-478B-813A-2793B38F169C}"/>
    <cellStyle name="40% - Accent5 2 2 3 6" xfId="4302" xr:uid="{596FB761-0FEA-46B8-AB45-D096046C05B1}"/>
    <cellStyle name="40% - Accent5 2 2 4" xfId="1384" xr:uid="{73511FC4-1404-4746-93BA-C1E12EEC01AF}"/>
    <cellStyle name="40% - Accent5 2 2 4 2" xfId="2443" xr:uid="{B53E0F77-D7A6-4A21-92A9-3BAA4C643588}"/>
    <cellStyle name="40% - Accent5 2 2 4 3" xfId="3094" xr:uid="{295D8A02-6A92-47B7-8F0C-E0E01E056D0C}"/>
    <cellStyle name="40% - Accent5 2 2 4 4" xfId="3750" xr:uid="{1A71FD58-B8B8-4780-A53F-70DC9F09C63F}"/>
    <cellStyle name="40% - Accent5 2 2 4 5" xfId="4413" xr:uid="{0A14BA95-8FD6-42FC-86DD-CB5BC5EC8F0E}"/>
    <cellStyle name="40% - Accent5 2 2 5" xfId="2017" xr:uid="{10674085-8D52-4722-9D75-48C5C7544166}"/>
    <cellStyle name="40% - Accent5 2 2 6" xfId="2116" xr:uid="{47509ECD-C604-4842-B8D6-968EB39A807B}"/>
    <cellStyle name="40% - Accent5 2 2 7" xfId="2767" xr:uid="{CEEBB0F6-AB99-4788-93C3-F23A09019051}"/>
    <cellStyle name="40% - Accent5 2 2 8" xfId="3423" xr:uid="{E7F4D3E6-A8BC-479E-B8B1-A1F74A0A9093}"/>
    <cellStyle name="40% - Accent5 2 2 9" xfId="4086" xr:uid="{E9BABDA3-B706-4EDB-A06A-AC6D6DC8055A}"/>
    <cellStyle name="40% - Accent5 2 3" xfId="1101" xr:uid="{AD5DF7F1-C8E3-4463-A700-7EA89910F6EC}"/>
    <cellStyle name="40% - Accent5 2 3 2" xfId="1438" xr:uid="{92CB15D2-8BE7-4724-A665-A77F5875CCC8}"/>
    <cellStyle name="40% - Accent5 2 3 2 2" xfId="2497" xr:uid="{63EB5181-D98A-41EB-93C0-B458249ACEFF}"/>
    <cellStyle name="40% - Accent5 2 3 2 3" xfId="3148" xr:uid="{00F25C89-436F-4873-9B94-CF27190CDE41}"/>
    <cellStyle name="40% - Accent5 2 3 2 4" xfId="3804" xr:uid="{C049E0DA-6B1E-46E3-8C51-B23F2A1A6924}"/>
    <cellStyle name="40% - Accent5 2 3 2 5" xfId="4467" xr:uid="{079548ED-D597-4BCA-9169-AA12AF5DE532}"/>
    <cellStyle name="40% - Accent5 2 3 3" xfId="1946" xr:uid="{D1174B6A-7806-41FA-96B1-C10464B0EB7E}"/>
    <cellStyle name="40% - Accent5 2 3 4" xfId="2170" xr:uid="{1048C04B-ACC1-4EA0-9A11-CCC2399438C9}"/>
    <cellStyle name="40% - Accent5 2 3 5" xfId="2821" xr:uid="{0ADA42E9-6C39-46AF-9793-185DACBAAEA2}"/>
    <cellStyle name="40% - Accent5 2 3 6" xfId="3477" xr:uid="{273C364A-A2C6-4B43-9057-0B213FE35A6C}"/>
    <cellStyle name="40% - Accent5 2 3 7" xfId="4140" xr:uid="{1EE27F11-5A61-4B01-9B9C-1F30FA103071}"/>
    <cellStyle name="40% - Accent5 2 4" xfId="1215" xr:uid="{09B4971F-96E6-49FA-B725-E20421D75384}"/>
    <cellStyle name="40% - Accent5 2 4 2" xfId="1546" xr:uid="{35CC1934-F9CF-4758-A31A-6D90C66B0D5C}"/>
    <cellStyle name="40% - Accent5 2 4 2 2" xfId="2605" xr:uid="{CE019BFF-B129-4DFA-8486-0D79B1BAFCDC}"/>
    <cellStyle name="40% - Accent5 2 4 2 3" xfId="3256" xr:uid="{3478D54F-FD36-4BDD-B904-B7E5CCBDDC6C}"/>
    <cellStyle name="40% - Accent5 2 4 2 4" xfId="3912" xr:uid="{F308AC9E-92DF-4203-8FD7-530ADB10C24C}"/>
    <cellStyle name="40% - Accent5 2 4 2 5" xfId="4575" xr:uid="{768E6DCD-8449-4F85-82FF-E2090A577929}"/>
    <cellStyle name="40% - Accent5 2 4 3" xfId="2278" xr:uid="{425433B9-4D19-4C16-A2D6-618F5DA02869}"/>
    <cellStyle name="40% - Accent5 2 4 4" xfId="2929" xr:uid="{59FD3F7F-D0C8-4146-A470-CB1FC277170B}"/>
    <cellStyle name="40% - Accent5 2 4 5" xfId="3585" xr:uid="{9E64F66F-7326-4AC6-A30D-D51BE8DA5134}"/>
    <cellStyle name="40% - Accent5 2 4 6" xfId="4248" xr:uid="{3CA335D2-4C47-4982-9CC2-C447D3F78655}"/>
    <cellStyle name="40% - Accent5 2 5" xfId="1330" xr:uid="{213604E1-09C9-4E98-B61F-7CE61266C2AE}"/>
    <cellStyle name="40% - Accent5 2 5 2" xfId="2389" xr:uid="{B0473A7E-4B3B-41E8-AC1F-8C9985D134BB}"/>
    <cellStyle name="40% - Accent5 2 5 3" xfId="3040" xr:uid="{EB2B9DFD-3BD4-445C-AB5F-5AC8B1A9CACB}"/>
    <cellStyle name="40% - Accent5 2 5 4" xfId="3696" xr:uid="{7A5AC0A7-81CE-4194-A68F-EBC9E2CBDAAD}"/>
    <cellStyle name="40% - Accent5 2 5 5" xfId="4359" xr:uid="{E902A0B1-13DE-4489-87B8-40C4092EA74D}"/>
    <cellStyle name="40% - Accent5 2 6" xfId="1861" xr:uid="{1DBE96B5-D5B6-4B3B-8226-F0E14D27F9DE}"/>
    <cellStyle name="40% - Accent5 2 7" xfId="2062" xr:uid="{90AA64AC-D0A4-42A5-AB31-C51AE35CF344}"/>
    <cellStyle name="40% - Accent5 2 8" xfId="2713" xr:uid="{217DD2D1-3A34-46ED-A798-43587E06B4FF}"/>
    <cellStyle name="40% - Accent5 2 9" xfId="3368" xr:uid="{1DAED4B5-D505-4786-8230-D2AB546671D0}"/>
    <cellStyle name="40% - Accent5 3" xfId="255" xr:uid="{19FEF135-C87F-425C-9EFC-54091C883C6D}"/>
    <cellStyle name="40% - Accent5 3 10" xfId="4048" xr:uid="{CA6F1FA5-7C54-41C2-AAA3-35686A26088D}"/>
    <cellStyle name="40% - Accent5 3 11" xfId="1809" xr:uid="{73442CDB-EE76-4036-8162-0E17116E8BD2}"/>
    <cellStyle name="40% - Accent5 3 12" xfId="1749" xr:uid="{B97165A9-3716-41ED-B262-D0DA885889A1}"/>
    <cellStyle name="40% - Accent5 3 13" xfId="1000" xr:uid="{4DDBB906-A2E3-481C-B235-1CD5914FFADE}"/>
    <cellStyle name="40% - Accent5 3 2" xfId="351" xr:uid="{E160C5E4-D373-4F21-87C0-51E8C82C3359}"/>
    <cellStyle name="40% - Accent5 3 2 10" xfId="1064" xr:uid="{53C1870C-64C6-48E5-9C35-9DBE95C69A73}"/>
    <cellStyle name="40% - Accent5 3 2 2" xfId="467" xr:uid="{46D54646-BE79-46C8-8222-825A8C137B4A}"/>
    <cellStyle name="40% - Accent5 3 2 2 2" xfId="686" xr:uid="{B8834DC0-3A39-4841-A631-C05F0665096D}"/>
    <cellStyle name="40% - Accent5 3 2 2 2 2" xfId="2567" xr:uid="{BFF024FE-AFE8-4045-A16D-75AB86AF2E09}"/>
    <cellStyle name="40% - Accent5 3 2 2 2 3" xfId="3218" xr:uid="{AC76AE45-E4EE-4649-8209-4FB9450A20A2}"/>
    <cellStyle name="40% - Accent5 3 2 2 2 4" xfId="3874" xr:uid="{6EA74DCD-285E-4B70-B991-5F95F83161CF}"/>
    <cellStyle name="40% - Accent5 3 2 2 2 5" xfId="4537" xr:uid="{59B9A9D9-AD39-4CAB-BB96-D76A1390811C}"/>
    <cellStyle name="40% - Accent5 3 2 2 2 6" xfId="1508" xr:uid="{45E54DDB-F36D-4F37-8B3B-ACC71C742543}"/>
    <cellStyle name="40% - Accent5 3 2 2 3" xfId="1986" xr:uid="{F391B87F-A48E-41BA-93E9-24CB165F0CCD}"/>
    <cellStyle name="40% - Accent5 3 2 2 4" xfId="2240" xr:uid="{81C1434D-A837-4746-86B0-40FF8C096354}"/>
    <cellStyle name="40% - Accent5 3 2 2 5" xfId="2891" xr:uid="{10EE5E47-A2AF-4267-A803-A0F752F3B644}"/>
    <cellStyle name="40% - Accent5 3 2 2 6" xfId="3547" xr:uid="{0B25BBFC-3529-4616-85FE-DC12CCF47860}"/>
    <cellStyle name="40% - Accent5 3 2 2 7" xfId="4210" xr:uid="{FDC74F6E-4683-4659-914B-1EFBCCCA884D}"/>
    <cellStyle name="40% - Accent5 3 2 2 8" xfId="1171" xr:uid="{203A5263-750C-4006-BE4B-273A4B38BD80}"/>
    <cellStyle name="40% - Accent5 3 2 3" xfId="576" xr:uid="{ADCF5739-186F-4680-8E25-90678CEC21AC}"/>
    <cellStyle name="40% - Accent5 3 2 3 2" xfId="1616" xr:uid="{5FD7D5F0-8258-48A3-8D11-97BEDABAE42F}"/>
    <cellStyle name="40% - Accent5 3 2 3 2 2" xfId="2675" xr:uid="{BCB2FED5-C4E8-408E-9C00-FBA3C02B9232}"/>
    <cellStyle name="40% - Accent5 3 2 3 2 3" xfId="3326" xr:uid="{859E3909-F2F7-490A-B849-82FCB5C38F74}"/>
    <cellStyle name="40% - Accent5 3 2 3 2 4" xfId="3982" xr:uid="{2DCCA1A3-3060-46A6-8813-A071FA3AD4A7}"/>
    <cellStyle name="40% - Accent5 3 2 3 2 5" xfId="4645" xr:uid="{19D04017-0D72-4D38-ABB6-3ED94933216B}"/>
    <cellStyle name="40% - Accent5 3 2 3 3" xfId="2348" xr:uid="{137DF07F-60AB-4E46-B670-EE0CC8B605FF}"/>
    <cellStyle name="40% - Accent5 3 2 3 4" xfId="2999" xr:uid="{6656A84C-2D95-4D5F-968D-17BF5E27BECC}"/>
    <cellStyle name="40% - Accent5 3 2 3 5" xfId="3655" xr:uid="{FC3970F4-5744-4188-823D-44EF343B31E8}"/>
    <cellStyle name="40% - Accent5 3 2 3 6" xfId="4318" xr:uid="{ECA059D3-A156-4033-B7DD-451F801F61E1}"/>
    <cellStyle name="40% - Accent5 3 2 3 7" xfId="1285" xr:uid="{C6799F77-53E2-45EC-8317-A332F1DC4925}"/>
    <cellStyle name="40% - Accent5 3 2 4" xfId="1400" xr:uid="{21F66DE7-8A27-42E3-AC8C-3BEF3E155E8D}"/>
    <cellStyle name="40% - Accent5 3 2 4 2" xfId="2459" xr:uid="{39A40739-B2C4-4037-B514-42A3D9C2FB81}"/>
    <cellStyle name="40% - Accent5 3 2 4 3" xfId="3110" xr:uid="{392BB8E1-FA19-43AF-9348-8C3E0F35FF0E}"/>
    <cellStyle name="40% - Accent5 3 2 4 4" xfId="3766" xr:uid="{7080DA27-4381-4FA5-9C00-D42230F43A26}"/>
    <cellStyle name="40% - Accent5 3 2 4 5" xfId="4429" xr:uid="{5524EB85-D849-4BF1-9636-7320F75AB9F0}"/>
    <cellStyle name="40% - Accent5 3 2 5" xfId="1979" xr:uid="{31904AF7-82AF-4C35-99C2-AD2254CBEC26}"/>
    <cellStyle name="40% - Accent5 3 2 6" xfId="2132" xr:uid="{9F8DEAE5-6727-4160-AF96-7AB46299E6EF}"/>
    <cellStyle name="40% - Accent5 3 2 7" xfId="2783" xr:uid="{0875169D-26F1-41DA-9479-64BD2E18D16D}"/>
    <cellStyle name="40% - Accent5 3 2 8" xfId="3439" xr:uid="{F82DAAEF-0978-430A-BDE6-939E690337A6}"/>
    <cellStyle name="40% - Accent5 3 2 9" xfId="4102" xr:uid="{8BF95A4F-05A6-4203-BDE1-9EB6D1E8791C}"/>
    <cellStyle name="40% - Accent5 3 3" xfId="424" xr:uid="{91FE6BFE-07A2-49EA-87BA-B78D4D53611D}"/>
    <cellStyle name="40% - Accent5 3 3 2" xfId="643" xr:uid="{1D0E0B29-7A53-47AA-83C3-3E2CDDF8BE9B}"/>
    <cellStyle name="40% - Accent5 3 3 2 2" xfId="2513" xr:uid="{920C352C-1EE2-4DC1-873D-A809DC5A41C7}"/>
    <cellStyle name="40% - Accent5 3 3 2 3" xfId="3164" xr:uid="{276FD2ED-6B98-4A05-9466-9D183EDBB110}"/>
    <cellStyle name="40% - Accent5 3 3 2 4" xfId="3820" xr:uid="{B0DDD07F-609B-4682-BB33-AA53D181CFB6}"/>
    <cellStyle name="40% - Accent5 3 3 2 5" xfId="4483" xr:uid="{74D7542E-3BA7-41AA-BCE6-8B9AB4D2E27C}"/>
    <cellStyle name="40% - Accent5 3 3 2 6" xfId="1454" xr:uid="{481C5138-DA54-4D52-89C6-DCAC96ADF943}"/>
    <cellStyle name="40% - Accent5 3 3 3" xfId="2009" xr:uid="{DC674C07-3D05-4F7D-930B-37C48A675939}"/>
    <cellStyle name="40% - Accent5 3 3 4" xfId="2186" xr:uid="{F62D959D-465F-405C-A0C3-F5AA0CA882DB}"/>
    <cellStyle name="40% - Accent5 3 3 5" xfId="2837" xr:uid="{03342CBF-499B-4E24-ACEC-DDFF9750CBDD}"/>
    <cellStyle name="40% - Accent5 3 3 6" xfId="3493" xr:uid="{D9D3D2F9-4C8A-422E-9BCD-69D115D54160}"/>
    <cellStyle name="40% - Accent5 3 3 7" xfId="4156" xr:uid="{35BB6E1D-70AF-4726-95A4-A5182B91B83C}"/>
    <cellStyle name="40% - Accent5 3 3 8" xfId="1117" xr:uid="{073C5E1A-AFBA-40E5-91C1-2E0F0ED948AC}"/>
    <cellStyle name="40% - Accent5 3 4" xfId="533" xr:uid="{A4599135-4E89-48B7-BFF3-572C67EBAF76}"/>
    <cellStyle name="40% - Accent5 3 4 2" xfId="1562" xr:uid="{E920F3B6-3FCB-45AB-A1CA-9C763A8F1EF3}"/>
    <cellStyle name="40% - Accent5 3 4 2 2" xfId="2621" xr:uid="{71570A5F-4FF5-4A9E-9853-9D14E4EA2A7A}"/>
    <cellStyle name="40% - Accent5 3 4 2 3" xfId="3272" xr:uid="{B76B781B-8031-42B9-A248-1930372613E9}"/>
    <cellStyle name="40% - Accent5 3 4 2 4" xfId="3928" xr:uid="{CB75F8A2-4073-4B61-B175-CD08025B3F20}"/>
    <cellStyle name="40% - Accent5 3 4 2 5" xfId="4591" xr:uid="{50E4F421-C625-4CF3-A67D-69D170F89B04}"/>
    <cellStyle name="40% - Accent5 3 4 3" xfId="2294" xr:uid="{F685ED8C-1E29-405A-A7B5-A4E945CD1EFE}"/>
    <cellStyle name="40% - Accent5 3 4 4" xfId="2945" xr:uid="{29EC4D27-E393-4F06-AFED-A6308C9EB620}"/>
    <cellStyle name="40% - Accent5 3 4 5" xfId="3601" xr:uid="{4E06F66F-B238-4293-A2F6-3EBA80386014}"/>
    <cellStyle name="40% - Accent5 3 4 6" xfId="4264" xr:uid="{1700AB27-C9DD-43AC-869D-B40E09D387AE}"/>
    <cellStyle name="40% - Accent5 3 4 7" xfId="1231" xr:uid="{6436EEA3-A774-46AF-AE22-6962CA4B19A0}"/>
    <cellStyle name="40% - Accent5 3 5" xfId="303" xr:uid="{8E5E254A-389D-49E6-8825-7267561278A1}"/>
    <cellStyle name="40% - Accent5 3 5 2" xfId="2405" xr:uid="{C838BACA-9A95-4F4A-90D6-516C00581AB0}"/>
    <cellStyle name="40% - Accent5 3 5 3" xfId="3056" xr:uid="{4CE885FC-0805-49F0-8CFE-77496AE44FA6}"/>
    <cellStyle name="40% - Accent5 3 5 4" xfId="3712" xr:uid="{1DB784AC-8C55-4206-8230-DC776703EAAB}"/>
    <cellStyle name="40% - Accent5 3 5 5" xfId="4375" xr:uid="{77430A77-41FB-4F24-8C9D-FF6A172D4E43}"/>
    <cellStyle name="40% - Accent5 3 5 6" xfId="1346" xr:uid="{B85F3C93-0E6D-4C74-82B1-0C835BBBE3E9}"/>
    <cellStyle name="40% - Accent5 3 6" xfId="1924" xr:uid="{6C591BB3-32B6-4C1B-8E9D-7648757CBEC5}"/>
    <cellStyle name="40% - Accent5 3 7" xfId="2078" xr:uid="{B2C172D1-AE15-43DE-900E-8C9EFB95B76C}"/>
    <cellStyle name="40% - Accent5 3 8" xfId="2729" xr:uid="{EEC2AE5F-D85F-426E-B8E2-5F80C2E50C16}"/>
    <cellStyle name="40% - Accent5 3 9" xfId="3384" xr:uid="{834D7711-1322-4A75-B372-082CF822B7CE}"/>
    <cellStyle name="40% - Accent5 4" xfId="371" xr:uid="{BB508300-F140-4A98-B290-C47EECB1A805}"/>
    <cellStyle name="40% - Accent5 4 10" xfId="1031" xr:uid="{64123854-BEE7-4C0F-BE5E-94EA4984960E}"/>
    <cellStyle name="40% - Accent5 4 2" xfId="486" xr:uid="{CB4DC7FD-0A9F-43A1-9F04-F3E913E5E7EA}"/>
    <cellStyle name="40% - Accent5 4 2 2" xfId="705" xr:uid="{7623A54F-D0B8-436E-ACA7-9DAFA2665066}"/>
    <cellStyle name="40% - Accent5 4 2 2 2" xfId="2534" xr:uid="{3159F20F-5906-4B99-B1FD-FFD346F92CEF}"/>
    <cellStyle name="40% - Accent5 4 2 2 3" xfId="3185" xr:uid="{4B43B902-14EE-4BEC-92B5-4EF47191EC95}"/>
    <cellStyle name="40% - Accent5 4 2 2 4" xfId="3841" xr:uid="{9FFC6766-07B9-4E9A-9B77-4588EB5879D2}"/>
    <cellStyle name="40% - Accent5 4 2 2 5" xfId="4504" xr:uid="{6A0A154C-658C-42E4-9A7A-6A425AF9207A}"/>
    <cellStyle name="40% - Accent5 4 2 2 6" xfId="1475" xr:uid="{13A999E1-9E07-4F2F-8F54-0C64CDF3EF9A}"/>
    <cellStyle name="40% - Accent5 4 2 3" xfId="1938" xr:uid="{B868D188-ED75-47E4-B2E3-B53DAAE65CAB}"/>
    <cellStyle name="40% - Accent5 4 2 4" xfId="2207" xr:uid="{19970F8D-96D1-48E2-85F6-F6A51DA82A5A}"/>
    <cellStyle name="40% - Accent5 4 2 5" xfId="2858" xr:uid="{FFB12297-DD9B-4983-BCA9-0E8CBFAAF64F}"/>
    <cellStyle name="40% - Accent5 4 2 6" xfId="3514" xr:uid="{FDA3AE95-D4D0-40F7-A438-D2E567B38102}"/>
    <cellStyle name="40% - Accent5 4 2 7" xfId="4177" xr:uid="{8B758B31-5590-49DC-A8ED-F46B98534D55}"/>
    <cellStyle name="40% - Accent5 4 2 8" xfId="1138" xr:uid="{6DB23C7F-49CF-4ECF-8CD1-3DC8AC1A50A6}"/>
    <cellStyle name="40% - Accent5 4 3" xfId="595" xr:uid="{895B3A90-4EB0-4643-9E49-17B0A6C219D0}"/>
    <cellStyle name="40% - Accent5 4 3 2" xfId="1583" xr:uid="{D22E4EFA-6729-4ADE-BC76-96D2D1BAE823}"/>
    <cellStyle name="40% - Accent5 4 3 2 2" xfId="2642" xr:uid="{4EFD302F-F3A5-44AE-9702-04ABA2460D0C}"/>
    <cellStyle name="40% - Accent5 4 3 2 3" xfId="3293" xr:uid="{09B4018C-61F2-421B-9D67-A35050B7503D}"/>
    <cellStyle name="40% - Accent5 4 3 2 4" xfId="3949" xr:uid="{9B14A3E2-B8F2-47C4-90AC-1442036405CB}"/>
    <cellStyle name="40% - Accent5 4 3 2 5" xfId="4612" xr:uid="{329E3705-2840-451D-BAE5-CAA0778D2B1C}"/>
    <cellStyle name="40% - Accent5 4 3 3" xfId="2315" xr:uid="{90AC6B83-0AAC-442B-8E53-340995E1D08D}"/>
    <cellStyle name="40% - Accent5 4 3 4" xfId="2966" xr:uid="{8CE967AE-C8C7-4FE9-A54C-A4505802BC16}"/>
    <cellStyle name="40% - Accent5 4 3 5" xfId="3622" xr:uid="{DBEB2846-8C27-45FC-A1EB-D3DC4068A11A}"/>
    <cellStyle name="40% - Accent5 4 3 6" xfId="4285" xr:uid="{0BB5A9C5-3CD5-489F-8EB1-81533A2C408E}"/>
    <cellStyle name="40% - Accent5 4 3 7" xfId="1252" xr:uid="{EE313ACE-5D34-4176-BCD0-6BA8F7B2B6C1}"/>
    <cellStyle name="40% - Accent5 4 4" xfId="1367" xr:uid="{B77E5F81-0E0B-4A89-83E7-F3E9B81F7526}"/>
    <cellStyle name="40% - Accent5 4 4 2" xfId="2426" xr:uid="{07EF141D-695E-4743-BB77-E085E285A162}"/>
    <cellStyle name="40% - Accent5 4 4 3" xfId="3077" xr:uid="{CC2CE442-6FF1-4F3B-B467-17F7EB853D16}"/>
    <cellStyle name="40% - Accent5 4 4 4" xfId="3733" xr:uid="{5E1E148F-4067-4034-A3C0-A234B9482D9B}"/>
    <cellStyle name="40% - Accent5 4 4 5" xfId="4396" xr:uid="{6B5F4C93-01BE-483A-9C4A-E6C39DAFFAB1}"/>
    <cellStyle name="40% - Accent5 4 5" xfId="1968" xr:uid="{DC62EBEC-48D0-4096-B524-BF7E80921BF0}"/>
    <cellStyle name="40% - Accent5 4 6" xfId="2099" xr:uid="{0D80EB0D-DB52-4409-BC1F-60645EC25F54}"/>
    <cellStyle name="40% - Accent5 4 7" xfId="2750" xr:uid="{29008357-9E0F-46C5-89F5-AAC86855F658}"/>
    <cellStyle name="40% - Accent5 4 8" xfId="3406" xr:uid="{CF11D622-8B5C-4892-A133-4CD352B0D025}"/>
    <cellStyle name="40% - Accent5 4 9" xfId="4069" xr:uid="{C9C21777-D3E4-4FF7-B86C-7984D41E5123}"/>
    <cellStyle name="40% - Accent5 5" xfId="327" xr:uid="{568DB7C7-972E-4742-8993-6A6B4EE56879}"/>
    <cellStyle name="40% - Accent5 5 10" xfId="1082" xr:uid="{069460BB-B45D-4AFA-9E6C-D72A9146D3F1}"/>
    <cellStyle name="40% - Accent5 5 2" xfId="448" xr:uid="{FC8092D1-1710-4420-8684-0D80336D8C2D}"/>
    <cellStyle name="40% - Accent5 5 2 2" xfId="667" xr:uid="{C4121055-035C-4C29-9317-0CDFC00F42C1}"/>
    <cellStyle name="40% - Accent5 5 2 2 2" xfId="2478" xr:uid="{59EE3ACF-E1AD-491A-A88D-3B089DF7E532}"/>
    <cellStyle name="40% - Accent5 5 2 3" xfId="3129" xr:uid="{D8542C51-70F6-4769-9686-2AB3CDEA4419}"/>
    <cellStyle name="40% - Accent5 5 2 4" xfId="3785" xr:uid="{066B9DF9-FBF6-4497-A8E7-0FC0A2AD7B2F}"/>
    <cellStyle name="40% - Accent5 5 2 5" xfId="4448" xr:uid="{362C1EFF-5836-45BD-8696-1A858079358F}"/>
    <cellStyle name="40% - Accent5 5 2 6" xfId="1419" xr:uid="{057284E0-C2E1-4386-AA3C-05A43C458219}"/>
    <cellStyle name="40% - Accent5 5 3" xfId="557" xr:uid="{62919854-67B0-4632-83D5-778675ED9745}"/>
    <cellStyle name="40% - Accent5 5 3 2" xfId="1930" xr:uid="{57FD2C32-5F31-48BD-B6BD-2BD37A9B564D}"/>
    <cellStyle name="40% - Accent5 5 4" xfId="2151" xr:uid="{60613868-F23A-4515-832E-5AD4CD2177F6}"/>
    <cellStyle name="40% - Accent5 5 5" xfId="2802" xr:uid="{6879BDFB-AD92-4115-AD91-1993EA7AD15D}"/>
    <cellStyle name="40% - Accent5 5 6" xfId="3458" xr:uid="{3E885B09-83D7-40CE-A9F6-6BA3EA8DBF48}"/>
    <cellStyle name="40% - Accent5 5 7" xfId="4121" xr:uid="{55ACD3E7-FE22-4453-B252-227E9E701BA7}"/>
    <cellStyle name="40% - Accent5 5 8" xfId="1824" xr:uid="{61F81953-472C-4717-AAEA-848FE7D86FE9}"/>
    <cellStyle name="40% - Accent5 5 9" xfId="1676" xr:uid="{8DF5A2CB-C6BD-4033-84CB-CF12555E4F41}"/>
    <cellStyle name="40% - Accent5 6" xfId="401" xr:uid="{B3335832-6BED-4265-BDF5-6A51EEE42D87}"/>
    <cellStyle name="40% - Accent5 6 2" xfId="621" xr:uid="{56C331C0-5537-43BD-9BC0-E26FE1C6EA97}"/>
    <cellStyle name="40% - Accent5 6 2 2" xfId="2586" xr:uid="{2B937170-2B97-45C6-BCBF-76CC59F8840F}"/>
    <cellStyle name="40% - Accent5 6 2 3" xfId="3237" xr:uid="{85D78C36-608E-434F-A0E7-2BC9883CA7C6}"/>
    <cellStyle name="40% - Accent5 6 2 4" xfId="3893" xr:uid="{AC796E98-04CC-4DE7-84F3-0EFEDE1B325B}"/>
    <cellStyle name="40% - Accent5 6 2 5" xfId="4556" xr:uid="{804913A5-75DA-414D-AA32-4147B8F12938}"/>
    <cellStyle name="40% - Accent5 6 2 6" xfId="1527" xr:uid="{2F241743-0478-407C-8F04-EC07DFB6FDE2}"/>
    <cellStyle name="40% - Accent5 6 3" xfId="2259" xr:uid="{89C8D909-1505-4FA9-99FF-A5D213B5ED66}"/>
    <cellStyle name="40% - Accent5 6 4" xfId="2910" xr:uid="{ED620DE6-9C69-4D38-88AF-8CBCDF1A2313}"/>
    <cellStyle name="40% - Accent5 6 5" xfId="3566" xr:uid="{A4FA353D-9867-44CB-BE1C-4E88955ADBA1}"/>
    <cellStyle name="40% - Accent5 6 6" xfId="4229" xr:uid="{C52E16B0-141B-4D81-8D88-E454F2052227}"/>
    <cellStyle name="40% - Accent5 6 7" xfId="1196" xr:uid="{07212859-4B1E-43C7-8B97-6E5314783178}"/>
    <cellStyle name="40% - Accent5 7" xfId="511" xr:uid="{C0CDF316-0D8D-4CC8-A213-C7AF0482EBF3}"/>
    <cellStyle name="40% - Accent5 7 2" xfId="2370" xr:uid="{E54C8023-6037-49D9-AAED-DF8F97C8E038}"/>
    <cellStyle name="40% - Accent5 7 3" xfId="3021" xr:uid="{DAA043DD-7D51-4FE0-86D9-FE93CE5AE967}"/>
    <cellStyle name="40% - Accent5 7 4" xfId="3677" xr:uid="{B6B55F06-FB6C-44A8-A2A6-A0BA0B0B32FF}"/>
    <cellStyle name="40% - Accent5 7 5" xfId="4340" xr:uid="{4A285372-4888-4666-B15A-287327691AB0}"/>
    <cellStyle name="40% - Accent5 7 6" xfId="1306" xr:uid="{7ACB336F-F48B-47EB-916A-3E08D3F3BDA0}"/>
    <cellStyle name="40% - Accent5 8" xfId="279" xr:uid="{A7A6FF41-CCF4-4B84-95AD-F0A653ABA255}"/>
    <cellStyle name="40% - Accent5 8 2" xfId="2028" xr:uid="{9391295D-BA19-464B-92AA-CB935C2C67BE}"/>
    <cellStyle name="40% - Accent5 9" xfId="2043" xr:uid="{FBCEDD78-9D16-44B4-84D5-BEEB177FEB68}"/>
    <cellStyle name="40% - Accent6" xfId="42" builtinId="51" customBuiltin="1"/>
    <cellStyle name="40% - Accent6 10" xfId="2696" xr:uid="{8CB48FA2-8417-4BEF-A980-FB9F8552D492}"/>
    <cellStyle name="40% - Accent6 11" xfId="3350" xr:uid="{4E446AB4-3CAB-4837-93B9-895267CE3218}"/>
    <cellStyle name="40% - Accent6 12" xfId="4015" xr:uid="{4FA65B3B-9E17-471B-91B6-CDE911C8EC81}"/>
    <cellStyle name="40% - Accent6 13" xfId="734" xr:uid="{CD28ACBA-FE0D-480E-92C7-9B01917E315A}"/>
    <cellStyle name="40% - Accent6 14" xfId="162" xr:uid="{335A6828-6B23-44DB-8D33-9489CAFED649}"/>
    <cellStyle name="40% - Accent6 2" xfId="85" xr:uid="{F93AF97F-2FC2-4227-B560-9DC16534356E}"/>
    <cellStyle name="40% - Accent6 2 10" xfId="4033" xr:uid="{5444D410-F987-4DF6-AEF1-CC346133A74E}"/>
    <cellStyle name="40% - Accent6 2 11" xfId="747" xr:uid="{CA5758C8-ADB5-4E15-A291-7E5C236500E5}"/>
    <cellStyle name="40% - Accent6 2 12" xfId="178" xr:uid="{B44932F3-F233-40B0-ABA2-F1063827FE28}"/>
    <cellStyle name="40% - Accent6 2 2" xfId="1049" xr:uid="{5BC55660-47A5-4F94-AF11-2AED41110457}"/>
    <cellStyle name="40% - Accent6 2 2 2" xfId="1156" xr:uid="{DF89E496-D5FA-48AA-BFB6-7C808EF784C3}"/>
    <cellStyle name="40% - Accent6 2 2 2 2" xfId="1493" xr:uid="{33C7347C-9F9C-4083-8B93-712FEBF5993B}"/>
    <cellStyle name="40% - Accent6 2 2 2 2 2" xfId="2552" xr:uid="{B32E12D3-F475-42DB-82BB-3126E15780DE}"/>
    <cellStyle name="40% - Accent6 2 2 2 2 3" xfId="3203" xr:uid="{826524BE-1435-4CCA-A237-A60ECDA33F9E}"/>
    <cellStyle name="40% - Accent6 2 2 2 2 4" xfId="3859" xr:uid="{E5CC0058-BA5C-4892-94BD-33C3FCA1DA4E}"/>
    <cellStyle name="40% - Accent6 2 2 2 2 5" xfId="4522" xr:uid="{B3D578DC-CB65-4353-8F0F-527542873068}"/>
    <cellStyle name="40% - Accent6 2 2 2 3" xfId="1926" xr:uid="{8278661A-B68E-4316-8C6A-84A8DA7D4C5E}"/>
    <cellStyle name="40% - Accent6 2 2 2 4" xfId="2225" xr:uid="{1CF5B4DF-3887-468C-85EF-B043EFFC64D7}"/>
    <cellStyle name="40% - Accent6 2 2 2 5" xfId="2876" xr:uid="{549D9972-94BF-4071-A549-E67B255F5AEA}"/>
    <cellStyle name="40% - Accent6 2 2 2 6" xfId="3532" xr:uid="{1B6EAB1E-78E7-4C6F-B9F7-5EB1A195DE37}"/>
    <cellStyle name="40% - Accent6 2 2 2 7" xfId="4195" xr:uid="{A838889E-3CC2-4B9F-8D50-C1719BF5E527}"/>
    <cellStyle name="40% - Accent6 2 2 3" xfId="1270" xr:uid="{37FA02EF-0E54-4BB9-9B15-68541C8843C9}"/>
    <cellStyle name="40% - Accent6 2 2 3 2" xfId="1601" xr:uid="{CFE4A096-D06C-4210-A859-557841F71B87}"/>
    <cellStyle name="40% - Accent6 2 2 3 2 2" xfId="2660" xr:uid="{8FABD134-67AF-4A1F-8F83-CB401D780AF2}"/>
    <cellStyle name="40% - Accent6 2 2 3 2 3" xfId="3311" xr:uid="{D9107124-D5CC-4036-A245-FA6078CE7C52}"/>
    <cellStyle name="40% - Accent6 2 2 3 2 4" xfId="3967" xr:uid="{B1481601-3A16-4EC8-98C6-1886371CD31D}"/>
    <cellStyle name="40% - Accent6 2 2 3 2 5" xfId="4630" xr:uid="{F363B99D-DB70-4C6F-8CB6-2420FD19C4EF}"/>
    <cellStyle name="40% - Accent6 2 2 3 3" xfId="2333" xr:uid="{D47DFCC7-1FB4-4F99-9AB0-2543DA9EC580}"/>
    <cellStyle name="40% - Accent6 2 2 3 4" xfId="2984" xr:uid="{F081F3FF-24D8-4B2B-B80B-612531581587}"/>
    <cellStyle name="40% - Accent6 2 2 3 5" xfId="3640" xr:uid="{2F8C3319-6EB5-4607-A3A8-C2EC93AFB527}"/>
    <cellStyle name="40% - Accent6 2 2 3 6" xfId="4303" xr:uid="{0CA4C2BF-6DE8-41A9-975A-CD47992A8860}"/>
    <cellStyle name="40% - Accent6 2 2 4" xfId="1385" xr:uid="{0E6F51EC-078D-4362-A623-1E296C23C756}"/>
    <cellStyle name="40% - Accent6 2 2 4 2" xfId="2444" xr:uid="{6648EBC7-83B0-4527-90B1-62726EA01E7C}"/>
    <cellStyle name="40% - Accent6 2 2 4 3" xfId="3095" xr:uid="{A2214580-C0EB-4C6C-A3A5-4073E034C47E}"/>
    <cellStyle name="40% - Accent6 2 2 4 4" xfId="3751" xr:uid="{ADD02D7A-5C70-44B3-A050-E071DEB7E362}"/>
    <cellStyle name="40% - Accent6 2 2 4 5" xfId="4414" xr:uid="{91ED6524-7A84-4FE0-AD4D-4CE39A7BEC8F}"/>
    <cellStyle name="40% - Accent6 2 2 5" xfId="2018" xr:uid="{8892E1A6-A5A4-4788-B615-42374E6401D6}"/>
    <cellStyle name="40% - Accent6 2 2 6" xfId="2117" xr:uid="{27D5F6E6-BA6C-4A71-A7C5-C635DF51D138}"/>
    <cellStyle name="40% - Accent6 2 2 7" xfId="2768" xr:uid="{1127A6F0-38F0-449B-A674-3C9587593717}"/>
    <cellStyle name="40% - Accent6 2 2 8" xfId="3424" xr:uid="{1692188A-4EF3-421E-BECF-CF8A00954808}"/>
    <cellStyle name="40% - Accent6 2 2 9" xfId="4087" xr:uid="{1FF8CB73-F93C-4613-99E9-136D2E1A043A}"/>
    <cellStyle name="40% - Accent6 2 3" xfId="1102" xr:uid="{352C046D-5B2D-4A77-96DD-F6E299527AE0}"/>
    <cellStyle name="40% - Accent6 2 3 2" xfId="1439" xr:uid="{9DA24728-B02C-473D-9165-C5AE8C809627}"/>
    <cellStyle name="40% - Accent6 2 3 2 2" xfId="2498" xr:uid="{F3889BC2-833F-45D0-B042-5AFC8CE554A9}"/>
    <cellStyle name="40% - Accent6 2 3 2 3" xfId="3149" xr:uid="{9BEF1190-441B-423D-8954-37BD8828F217}"/>
    <cellStyle name="40% - Accent6 2 3 2 4" xfId="3805" xr:uid="{6056BBD9-A053-4502-8173-F67F75B71567}"/>
    <cellStyle name="40% - Accent6 2 3 2 5" xfId="4468" xr:uid="{DF746526-0FDA-4173-91F5-89D8DF0B20B1}"/>
    <cellStyle name="40% - Accent6 2 3 3" xfId="1911" xr:uid="{F846750A-06A4-4398-9668-D6F0539CD644}"/>
    <cellStyle name="40% - Accent6 2 3 4" xfId="2171" xr:uid="{438C1E2D-C5FB-49BF-BDD4-68940B0C9CA7}"/>
    <cellStyle name="40% - Accent6 2 3 5" xfId="2822" xr:uid="{EA42E142-680E-4128-A64F-E1BA6BF079F7}"/>
    <cellStyle name="40% - Accent6 2 3 6" xfId="3478" xr:uid="{16D63831-0C54-4DA1-A4E6-59385A9D8BB2}"/>
    <cellStyle name="40% - Accent6 2 3 7" xfId="4141" xr:uid="{CC59CEEC-C014-42BE-8514-A604C1EF564F}"/>
    <cellStyle name="40% - Accent6 2 4" xfId="1216" xr:uid="{4108DDCE-E851-4061-80AC-5888B94E55FC}"/>
    <cellStyle name="40% - Accent6 2 4 2" xfId="1547" xr:uid="{24B39126-DF73-4761-BBA7-A6A5DEB59943}"/>
    <cellStyle name="40% - Accent6 2 4 2 2" xfId="2606" xr:uid="{DC1DFC8C-1EAD-4FAE-AD0E-516D80557E2D}"/>
    <cellStyle name="40% - Accent6 2 4 2 3" xfId="3257" xr:uid="{1705AC83-01DB-4272-9E19-83C8B6562CBD}"/>
    <cellStyle name="40% - Accent6 2 4 2 4" xfId="3913" xr:uid="{CE840C20-4064-4B97-81ED-383BA433FC41}"/>
    <cellStyle name="40% - Accent6 2 4 2 5" xfId="4576" xr:uid="{9EADCFB6-4489-483D-A650-62AA8EC84A95}"/>
    <cellStyle name="40% - Accent6 2 4 3" xfId="2279" xr:uid="{2F7B24D7-6E48-4E18-88DC-0C5ED503CB47}"/>
    <cellStyle name="40% - Accent6 2 4 4" xfId="2930" xr:uid="{823007BE-BBFD-4A88-8AAE-76BBDF7C6625}"/>
    <cellStyle name="40% - Accent6 2 4 5" xfId="3586" xr:uid="{0A4FB6D2-090E-47FC-AD6F-0D82CD3EF95D}"/>
    <cellStyle name="40% - Accent6 2 4 6" xfId="4249" xr:uid="{10EBD447-41E9-4306-A04C-66BEF000E390}"/>
    <cellStyle name="40% - Accent6 2 5" xfId="1331" xr:uid="{94C5A6C6-8ACC-4FF9-994E-36CEB6C9B58A}"/>
    <cellStyle name="40% - Accent6 2 5 2" xfId="2390" xr:uid="{4EB94FC5-6D4B-4823-B20B-898DADCACE6D}"/>
    <cellStyle name="40% - Accent6 2 5 3" xfId="3041" xr:uid="{18D2F4EA-9A66-4010-AAF8-29A5C3D54344}"/>
    <cellStyle name="40% - Accent6 2 5 4" xfId="3697" xr:uid="{2D96EF07-3A29-4530-A51A-83DD69F89B03}"/>
    <cellStyle name="40% - Accent6 2 5 5" xfId="4360" xr:uid="{505752BA-F551-4D49-8DCC-E800F1CFD853}"/>
    <cellStyle name="40% - Accent6 2 6" xfId="1783" xr:uid="{5DD74650-AA61-427D-AE48-81395C9D0BC5}"/>
    <cellStyle name="40% - Accent6 2 7" xfId="2063" xr:uid="{CEBC7E6C-0F33-4881-AA6B-4B59FE2225CE}"/>
    <cellStyle name="40% - Accent6 2 8" xfId="2714" xr:uid="{F2E39751-4BA8-4357-9379-6149EC586BE5}"/>
    <cellStyle name="40% - Accent6 2 9" xfId="3369" xr:uid="{7F86FC49-ABA6-4ACE-AAF9-7E01305E197D}"/>
    <cellStyle name="40% - Accent6 3" xfId="257" xr:uid="{32666D74-9AC5-4A04-8ED2-59F1AB2D0CCF}"/>
    <cellStyle name="40% - Accent6 3 10" xfId="4050" xr:uid="{2C3F3AD4-9809-490B-A714-FBAA3E4EECFA}"/>
    <cellStyle name="40% - Accent6 3 11" xfId="1811" xr:uid="{69AAAB04-288F-4056-AD8D-1F79507C7561}"/>
    <cellStyle name="40% - Accent6 3 12" xfId="1753" xr:uid="{021CC493-837E-4495-824D-404F9E575138}"/>
    <cellStyle name="40% - Accent6 3 13" xfId="1002" xr:uid="{C4A76734-B889-4BE3-BEE2-40201884E1CD}"/>
    <cellStyle name="40% - Accent6 3 2" xfId="353" xr:uid="{4B1B41A3-9648-4536-B784-A7E5EC14F012}"/>
    <cellStyle name="40% - Accent6 3 2 10" xfId="1066" xr:uid="{B20F2563-25A1-4732-94F5-A066C77C0176}"/>
    <cellStyle name="40% - Accent6 3 2 2" xfId="469" xr:uid="{05866424-3369-4475-9D91-5AC62C7E01C2}"/>
    <cellStyle name="40% - Accent6 3 2 2 2" xfId="688" xr:uid="{667CF69D-319B-484C-83E4-17255FE14159}"/>
    <cellStyle name="40% - Accent6 3 2 2 2 2" xfId="2569" xr:uid="{6E3B328B-9EF0-40B7-8695-1DC970955331}"/>
    <cellStyle name="40% - Accent6 3 2 2 2 3" xfId="3220" xr:uid="{C34EBC12-FF34-470B-8309-3AC1B67C24E3}"/>
    <cellStyle name="40% - Accent6 3 2 2 2 4" xfId="3876" xr:uid="{BDA1D56C-2F4E-42B5-B2F9-4AE8D67CABE2}"/>
    <cellStyle name="40% - Accent6 3 2 2 2 5" xfId="4539" xr:uid="{83DA0A5B-2309-42EB-AD5C-D6603DDE5E55}"/>
    <cellStyle name="40% - Accent6 3 2 2 2 6" xfId="1510" xr:uid="{AC82A196-D964-40A7-8A2F-3DC4B75B8EB1}"/>
    <cellStyle name="40% - Accent6 3 2 2 3" xfId="1782" xr:uid="{02AEC2B4-2B11-4E68-9ADC-62CE215D0E57}"/>
    <cellStyle name="40% - Accent6 3 2 2 4" xfId="2242" xr:uid="{052656EF-AE0A-40AB-90F0-C6D46EC95E6E}"/>
    <cellStyle name="40% - Accent6 3 2 2 5" xfId="2893" xr:uid="{B8D3169B-854C-4701-B8CB-BE047BB3BC58}"/>
    <cellStyle name="40% - Accent6 3 2 2 6" xfId="3549" xr:uid="{69AB3363-35A7-4368-9E25-6A468E05B00D}"/>
    <cellStyle name="40% - Accent6 3 2 2 7" xfId="4212" xr:uid="{91F37BED-B5EF-4D68-9AAA-760F07015B64}"/>
    <cellStyle name="40% - Accent6 3 2 2 8" xfId="1173" xr:uid="{8807636E-E170-4854-AACE-920D0C643E7A}"/>
    <cellStyle name="40% - Accent6 3 2 3" xfId="578" xr:uid="{8C093567-0271-45F8-80A8-ABD1A363A25E}"/>
    <cellStyle name="40% - Accent6 3 2 3 2" xfId="1618" xr:uid="{57026903-D869-4C17-8AC0-DC81D77CF902}"/>
    <cellStyle name="40% - Accent6 3 2 3 2 2" xfId="2677" xr:uid="{41021C27-ECA7-4B69-B452-7A7B3B07D017}"/>
    <cellStyle name="40% - Accent6 3 2 3 2 3" xfId="3328" xr:uid="{E184B2C4-C6DB-47D7-8D07-30AC66CF0F50}"/>
    <cellStyle name="40% - Accent6 3 2 3 2 4" xfId="3984" xr:uid="{01DD4B3C-1139-4B1A-B211-AA97DBD1AD12}"/>
    <cellStyle name="40% - Accent6 3 2 3 2 5" xfId="4647" xr:uid="{14AE9F43-5645-4F04-85F5-FD437678A735}"/>
    <cellStyle name="40% - Accent6 3 2 3 3" xfId="2350" xr:uid="{3D8D4A8B-F77F-4AA9-9B02-5D655ECAAD35}"/>
    <cellStyle name="40% - Accent6 3 2 3 4" xfId="3001" xr:uid="{728223A7-00D5-49F7-A732-1CF38EE6FCED}"/>
    <cellStyle name="40% - Accent6 3 2 3 5" xfId="3657" xr:uid="{A976D6A7-98A2-429A-9E09-C7E4BE0ED60A}"/>
    <cellStyle name="40% - Accent6 3 2 3 6" xfId="4320" xr:uid="{F4A29E30-64E9-453A-88FD-03A1E5F2335C}"/>
    <cellStyle name="40% - Accent6 3 2 3 7" xfId="1287" xr:uid="{D56D7092-3B82-42F6-9948-1354922A3487}"/>
    <cellStyle name="40% - Accent6 3 2 4" xfId="1402" xr:uid="{1CE883D1-6D15-4C0F-9A0D-BDC771C082A7}"/>
    <cellStyle name="40% - Accent6 3 2 4 2" xfId="2461" xr:uid="{E815DDEB-C72B-452A-AB7A-4D93E04FA746}"/>
    <cellStyle name="40% - Accent6 3 2 4 3" xfId="3112" xr:uid="{27793FBB-4516-47AF-AC7E-2CC948323DE6}"/>
    <cellStyle name="40% - Accent6 3 2 4 4" xfId="3768" xr:uid="{A5434CAF-2F4D-44FA-BBE6-C6B16A98F601}"/>
    <cellStyle name="40% - Accent6 3 2 4 5" xfId="4431" xr:uid="{0A4A3838-9367-4197-BC14-5C302DF05918}"/>
    <cellStyle name="40% - Accent6 3 2 5" xfId="2027" xr:uid="{B62A54EA-C6B0-441A-8CB8-290C47930A26}"/>
    <cellStyle name="40% - Accent6 3 2 6" xfId="2134" xr:uid="{3E5DCD9E-B9D9-4B82-9776-142341FF3407}"/>
    <cellStyle name="40% - Accent6 3 2 7" xfId="2785" xr:uid="{6946B38D-5B96-48AA-95DC-3EF211550BC4}"/>
    <cellStyle name="40% - Accent6 3 2 8" xfId="3441" xr:uid="{CA42BA37-9670-4B89-A832-0427AE8C1BE1}"/>
    <cellStyle name="40% - Accent6 3 2 9" xfId="4104" xr:uid="{ECE7261A-1B70-47DA-A597-AF39F5D55DB4}"/>
    <cellStyle name="40% - Accent6 3 3" xfId="426" xr:uid="{37E4C8EE-BA6D-41FD-B598-2C82CD30809D}"/>
    <cellStyle name="40% - Accent6 3 3 2" xfId="645" xr:uid="{CD0B32C5-5083-413E-8747-962534DC050A}"/>
    <cellStyle name="40% - Accent6 3 3 2 2" xfId="2515" xr:uid="{7545286A-91E1-4553-96E7-5D1A34372F03}"/>
    <cellStyle name="40% - Accent6 3 3 2 3" xfId="3166" xr:uid="{329A527B-08F0-4CCE-8519-8C6E4E6B9AF9}"/>
    <cellStyle name="40% - Accent6 3 3 2 4" xfId="3822" xr:uid="{CB34F626-4BA9-472C-A700-7CC0E10C7B53}"/>
    <cellStyle name="40% - Accent6 3 3 2 5" xfId="4485" xr:uid="{6C46AD5F-E6CC-4B9F-BD1B-C3AEA9F7B430}"/>
    <cellStyle name="40% - Accent6 3 3 2 6" xfId="1456" xr:uid="{1C385D0D-966D-427D-9001-06FF60CFBA21}"/>
    <cellStyle name="40% - Accent6 3 3 3" xfId="1883" xr:uid="{313FE5B7-5554-4BD1-8A7C-3248ED657A39}"/>
    <cellStyle name="40% - Accent6 3 3 4" xfId="2188" xr:uid="{29839BAF-46AC-4694-AFEA-079B6C06B5F3}"/>
    <cellStyle name="40% - Accent6 3 3 5" xfId="2839" xr:uid="{EFAFFB69-11E2-451B-B537-896AC320F943}"/>
    <cellStyle name="40% - Accent6 3 3 6" xfId="3495" xr:uid="{CCB91490-E320-44D1-80A3-6EBEFEBF8AEA}"/>
    <cellStyle name="40% - Accent6 3 3 7" xfId="4158" xr:uid="{00DBEACE-FD30-475E-87E7-E5AF248CDE03}"/>
    <cellStyle name="40% - Accent6 3 3 8" xfId="1119" xr:uid="{8C69EC45-584C-4BDA-A2EF-77BAF884FBBB}"/>
    <cellStyle name="40% - Accent6 3 4" xfId="535" xr:uid="{A3ED5E81-DFF7-4482-8B24-263F31573A5A}"/>
    <cellStyle name="40% - Accent6 3 4 2" xfId="1564" xr:uid="{F9E3FC97-E8FC-4D03-B4C5-AACDA5F989AA}"/>
    <cellStyle name="40% - Accent6 3 4 2 2" xfId="2623" xr:uid="{093DDD55-F3E9-4428-9DD3-9B969ACAD471}"/>
    <cellStyle name="40% - Accent6 3 4 2 3" xfId="3274" xr:uid="{2C5E89F1-240E-4CA7-903B-EA7A3E3ACC66}"/>
    <cellStyle name="40% - Accent6 3 4 2 4" xfId="3930" xr:uid="{C3F3786B-C02A-4067-9F05-879BDECAEEEC}"/>
    <cellStyle name="40% - Accent6 3 4 2 5" xfId="4593" xr:uid="{BCFC8C92-6BA6-4861-97B2-FCF47106A5AD}"/>
    <cellStyle name="40% - Accent6 3 4 3" xfId="2296" xr:uid="{3BB914D3-06B8-4DA4-A31B-D8C84EEBA19B}"/>
    <cellStyle name="40% - Accent6 3 4 4" xfId="2947" xr:uid="{F1B722F5-706B-43F6-9F2C-5EB77C046A10}"/>
    <cellStyle name="40% - Accent6 3 4 5" xfId="3603" xr:uid="{512CCBB9-1F21-4045-8C6B-2BEB1DE3DE0A}"/>
    <cellStyle name="40% - Accent6 3 4 6" xfId="4266" xr:uid="{63B55F8B-B066-4708-ADF5-AB91B9782CBE}"/>
    <cellStyle name="40% - Accent6 3 4 7" xfId="1233" xr:uid="{96FB025E-32C4-4BD0-BF36-13A5D21303FB}"/>
    <cellStyle name="40% - Accent6 3 5" xfId="305" xr:uid="{BF5246B5-93BD-4D5A-81E0-1BE684EC1456}"/>
    <cellStyle name="40% - Accent6 3 5 2" xfId="2407" xr:uid="{3D724287-3FBD-4F12-BE9C-7DFFA94CD33C}"/>
    <cellStyle name="40% - Accent6 3 5 3" xfId="3058" xr:uid="{336DC22A-3128-4C0B-9DB5-A21F336AFA91}"/>
    <cellStyle name="40% - Accent6 3 5 4" xfId="3714" xr:uid="{8510744E-5C20-4CD6-B059-7CEDA672A74F}"/>
    <cellStyle name="40% - Accent6 3 5 5" xfId="4377" xr:uid="{928EFB68-EA27-4FC2-B042-0D5A37E27DB4}"/>
    <cellStyle name="40% - Accent6 3 5 6" xfId="1348" xr:uid="{DA591EB9-742F-4865-BE79-5208B92E4416}"/>
    <cellStyle name="40% - Accent6 3 6" xfId="1884" xr:uid="{4787662D-80F3-42CF-A74F-EB36C127A933}"/>
    <cellStyle name="40% - Accent6 3 7" xfId="2080" xr:uid="{78DA26BD-E32E-4F24-A817-3586165D72E7}"/>
    <cellStyle name="40% - Accent6 3 8" xfId="2731" xr:uid="{EB98A555-E4D5-4F5B-A783-407A3E4A239D}"/>
    <cellStyle name="40% - Accent6 3 9" xfId="3386" xr:uid="{A4F0D116-2C25-4E53-AE3D-662531201E8C}"/>
    <cellStyle name="40% - Accent6 4" xfId="373" xr:uid="{EEC7BF01-B1FC-49B4-8BC2-18ABC3D7761E}"/>
    <cellStyle name="40% - Accent6 4 10" xfId="1033" xr:uid="{218D201F-0020-428E-AB19-209588FF0F3F}"/>
    <cellStyle name="40% - Accent6 4 2" xfId="488" xr:uid="{E8951C1F-263D-4C8C-A07B-A03C7CB1A558}"/>
    <cellStyle name="40% - Accent6 4 2 2" xfId="707" xr:uid="{BAFBBFBB-1905-41E5-87AF-1F96AD81118D}"/>
    <cellStyle name="40% - Accent6 4 2 2 2" xfId="2536" xr:uid="{69CAF085-CBFA-439A-9318-FC51F0C2A1D1}"/>
    <cellStyle name="40% - Accent6 4 2 2 3" xfId="3187" xr:uid="{CA734F03-7252-4642-8A38-449C1A563D23}"/>
    <cellStyle name="40% - Accent6 4 2 2 4" xfId="3843" xr:uid="{63E531AC-6DB5-4B7B-9DE8-35DED7A0A65D}"/>
    <cellStyle name="40% - Accent6 4 2 2 5" xfId="4506" xr:uid="{F561DC38-D4C9-4E0E-B4C1-79F05C34500C}"/>
    <cellStyle name="40% - Accent6 4 2 2 6" xfId="1477" xr:uid="{9FB9C273-95B2-4F9E-B5E2-0BAD20028EA4}"/>
    <cellStyle name="40% - Accent6 4 2 3" xfId="2014" xr:uid="{866AD29D-6861-42EC-8B9E-A8ECED95309F}"/>
    <cellStyle name="40% - Accent6 4 2 4" xfId="2209" xr:uid="{1C73F23E-4F17-47A6-8E4E-1CA8244BA8FF}"/>
    <cellStyle name="40% - Accent6 4 2 5" xfId="2860" xr:uid="{760C93BD-9A85-4228-8A94-A407C6E3DB77}"/>
    <cellStyle name="40% - Accent6 4 2 6" xfId="3516" xr:uid="{11F3A3F3-A414-4D9A-B1A0-8531C7A14983}"/>
    <cellStyle name="40% - Accent6 4 2 7" xfId="4179" xr:uid="{CD991D5B-C916-48FF-829C-5A7B6CAA6A72}"/>
    <cellStyle name="40% - Accent6 4 2 8" xfId="1140" xr:uid="{C37C81EA-52BE-487C-A624-F292A3BA4365}"/>
    <cellStyle name="40% - Accent6 4 3" xfId="597" xr:uid="{09E84835-4971-4BCA-85F6-B5661D5F5D2E}"/>
    <cellStyle name="40% - Accent6 4 3 2" xfId="1585" xr:uid="{4B82E138-1C6C-4381-9D66-B65DE900C45A}"/>
    <cellStyle name="40% - Accent6 4 3 2 2" xfId="2644" xr:uid="{DC0104D4-DCC6-46A2-AC42-1E649595659D}"/>
    <cellStyle name="40% - Accent6 4 3 2 3" xfId="3295" xr:uid="{F4D14220-C9FE-45AC-81B8-F11D1A2DBCA9}"/>
    <cellStyle name="40% - Accent6 4 3 2 4" xfId="3951" xr:uid="{84F3BBFA-3CB1-4BB6-A2A5-CAEE2F9C8A35}"/>
    <cellStyle name="40% - Accent6 4 3 2 5" xfId="4614" xr:uid="{B967E8EB-3C10-4868-A5C8-150A6A19906E}"/>
    <cellStyle name="40% - Accent6 4 3 3" xfId="2317" xr:uid="{A711ED96-FC8E-40D6-A1D0-40A01F0E0B97}"/>
    <cellStyle name="40% - Accent6 4 3 4" xfId="2968" xr:uid="{58C2F6D8-30D9-4A55-ADE9-30B94088B798}"/>
    <cellStyle name="40% - Accent6 4 3 5" xfId="3624" xr:uid="{2CB1B5B2-02EC-4074-ADB2-80C917882CA8}"/>
    <cellStyle name="40% - Accent6 4 3 6" xfId="4287" xr:uid="{FB90A226-64A3-42BE-81AA-21F80F94FB25}"/>
    <cellStyle name="40% - Accent6 4 3 7" xfId="1254" xr:uid="{28E422D6-CD52-4647-9424-360B9D9BAAEA}"/>
    <cellStyle name="40% - Accent6 4 4" xfId="1369" xr:uid="{7CD577AC-42E4-4F81-B408-9A6976B5BEA0}"/>
    <cellStyle name="40% - Accent6 4 4 2" xfId="2428" xr:uid="{CD682056-D3CB-4276-96B9-58BABB3E8959}"/>
    <cellStyle name="40% - Accent6 4 4 3" xfId="3079" xr:uid="{D3EB8EA1-7439-4FF6-8B1A-4B72F1E6556E}"/>
    <cellStyle name="40% - Accent6 4 4 4" xfId="3735" xr:uid="{AD8003EF-D8E3-45FF-BEDC-627F2967DCBC}"/>
    <cellStyle name="40% - Accent6 4 4 5" xfId="4398" xr:uid="{AE6EACC7-4F20-4EED-9E8C-F4A0A117EB9A}"/>
    <cellStyle name="40% - Accent6 4 5" xfId="1858" xr:uid="{689778DA-8995-4F5A-A153-A3EC3772BEB1}"/>
    <cellStyle name="40% - Accent6 4 6" xfId="2101" xr:uid="{DCABCABF-CB4E-438F-A003-887FEAF629F1}"/>
    <cellStyle name="40% - Accent6 4 7" xfId="2752" xr:uid="{EE5CC91F-EC7C-4316-A700-D00EA61A91FE}"/>
    <cellStyle name="40% - Accent6 4 8" xfId="3408" xr:uid="{BBF99855-3CC2-4048-A89D-E3ED9F7CDE6F}"/>
    <cellStyle name="40% - Accent6 4 9" xfId="4071" xr:uid="{F0FCC2A2-E5BE-4B62-AA88-6B87A39EC1D6}"/>
    <cellStyle name="40% - Accent6 5" xfId="329" xr:uid="{9055069E-F64D-4143-8D16-6EAF026F0194}"/>
    <cellStyle name="40% - Accent6 5 10" xfId="1084" xr:uid="{5EC4B197-D542-4B11-A4DE-DCDC9EDC7A0B}"/>
    <cellStyle name="40% - Accent6 5 2" xfId="450" xr:uid="{E334B468-DDE9-4720-9D67-B27AF137308B}"/>
    <cellStyle name="40% - Accent6 5 2 2" xfId="669" xr:uid="{26D244BB-E9A2-48B7-8A83-02D54A2FA2E5}"/>
    <cellStyle name="40% - Accent6 5 2 2 2" xfId="2480" xr:uid="{8A84FE0C-845B-483E-9DF1-E3628C3A1671}"/>
    <cellStyle name="40% - Accent6 5 2 3" xfId="3131" xr:uid="{D6259498-E40C-4480-B8B3-F4AF4FB54834}"/>
    <cellStyle name="40% - Accent6 5 2 4" xfId="3787" xr:uid="{51CCB8C0-B2D2-4D5F-AC65-D95810DBC139}"/>
    <cellStyle name="40% - Accent6 5 2 5" xfId="4450" xr:uid="{717076FD-40F0-41BE-B40D-ED511F5FF4FD}"/>
    <cellStyle name="40% - Accent6 5 2 6" xfId="1421" xr:uid="{B4E552E0-9B4A-4A1D-98BB-23B282584FB4}"/>
    <cellStyle name="40% - Accent6 5 3" xfId="559" xr:uid="{11C46592-1E9D-4336-9E28-5645F0B2FE80}"/>
    <cellStyle name="40% - Accent6 5 3 2" xfId="1931" xr:uid="{78B12F02-877A-4119-89C1-DBC949DD7644}"/>
    <cellStyle name="40% - Accent6 5 4" xfId="2153" xr:uid="{990E15B4-08AF-4350-936F-8D10D9980933}"/>
    <cellStyle name="40% - Accent6 5 5" xfId="2804" xr:uid="{FA5447CE-76D1-4D15-B90F-79D10B755129}"/>
    <cellStyle name="40% - Accent6 5 6" xfId="3460" xr:uid="{14237149-E2E6-440C-987A-38398888AB8D}"/>
    <cellStyle name="40% - Accent6 5 7" xfId="4123" xr:uid="{1B64E633-33C3-45FA-AA97-8E343FB06160}"/>
    <cellStyle name="40% - Accent6 5 8" xfId="1826" xr:uid="{D32609CB-717C-44C0-B43E-A4E0394FE900}"/>
    <cellStyle name="40% - Accent6 5 9" xfId="1680" xr:uid="{FF5CCC56-5136-4B55-8B23-B4346A0F5580}"/>
    <cellStyle name="40% - Accent6 6" xfId="403" xr:uid="{2075C237-97BD-4D50-BFF6-A89BEDB6D535}"/>
    <cellStyle name="40% - Accent6 6 2" xfId="623" xr:uid="{18343CAC-7167-461C-89B7-F8EA099D0688}"/>
    <cellStyle name="40% - Accent6 6 2 2" xfId="2588" xr:uid="{F334C5A4-E66D-4BF9-A2AF-6B6D66A5A5E7}"/>
    <cellStyle name="40% - Accent6 6 2 3" xfId="3239" xr:uid="{7E62A3B8-25CA-4CBD-A4CF-10AEC11BFB52}"/>
    <cellStyle name="40% - Accent6 6 2 4" xfId="3895" xr:uid="{A252780B-14F3-49A8-A5BB-EC6D58061757}"/>
    <cellStyle name="40% - Accent6 6 2 5" xfId="4558" xr:uid="{9CDACE81-13D4-4F09-8F08-9147FDECAC12}"/>
    <cellStyle name="40% - Accent6 6 2 6" xfId="1529" xr:uid="{79EF2CD6-A395-4CEC-87F7-7655DE1EAA44}"/>
    <cellStyle name="40% - Accent6 6 3" xfId="2261" xr:uid="{21DA8ABB-F4CF-43C0-A433-10AD88B2BF9D}"/>
    <cellStyle name="40% - Accent6 6 4" xfId="2912" xr:uid="{0C9A5E83-2B19-4717-A433-4B7E21D6CD33}"/>
    <cellStyle name="40% - Accent6 6 5" xfId="3568" xr:uid="{48A9BC31-939E-4839-BCF4-6534747CB2E4}"/>
    <cellStyle name="40% - Accent6 6 6" xfId="4231" xr:uid="{E35EA4A3-3567-415E-9CBB-8A96851C5641}"/>
    <cellStyle name="40% - Accent6 6 7" xfId="1198" xr:uid="{430107F0-2F45-4E90-A67C-A78EDB71CE8B}"/>
    <cellStyle name="40% - Accent6 7" xfId="513" xr:uid="{02D36C21-237D-4758-8A6D-853EB6847DDD}"/>
    <cellStyle name="40% - Accent6 7 2" xfId="2372" xr:uid="{C0767ABA-F883-4C63-A2DF-EEEE53F90BA3}"/>
    <cellStyle name="40% - Accent6 7 3" xfId="3023" xr:uid="{2E6C8FC9-FCB9-4019-B9CF-6B6B3DB1C640}"/>
    <cellStyle name="40% - Accent6 7 4" xfId="3679" xr:uid="{A8C4CA9E-78FF-4B65-AB0D-8C9C925C403C}"/>
    <cellStyle name="40% - Accent6 7 5" xfId="4342" xr:uid="{FE16824C-09D9-48B4-AD43-5C241D967B93}"/>
    <cellStyle name="40% - Accent6 7 6" xfId="1308" xr:uid="{41E1C6B7-5EFC-460D-9B60-A844969055BB}"/>
    <cellStyle name="40% - Accent6 8" xfId="281" xr:uid="{82C347EB-1FB7-4BA5-8DAA-D7A1585352A8}"/>
    <cellStyle name="40% - Accent6 8 2" xfId="1828" xr:uid="{EF6D7876-04EB-4ADE-840C-503F6314C15F}"/>
    <cellStyle name="40% - Accent6 9" xfId="2045" xr:uid="{B1E5D74A-7BF1-4931-8872-F44FA79CB545}"/>
    <cellStyle name="60% - Accent1" xfId="23" builtinId="32" customBuiltin="1"/>
    <cellStyle name="60% - Accent1 2" xfId="86" xr:uid="{12B2F5EB-0CC8-44DC-BEDA-0D58B0470C8B}"/>
    <cellStyle name="60% - Accent1 2 2" xfId="748" xr:uid="{DCC6F00D-04BE-48F4-8381-4F88BCA225E4}"/>
    <cellStyle name="60% - Accent1 2 3" xfId="179" xr:uid="{D52F483E-487D-49ED-9CAC-2F79A718F798}"/>
    <cellStyle name="60% - Accent1 3" xfId="57" xr:uid="{A6E5E175-631E-4C50-8918-743AE7A0ABD5}"/>
    <cellStyle name="60% - Accent1 3 2" xfId="1732" xr:uid="{73093DA3-0274-43F6-82CE-7A0722173BAB}"/>
    <cellStyle name="60% - Accent1 4" xfId="1661" xr:uid="{597C860E-E4BA-4990-8527-C55537E086F9}"/>
    <cellStyle name="60% - Accent1 5" xfId="1638" xr:uid="{F9733136-9CDE-4725-884D-D036BFE2D0A5}"/>
    <cellStyle name="60% - Accent2" xfId="27" builtinId="36" customBuiltin="1"/>
    <cellStyle name="60% - Accent2 2" xfId="87" xr:uid="{183759CF-B656-4BA7-8229-EDEDC26310D8}"/>
    <cellStyle name="60% - Accent2 2 2" xfId="749" xr:uid="{422DFD4A-3B58-4DBE-877A-BD5CCC2005B7}"/>
    <cellStyle name="60% - Accent2 2 3" xfId="180" xr:uid="{17CD3765-F318-42B4-97FB-2FEA6371FECF}"/>
    <cellStyle name="60% - Accent2 3" xfId="59" xr:uid="{E9243DFD-7D67-4477-84C7-185FE50721AD}"/>
    <cellStyle name="60% - Accent2 3 2" xfId="1716" xr:uid="{6B816E46-C82C-4A27-868F-362539BC33CB}"/>
    <cellStyle name="60% - Accent2 4" xfId="1665" xr:uid="{47304414-8975-4F23-B7FA-16982E97CE9F}"/>
    <cellStyle name="60% - Accent2 5" xfId="1639" xr:uid="{9E610D5C-96CA-4730-BFDD-CEC863D23D41}"/>
    <cellStyle name="60% - Accent3" xfId="31" builtinId="40" customBuiltin="1"/>
    <cellStyle name="60% - Accent3 2" xfId="88" xr:uid="{E4C9DA2F-16BC-4C1B-8ED6-58DCA82B535C}"/>
    <cellStyle name="60% - Accent3 2 2" xfId="750" xr:uid="{39924DAF-DF60-4D86-9240-243232981972}"/>
    <cellStyle name="60% - Accent3 2 3" xfId="181" xr:uid="{8B9319B3-ED79-4243-B253-5CAE8F484814}"/>
    <cellStyle name="60% - Accent3 3" xfId="60" xr:uid="{00F35F51-7F16-4E6E-A728-0264A89C5B46}"/>
    <cellStyle name="60% - Accent3 3 2" xfId="1723" xr:uid="{6DF37D32-0915-4D3E-8DA0-AD2409FEA957}"/>
    <cellStyle name="60% - Accent3 4" xfId="1669" xr:uid="{38207991-96A5-4EA3-A0C2-9A35BB6B51E4}"/>
    <cellStyle name="60% - Accent3 5" xfId="1640" xr:uid="{7AE810E2-7DF1-49C1-87FC-7A1C0DEC9E53}"/>
    <cellStyle name="60% - Accent4" xfId="35" builtinId="44" customBuiltin="1"/>
    <cellStyle name="60% - Accent4 2" xfId="89" xr:uid="{78622AE0-E035-4562-A383-526A7F7D60BB}"/>
    <cellStyle name="60% - Accent4 2 2" xfId="751" xr:uid="{7503DF22-6B1B-4009-9EFB-56D0D24519B4}"/>
    <cellStyle name="60% - Accent4 2 3" xfId="182" xr:uid="{DFFBFE14-4E70-430B-8B9D-DAF879B17AFF}"/>
    <cellStyle name="60% - Accent4 3" xfId="61" xr:uid="{2CCEB9A2-79AB-4E07-A5AD-2A9CF9631642}"/>
    <cellStyle name="60% - Accent4 3 2" xfId="1746" xr:uid="{BF2B27E6-D19B-4E70-B020-CE94A72E2031}"/>
    <cellStyle name="60% - Accent4 4" xfId="1673" xr:uid="{1C6F1360-71BB-4287-A5B2-8BFF344F4F8B}"/>
    <cellStyle name="60% - Accent4 5" xfId="1641" xr:uid="{285B8533-EACA-4EAE-852F-72B8C2077F94}"/>
    <cellStyle name="60% - Accent5" xfId="39" builtinId="48" customBuiltin="1"/>
    <cellStyle name="60% - Accent5 2" xfId="90" xr:uid="{A7CE1658-708F-4557-8806-7465905BFE36}"/>
    <cellStyle name="60% - Accent5 2 2" xfId="752" xr:uid="{2E318EED-2B59-478B-A35F-12C2D1EFCDBA}"/>
    <cellStyle name="60% - Accent5 2 3" xfId="183" xr:uid="{715F918C-0E61-43D7-AEB3-ABF8DBC7F366}"/>
    <cellStyle name="60% - Accent5 3" xfId="62" xr:uid="{46E94F56-D502-44E0-9F6D-257786A275B6}"/>
    <cellStyle name="60% - Accent5 3 2" xfId="1750" xr:uid="{BECFBA20-8C78-4E80-BA34-ABC3CBB42A44}"/>
    <cellStyle name="60% - Accent5 4" xfId="1677" xr:uid="{431A0FF7-78A0-4C99-877A-DFEB93B1E1EF}"/>
    <cellStyle name="60% - Accent5 5" xfId="1642" xr:uid="{6C2A28B9-393E-4645-9787-7C477E908D0B}"/>
    <cellStyle name="60% - Accent6" xfId="43" builtinId="52" customBuiltin="1"/>
    <cellStyle name="60% - Accent6 2" xfId="91" xr:uid="{2CCF3B01-90B4-46E4-A609-51F7027F83F6}"/>
    <cellStyle name="60% - Accent6 2 2" xfId="753" xr:uid="{2D24E4C6-D264-497E-A303-4C78F7D62750}"/>
    <cellStyle name="60% - Accent6 2 3" xfId="184" xr:uid="{8F286B23-9AB0-46B3-9A1D-15C0171203B1}"/>
    <cellStyle name="60% - Accent6 3" xfId="63" xr:uid="{8D8A5E00-3AAB-4FB3-B973-2CF9D23DEB99}"/>
    <cellStyle name="60% - Accent6 3 2" xfId="1754" xr:uid="{9C15472F-94CD-4F73-AF30-1776C566F9E9}"/>
    <cellStyle name="60% - Accent6 4" xfId="1681" xr:uid="{14896D9C-DA6B-4678-A7A7-7FE2794A155A}"/>
    <cellStyle name="60% - Accent6 5" xfId="1643" xr:uid="{DCF7074A-00E8-473B-B725-B49325C4FBB1}"/>
    <cellStyle name="Accent1" xfId="20" builtinId="29" customBuiltin="1"/>
    <cellStyle name="Accent1 2" xfId="92" xr:uid="{F3A5D1A8-B4B3-4016-8B8D-6131C97A6854}"/>
    <cellStyle name="Accent1 2 2" xfId="1697" xr:uid="{0FA04F2E-E3B2-481B-99E3-43D28AE69273}"/>
    <cellStyle name="Accent1 2 3" xfId="185" xr:uid="{B58A769B-A406-4618-9207-77119A788341}"/>
    <cellStyle name="Accent1 3" xfId="1721" xr:uid="{D89A5B46-E2C8-40A2-B4D2-263C0FB0A0B1}"/>
    <cellStyle name="Accent1 4" xfId="1658" xr:uid="{C8EAC90C-641E-4103-B215-619A74DB0B86}"/>
    <cellStyle name="Accent2" xfId="24" builtinId="33" customBuiltin="1"/>
    <cellStyle name="Accent2 2" xfId="93" xr:uid="{0391C72E-29C9-432F-BE87-209D0D4EB0E4}"/>
    <cellStyle name="Accent2 2 2" xfId="1698" xr:uid="{640E9519-AF02-4574-AD17-D0486B677092}"/>
    <cellStyle name="Accent2 2 3" xfId="186" xr:uid="{6F915E8A-75A9-4C6E-AF58-15E7527C6117}"/>
    <cellStyle name="Accent2 3" xfId="1728" xr:uid="{74062958-003E-43E0-8434-610CA2C99E72}"/>
    <cellStyle name="Accent2 4" xfId="1662" xr:uid="{3289CF36-8E19-46CC-928D-21AA4484E9FD}"/>
    <cellStyle name="Accent3" xfId="28" builtinId="37" customBuiltin="1"/>
    <cellStyle name="Accent3 2" xfId="94" xr:uid="{A078CF73-E6B3-4400-B7B4-F755ECF3953A}"/>
    <cellStyle name="Accent3 2 2" xfId="1699" xr:uid="{3B67EFD2-4443-49A8-8B79-6E0FE18216B1}"/>
    <cellStyle name="Accent3 2 3" xfId="187" xr:uid="{94CA0823-2331-4B0A-96B8-5CFF29F6958F}"/>
    <cellStyle name="Accent3 3" xfId="1712" xr:uid="{88526794-3170-455F-AAF1-641736A93BD9}"/>
    <cellStyle name="Accent3 4" xfId="1666" xr:uid="{4395621F-D4F0-4C14-8E4C-F60DA2FB6BE3}"/>
    <cellStyle name="Accent4" xfId="32" builtinId="41" customBuiltin="1"/>
    <cellStyle name="Accent4 2" xfId="95" xr:uid="{05161BC0-2B9B-4498-86D0-A0869E4D882C}"/>
    <cellStyle name="Accent4 2 2" xfId="1700" xr:uid="{77A05BBB-468C-4707-9611-85F03206A7EE}"/>
    <cellStyle name="Accent4 2 3" xfId="188" xr:uid="{71B4A175-B742-49FA-B370-F2A62807F32F}"/>
    <cellStyle name="Accent4 3" xfId="1719" xr:uid="{F2194B19-8A83-4620-AA53-8DA2510EFD0F}"/>
    <cellStyle name="Accent4 4" xfId="1670" xr:uid="{AABA0A6F-9CE8-4E6A-A529-69F4CD4A9893}"/>
    <cellStyle name="Accent5" xfId="36" builtinId="45" customBuiltin="1"/>
    <cellStyle name="Accent5 2" xfId="189" xr:uid="{DF798D31-A256-4911-8181-94D4F3002734}"/>
    <cellStyle name="Accent5 2 2" xfId="1701" xr:uid="{ECD0F89E-24F9-4133-AE21-B1DC7CC7DAE1}"/>
    <cellStyle name="Accent5 3" xfId="1747" xr:uid="{90015428-4EAE-43F3-9DD5-A90950D8EC00}"/>
    <cellStyle name="Accent5 4" xfId="1674" xr:uid="{63BE5EC3-A5F1-46BA-B1E4-7F2B0BE1EF48}"/>
    <cellStyle name="Accent6" xfId="40" builtinId="49" customBuiltin="1"/>
    <cellStyle name="Accent6 2" xfId="96" xr:uid="{CCD6EE81-12D7-4A21-9A89-6640FBA2CBE9}"/>
    <cellStyle name="Accent6 2 2" xfId="1702" xr:uid="{875B35B9-0BB1-4CE0-A25C-A82C9D450532}"/>
    <cellStyle name="Accent6 2 3" xfId="190" xr:uid="{7DC26673-6364-4592-85C2-8667DB5E42E1}"/>
    <cellStyle name="Accent6 3" xfId="1751" xr:uid="{BDA736CB-1B28-48C6-B6B7-946E9AAB3C9E}"/>
    <cellStyle name="Accent6 4" xfId="1678" xr:uid="{EC9ED185-1C73-43D6-86F8-8F441B66DC97}"/>
    <cellStyle name="Bad" xfId="10" builtinId="27" customBuiltin="1"/>
    <cellStyle name="Bad 2" xfId="97" xr:uid="{67F4EF2E-23CC-49C6-9F25-0F11531546F1}"/>
    <cellStyle name="Bad 2 2" xfId="1688" xr:uid="{A8840925-BD88-4CF7-A943-F1A191B7FD4F}"/>
    <cellStyle name="Bad 2 3" xfId="191" xr:uid="{2F0D6BD5-D87F-401E-8537-0B0564588F9B}"/>
    <cellStyle name="Bad 3" xfId="1708" xr:uid="{C1B9F20B-1F5C-4196-AEFE-932EA9FD7683}"/>
    <cellStyle name="Bad 4" xfId="1647" xr:uid="{2F042AA9-277E-461D-9682-59C2D669B41A}"/>
    <cellStyle name="Calculation" xfId="14" builtinId="22" customBuiltin="1"/>
    <cellStyle name="Calculation 2" xfId="98" xr:uid="{414D567A-1B10-4930-9B98-1D468829F6C4}"/>
    <cellStyle name="Calculation 2 2" xfId="1691" xr:uid="{1DA83EA2-B0CD-43C7-AB96-388F6EB9A913}"/>
    <cellStyle name="Calculation 2 3" xfId="192" xr:uid="{7B8332A8-CDC6-439A-B4E3-01941324DE22}"/>
    <cellStyle name="Calculation 3" xfId="1722" xr:uid="{74E94359-2307-44E2-B025-A64A452DF733}"/>
    <cellStyle name="Calculation 4" xfId="1651" xr:uid="{16B5289E-0700-4ECB-97EA-5645905D04A7}"/>
    <cellStyle name="Check Cell" xfId="16" builtinId="23" customBuiltin="1"/>
    <cellStyle name="Check Cell 2" xfId="193" xr:uid="{4719AB2F-8CEB-4013-ACA7-A99E09854290}"/>
    <cellStyle name="Check Cell 2 2" xfId="1693" xr:uid="{415F84E7-0F32-4BF9-B734-1FF0CF528571}"/>
    <cellStyle name="Check Cell 3" xfId="1714" xr:uid="{8025EDFA-E69D-4EC7-BDCA-06CE3492CCC6}"/>
    <cellStyle name="Check Cell 4" xfId="1653" xr:uid="{73FDEA23-80E8-439A-98E4-7E0488407647}"/>
    <cellStyle name="Column Headings - size 10" xfId="754" xr:uid="{5815279C-E3FD-445E-AFDF-C721BAFE864A}"/>
    <cellStyle name="Column Headings - size 11" xfId="755" xr:uid="{3A4159C6-D693-43A0-9921-F7A59CA2C550}"/>
    <cellStyle name="Column Headings - size 8" xfId="756" xr:uid="{947641E3-9019-4AAD-A744-ECA4037DAA8B}"/>
    <cellStyle name="Column Headings - size 9" xfId="757" xr:uid="{E49645F5-123D-4836-93DE-26FE0F1EE21E}"/>
    <cellStyle name="Comma" xfId="1" builtinId="3"/>
    <cellStyle name="Comma [0] 2" xfId="121" xr:uid="{2E9EFEA0-0F9E-4F34-9034-2AC5F8A82013}"/>
    <cellStyle name="Comma [0] 3" xfId="129" xr:uid="{BA112FC2-3CF2-4877-ADF3-2AEB9454D2B8}"/>
    <cellStyle name="Comma [0] 4" xfId="115" xr:uid="{3DBA430C-E7E7-44EA-88F3-8283369C5F1F}"/>
    <cellStyle name="Comma 10" xfId="131" xr:uid="{2554D49A-C8FE-4DE8-94EA-A474D881BD9B}"/>
    <cellStyle name="Comma 10 2" xfId="940" xr:uid="{9DA2D6FC-2341-49F7-8C8B-85F7E8704DEF}"/>
    <cellStyle name="Comma 11" xfId="134" xr:uid="{92DD6B7F-F5AB-4232-BB8B-EF460EDF0D30}"/>
    <cellStyle name="Comma 11 2" xfId="1012" xr:uid="{B678B576-2365-487F-A127-17FDF42D3E67}"/>
    <cellStyle name="Comma 11 3" xfId="982" xr:uid="{92FD8CF1-860C-4C33-8C1E-F3DE92AC3FF4}"/>
    <cellStyle name="Comma 12" xfId="133" xr:uid="{33666803-F714-48CA-8F84-6D29F1F04170}"/>
    <cellStyle name="Comma 12 10" xfId="4055" xr:uid="{ED7431C6-BB0F-4177-925A-D33C56A0A766}"/>
    <cellStyle name="Comma 12 11" xfId="1011" xr:uid="{F3A7A7BE-741F-4086-A2A3-14419AFF09BE}"/>
    <cellStyle name="Comma 12 2" xfId="1071" xr:uid="{2097EF01-82D8-4E31-A605-EF21D69C654F}"/>
    <cellStyle name="Comma 12 2 2" xfId="1178" xr:uid="{4262ABDB-0D5F-47C4-899D-FDE185D08608}"/>
    <cellStyle name="Comma 12 2 2 2" xfId="1515" xr:uid="{54C0EA7B-FE16-421A-ACA7-F75DB73469BD}"/>
    <cellStyle name="Comma 12 2 2 2 2" xfId="2574" xr:uid="{C33357C3-E6BE-465F-A67F-33E479477699}"/>
    <cellStyle name="Comma 12 2 2 2 3" xfId="3225" xr:uid="{7862B93F-8EE0-4975-B2BB-E9AFC73E9749}"/>
    <cellStyle name="Comma 12 2 2 2 4" xfId="3881" xr:uid="{ABA9699C-5883-46A3-A588-9BF57439D0AD}"/>
    <cellStyle name="Comma 12 2 2 2 5" xfId="4544" xr:uid="{BD23A902-7AA9-4283-A9BE-0D6494A01EA3}"/>
    <cellStyle name="Comma 12 2 2 3" xfId="1969" xr:uid="{57ADD563-C288-4DEC-BC68-492AF23CCCE4}"/>
    <cellStyle name="Comma 12 2 2 4" xfId="2247" xr:uid="{93F04D23-346B-460C-9007-3A2B2021CAA8}"/>
    <cellStyle name="Comma 12 2 2 5" xfId="2898" xr:uid="{013E8A4F-DA8B-4EC7-A808-7BA4F56D9B2C}"/>
    <cellStyle name="Comma 12 2 2 6" xfId="3554" xr:uid="{6B2F5078-1F7E-4A55-9E7A-A44C180E9761}"/>
    <cellStyle name="Comma 12 2 2 7" xfId="4217" xr:uid="{B07D0697-7BD7-4BB8-8B9C-38519C102264}"/>
    <cellStyle name="Comma 12 2 3" xfId="1292" xr:uid="{69053E26-B508-432E-8C33-592B9D9DBF0C}"/>
    <cellStyle name="Comma 12 2 3 2" xfId="1623" xr:uid="{43761D23-9827-4246-9E82-B4DC065691E3}"/>
    <cellStyle name="Comma 12 2 3 2 2" xfId="2682" xr:uid="{A4F684F2-2551-4A5B-9D39-B7E76A2E84D9}"/>
    <cellStyle name="Comma 12 2 3 2 3" xfId="3333" xr:uid="{D7092691-E4B9-4507-B73D-5E5F35BAE2D4}"/>
    <cellStyle name="Comma 12 2 3 2 4" xfId="3989" xr:uid="{F81444F4-254A-499A-99E0-40DCA400FB0C}"/>
    <cellStyle name="Comma 12 2 3 2 5" xfId="4652" xr:uid="{1543A1F0-33E8-4CA0-BA59-E11ED18CD806}"/>
    <cellStyle name="Comma 12 2 3 3" xfId="2355" xr:uid="{0754C07E-E3F1-4C2B-BB2E-C77871AFBCF7}"/>
    <cellStyle name="Comma 12 2 3 4" xfId="3006" xr:uid="{610405A0-1724-464D-AC3C-47E34C49A1AD}"/>
    <cellStyle name="Comma 12 2 3 5" xfId="3662" xr:uid="{7D762F86-3302-433C-99E0-AE3556D85086}"/>
    <cellStyle name="Comma 12 2 3 6" xfId="4325" xr:uid="{6B75C8B6-E46E-4C77-9630-79A7167A4F70}"/>
    <cellStyle name="Comma 12 2 4" xfId="1407" xr:uid="{F5878162-3AF7-4C6C-B6B4-0C8932D6AA1C}"/>
    <cellStyle name="Comma 12 2 4 2" xfId="2466" xr:uid="{2871DAA1-8E6B-411D-8BDF-C5A9E25BE8DF}"/>
    <cellStyle name="Comma 12 2 4 3" xfId="3117" xr:uid="{BEB6FADC-5DCD-445C-804C-04D2332C4480}"/>
    <cellStyle name="Comma 12 2 4 4" xfId="3773" xr:uid="{72985623-4C9F-49F8-80FB-7DC3C7DE0BA9}"/>
    <cellStyle name="Comma 12 2 4 5" xfId="4436" xr:uid="{C72740CD-E254-434D-B284-77CEAA3A492B}"/>
    <cellStyle name="Comma 12 2 5" xfId="1874" xr:uid="{CA9120FC-330D-4B1B-A2F9-B013C0F076C7}"/>
    <cellStyle name="Comma 12 2 6" xfId="2139" xr:uid="{1AA87DAB-765C-432E-98F9-D0348EB9B8BC}"/>
    <cellStyle name="Comma 12 2 7" xfId="2790" xr:uid="{6F7233AC-1CA4-4184-9D1E-F0DB69443E2A}"/>
    <cellStyle name="Comma 12 2 8" xfId="3446" xr:uid="{8036745E-2A3A-450B-B721-3E4A7AC1730C}"/>
    <cellStyle name="Comma 12 2 9" xfId="4109" xr:uid="{83FAEBA7-381A-43B8-ABC3-BF6DAD337824}"/>
    <cellStyle name="Comma 12 3" xfId="1124" xr:uid="{16736AE7-EE92-46A3-A747-96988C7ECA4B}"/>
    <cellStyle name="Comma 12 3 2" xfId="1461" xr:uid="{EBFEE365-8BDC-44A1-9161-DD298167DB82}"/>
    <cellStyle name="Comma 12 3 2 2" xfId="2520" xr:uid="{EB9B878E-6263-4397-A368-DEA0F56CA5F5}"/>
    <cellStyle name="Comma 12 3 2 3" xfId="3171" xr:uid="{42276ECC-3A94-4F0F-9B6C-F31352CA351F}"/>
    <cellStyle name="Comma 12 3 2 4" xfId="3827" xr:uid="{2723FD44-D4B0-493D-BEFD-9659F090F1A5}"/>
    <cellStyle name="Comma 12 3 2 5" xfId="4490" xr:uid="{00F3B6DF-F794-43EF-B67C-982FCD53BA34}"/>
    <cellStyle name="Comma 12 3 3" xfId="1974" xr:uid="{08687A27-880C-4EF3-9339-032BD1437E30}"/>
    <cellStyle name="Comma 12 3 4" xfId="2193" xr:uid="{5B190414-F291-45D6-955A-A89C7AB093EC}"/>
    <cellStyle name="Comma 12 3 5" xfId="2844" xr:uid="{36183327-042B-4C71-8AD8-3CE32A378CB0}"/>
    <cellStyle name="Comma 12 3 6" xfId="3500" xr:uid="{F417871E-68F5-49C1-ABA9-9F01E3099180}"/>
    <cellStyle name="Comma 12 3 7" xfId="4163" xr:uid="{E7211387-7DBC-43C0-8537-12F8430950A4}"/>
    <cellStyle name="Comma 12 4" xfId="1238" xr:uid="{418E1E63-2434-4036-ADDC-47D999739B22}"/>
    <cellStyle name="Comma 12 4 2" xfId="1569" xr:uid="{DD2EDA08-1D7D-4637-81EF-7D87A4FBC0A3}"/>
    <cellStyle name="Comma 12 4 2 2" xfId="2628" xr:uid="{D34FACD4-778E-475C-BAAE-7D8A94AA83A3}"/>
    <cellStyle name="Comma 12 4 2 3" xfId="3279" xr:uid="{05556B65-196C-4C0F-A2D6-BE23A744731C}"/>
    <cellStyle name="Comma 12 4 2 4" xfId="3935" xr:uid="{16665A4B-4786-4F98-8EC1-6156A1F66E1D}"/>
    <cellStyle name="Comma 12 4 2 5" xfId="4598" xr:uid="{1910A143-9162-4C48-9AC6-C24527593EF6}"/>
    <cellStyle name="Comma 12 4 3" xfId="2301" xr:uid="{0FFCCB25-BC0E-4E09-8763-DFEE11AEB779}"/>
    <cellStyle name="Comma 12 4 4" xfId="2952" xr:uid="{E4D06C30-AF8F-4693-9995-C1D73766B759}"/>
    <cellStyle name="Comma 12 4 5" xfId="3608" xr:uid="{0A67EECE-98FD-42AD-BAAC-84A3FF7743D3}"/>
    <cellStyle name="Comma 12 4 6" xfId="4271" xr:uid="{C5F989E0-F997-4CB5-8584-CEC022FAAA0E}"/>
    <cellStyle name="Comma 12 5" xfId="1353" xr:uid="{ECE88804-F91B-48A0-B90D-D50B64FAE365}"/>
    <cellStyle name="Comma 12 5 2" xfId="2412" xr:uid="{BE6C7C6A-ED78-449D-9E38-30A08843C47C}"/>
    <cellStyle name="Comma 12 5 3" xfId="3063" xr:uid="{D22EDBC2-70F0-44E6-B516-295A95DBD44A}"/>
    <cellStyle name="Comma 12 5 4" xfId="3719" xr:uid="{1C1CF9AC-3FC8-4AAF-BB06-638B7592D0E7}"/>
    <cellStyle name="Comma 12 5 5" xfId="4382" xr:uid="{729A1E2C-B276-4B55-A49C-177C38C880DD}"/>
    <cellStyle name="Comma 12 6" xfId="1889" xr:uid="{4B8FE2D6-B608-4D85-8157-0683490F2E5D}"/>
    <cellStyle name="Comma 12 7" xfId="2085" xr:uid="{C2FDB543-6BF4-46FB-AAE9-9BA5B4973809}"/>
    <cellStyle name="Comma 12 8" xfId="2736" xr:uid="{2EAE0DB3-EE29-494D-BE0C-C8826036D5F2}"/>
    <cellStyle name="Comma 12 9" xfId="3392" xr:uid="{98E4DC45-024D-4FB1-AD8B-B6F87643F8C7}"/>
    <cellStyle name="Comma 13" xfId="45" xr:uid="{1D6C2860-6F16-4974-9A5A-1CEC35FCC128}"/>
    <cellStyle name="Comma 13 2" xfId="938" xr:uid="{975A6817-2FA8-4B70-AAC8-688AAE4D425C}"/>
    <cellStyle name="Comma 14" xfId="936" xr:uid="{FBF87F38-C57E-4C87-AEF6-4256EB52CD9D}"/>
    <cellStyle name="Comma 14 2" xfId="1086" xr:uid="{4F79C455-DB5A-4228-A61D-99F2312DFF5B}"/>
    <cellStyle name="Comma 14 2 2" xfId="1423" xr:uid="{E8D27073-279D-49BC-AF02-F83BA08ED636}"/>
    <cellStyle name="Comma 14 2 2 2" xfId="2482" xr:uid="{7B18A53A-DA74-4D0C-B4E0-AC25695F7E4A}"/>
    <cellStyle name="Comma 14 2 2 3" xfId="3133" xr:uid="{C3803488-0EDD-4BFE-9A58-AA441F87F65B}"/>
    <cellStyle name="Comma 14 2 2 4" xfId="3789" xr:uid="{1EDFDD96-2FB7-4988-85F5-8B1E579069A2}"/>
    <cellStyle name="Comma 14 2 2 5" xfId="4452" xr:uid="{E8D6F9D8-CB24-4E76-9AD6-360D04FEA94E}"/>
    <cellStyle name="Comma 14 2 3" xfId="1855" xr:uid="{F0812067-5A79-42AA-A3F3-B1FAAEBA856E}"/>
    <cellStyle name="Comma 14 2 4" xfId="2155" xr:uid="{5BF354C7-5ADB-4537-A458-FA84591094DB}"/>
    <cellStyle name="Comma 14 2 5" xfId="2806" xr:uid="{61C65112-C225-4D6D-BFDE-9E316710D92A}"/>
    <cellStyle name="Comma 14 2 6" xfId="3462" xr:uid="{314106B9-22BD-4D4B-B73A-9E9F2CBEADB1}"/>
    <cellStyle name="Comma 14 2 7" xfId="4125" xr:uid="{4CECFA96-A597-48F5-A6AC-466ADE42A5ED}"/>
    <cellStyle name="Comma 14 3" xfId="1200" xr:uid="{996F71A3-0FA0-4E9C-9689-C510139EEEE3}"/>
    <cellStyle name="Comma 14 3 2" xfId="1531" xr:uid="{210AAA7E-4F58-48DB-8032-564C22AD4077}"/>
    <cellStyle name="Comma 14 3 2 2" xfId="2590" xr:uid="{F5B2E53B-D90E-47CF-A182-8B1BA0695493}"/>
    <cellStyle name="Comma 14 3 2 3" xfId="3241" xr:uid="{1BFAD7C6-97A3-4AF5-9275-69821D1FEBB5}"/>
    <cellStyle name="Comma 14 3 2 4" xfId="3897" xr:uid="{0CD23C21-A155-4682-9299-2941F9886E90}"/>
    <cellStyle name="Comma 14 3 2 5" xfId="4560" xr:uid="{35BB9326-B6EE-4470-89C2-3F7CE7248B1C}"/>
    <cellStyle name="Comma 14 3 3" xfId="2263" xr:uid="{EA6982DC-98F1-41E9-8F0C-1F69DD1B107C}"/>
    <cellStyle name="Comma 14 3 4" xfId="2914" xr:uid="{C4025824-F987-4510-A274-AB83D8BA8C9C}"/>
    <cellStyle name="Comma 14 3 5" xfId="3570" xr:uid="{A30B1F16-8EAC-4766-875F-C6D900A42D15}"/>
    <cellStyle name="Comma 14 3 6" xfId="4233" xr:uid="{8CC57D68-D487-4398-BE32-56F387EF809C}"/>
    <cellStyle name="Comma 14 4" xfId="1315" xr:uid="{13BABD7C-8E13-4B5C-8842-F0BB10576D2C}"/>
    <cellStyle name="Comma 14 4 2" xfId="2374" xr:uid="{783BD32A-3A6C-4CDE-9F1E-ECC950077FD5}"/>
    <cellStyle name="Comma 14 4 3" xfId="3025" xr:uid="{3EBC3389-7833-4D15-B6CD-4458B0B2C365}"/>
    <cellStyle name="Comma 14 4 4" xfId="3681" xr:uid="{F84C2748-8A0C-4663-9D7D-D7D6DF304B41}"/>
    <cellStyle name="Comma 14 4 5" xfId="4344" xr:uid="{C734088B-734D-45AC-B54B-FB1C0A9D8AE3}"/>
    <cellStyle name="Comma 14 5" xfId="1778" xr:uid="{2E7F6DCD-B82E-4BFC-BC54-19088AAC8692}"/>
    <cellStyle name="Comma 14 6" xfId="2047" xr:uid="{C174A72E-45AD-47AF-BD50-041F5BA0AF9B}"/>
    <cellStyle name="Comma 14 7" xfId="2698" xr:uid="{24C80C4C-3D49-425C-B3EE-6564B415E490}"/>
    <cellStyle name="Comma 14 8" xfId="3352" xr:uid="{11357386-A487-466C-9567-82A603ABC95B}"/>
    <cellStyle name="Comma 14 9" xfId="4017" xr:uid="{69E27DB1-C612-43B8-9D93-CDC31A6C2F32}"/>
    <cellStyle name="Comma 15" xfId="1021" xr:uid="{AE04AB21-9C0B-4729-A089-BE241BBA9C49}"/>
    <cellStyle name="Comma 15 2" xfId="1128" xr:uid="{CDA97CF6-02EF-40CC-BE1C-16972BC1FAAE}"/>
    <cellStyle name="Comma 15 2 2" xfId="1465" xr:uid="{4777F7BE-A770-4528-B657-6261CB538931}"/>
    <cellStyle name="Comma 15 2 2 2" xfId="2524" xr:uid="{05C7AF5A-FDC8-4CA5-B667-0CB72C77A5CF}"/>
    <cellStyle name="Comma 15 2 2 3" xfId="3175" xr:uid="{C46A1242-14CC-4197-914E-3A3CF563DFC4}"/>
    <cellStyle name="Comma 15 2 2 4" xfId="3831" xr:uid="{AA4922F6-02A9-47CA-B354-3BE8ECB54D72}"/>
    <cellStyle name="Comma 15 2 2 5" xfId="4494" xr:uid="{5641044E-F8F2-4465-9254-0819639F4C26}"/>
    <cellStyle name="Comma 15 2 3" xfId="1993" xr:uid="{2837E27C-C890-4C61-8274-D94B597FC727}"/>
    <cellStyle name="Comma 15 2 4" xfId="2197" xr:uid="{E45F3BF7-C895-4178-A663-12D75137D667}"/>
    <cellStyle name="Comma 15 2 5" xfId="2848" xr:uid="{C628070C-021E-48FC-B568-E29E62044451}"/>
    <cellStyle name="Comma 15 2 6" xfId="3504" xr:uid="{34C99C2D-CFAB-47DD-8662-CCC66F643785}"/>
    <cellStyle name="Comma 15 2 7" xfId="4167" xr:uid="{E17A4CBF-06CC-43D7-8141-72ED5473CC92}"/>
    <cellStyle name="Comma 15 3" xfId="1242" xr:uid="{4966152B-3F09-4164-BFA6-EE1B8C8A4D5E}"/>
    <cellStyle name="Comma 15 3 2" xfId="1573" xr:uid="{CBEA2402-BECB-4140-A7C3-43A7937D9847}"/>
    <cellStyle name="Comma 15 3 2 2" xfId="2632" xr:uid="{ECE6AD9E-DC83-4DA7-9A5E-F365E14FEA28}"/>
    <cellStyle name="Comma 15 3 2 3" xfId="3283" xr:uid="{15C0A082-B391-4112-803E-76615059AEAA}"/>
    <cellStyle name="Comma 15 3 2 4" xfId="3939" xr:uid="{8D9BE89D-EEC9-458D-90D6-0B45F4C28100}"/>
    <cellStyle name="Comma 15 3 2 5" xfId="4602" xr:uid="{4036E3DC-BCF6-4D75-A3B2-2D23DFC82E79}"/>
    <cellStyle name="Comma 15 3 3" xfId="2305" xr:uid="{31120B29-8721-435F-93DE-4A016CA0970A}"/>
    <cellStyle name="Comma 15 3 4" xfId="2956" xr:uid="{651430E1-5AE4-4A31-B2CF-5A11D101A203}"/>
    <cellStyle name="Comma 15 3 5" xfId="3612" xr:uid="{E5FCE6A0-6C5B-4959-8313-B74C0B7C59D5}"/>
    <cellStyle name="Comma 15 3 6" xfId="4275" xr:uid="{64C3E98F-2B0B-4C1E-B133-5765DFF91152}"/>
    <cellStyle name="Comma 15 4" xfId="1357" xr:uid="{DB2DD5CC-39DF-4128-B491-DBDA8113746F}"/>
    <cellStyle name="Comma 15 4 2" xfId="2416" xr:uid="{2F078E7F-9837-42E6-B587-DCB800A0F5C9}"/>
    <cellStyle name="Comma 15 4 3" xfId="3067" xr:uid="{874DDCF7-BA72-461E-AE64-478BB8357D2F}"/>
    <cellStyle name="Comma 15 4 4" xfId="3723" xr:uid="{89DBA111-B798-4AE7-90AA-9A6D7E62C694}"/>
    <cellStyle name="Comma 15 4 5" xfId="4386" xr:uid="{BCA3F754-68C0-4837-A0A5-DE120F168BFB}"/>
    <cellStyle name="Comma 15 5" xfId="1860" xr:uid="{5AF8763F-DD5B-468F-BD7E-7202401C7D61}"/>
    <cellStyle name="Comma 15 6" xfId="2089" xr:uid="{9A897028-0D4A-4290-8234-DA1271570F8C}"/>
    <cellStyle name="Comma 15 7" xfId="2740" xr:uid="{875C31E5-28D3-4314-AD09-783A5E3C5D17}"/>
    <cellStyle name="Comma 15 8" xfId="3396" xr:uid="{223630B1-CB92-427D-8940-25196497A3F7}"/>
    <cellStyle name="Comma 15 9" xfId="4059" xr:uid="{88BD5BF1-1440-4F09-8C7C-3815BDE09F2A}"/>
    <cellStyle name="Comma 16" xfId="1186" xr:uid="{D290366A-FDFC-4142-83F2-24EB60701AB7}"/>
    <cellStyle name="Comma 17" xfId="1183" xr:uid="{D93FBCB2-F68C-4C28-949E-4B545C118179}"/>
    <cellStyle name="Comma 18" xfId="1185" xr:uid="{8A16388C-6301-4373-A6F0-1487A2019F83}"/>
    <cellStyle name="Comma 19" xfId="1310" xr:uid="{D7F72D4A-2330-4060-BD5E-6EBB35C08F43}"/>
    <cellStyle name="Comma 2" xfId="49" xr:uid="{CDA62970-2C27-4F8E-AF54-55E8DF68150D}"/>
    <cellStyle name="Comma 2 2" xfId="143" xr:uid="{0CF32F09-66D0-49D8-A15B-6D74E3A75C0E}"/>
    <cellStyle name="Comma 2 2 2" xfId="758" xr:uid="{17BF5EE8-7201-4BC6-B0F9-036EEDC91F45}"/>
    <cellStyle name="Comma 2 2 3" xfId="390" xr:uid="{80876988-B722-4B9C-B3CA-4DB6B2108ACF}"/>
    <cellStyle name="Comma 2 3" xfId="68" xr:uid="{F84F0754-4090-49BE-99F5-EC339F0E3456}"/>
    <cellStyle name="Comma 2 3 2" xfId="1759" xr:uid="{2FB9C471-1BCE-4E76-AE43-DE8AEC76EC7E}"/>
    <cellStyle name="Comma 2 3 3" xfId="759" xr:uid="{85C3EBCE-4439-484D-9DA3-BCCCCF0EBD00}"/>
    <cellStyle name="Comma 2 4" xfId="1757" xr:uid="{FED6095F-03E2-4748-8242-19987DD11B88}"/>
    <cellStyle name="Comma 2 5" xfId="1745" xr:uid="{D41DDCFB-1494-4D83-AF62-AD785FF7C7C5}"/>
    <cellStyle name="Comma 20" xfId="1312" xr:uid="{98AB415B-4694-4374-B868-09562A05E646}"/>
    <cellStyle name="Comma 21" xfId="1313" xr:uid="{7060A4BA-2D09-4B97-8AE8-2E8403404CB8}"/>
    <cellStyle name="Comma 22" xfId="1627" xr:uid="{984F0CD1-8FA1-484B-B1C5-B900B0C46144}"/>
    <cellStyle name="Comma 23" xfId="1633" xr:uid="{9EFAF37E-A344-4BCE-83E4-7BA8E08D04BB}"/>
    <cellStyle name="Comma 24" xfId="1630" xr:uid="{71B178A7-DC5A-441A-9BEB-E15EF0C678BE}"/>
    <cellStyle name="Comma 25" xfId="1628" xr:uid="{3B1DDA77-0CEC-4F88-9641-2140388A6432}"/>
    <cellStyle name="Comma 26" xfId="1629" xr:uid="{D56FFF2E-AA66-4FD9-BC0C-E407210F5440}"/>
    <cellStyle name="Comma 27" xfId="1631" xr:uid="{27CE7CBC-E979-4622-A23E-BA7F87C727CE}"/>
    <cellStyle name="Comma 28" xfId="1632" xr:uid="{79208C6A-0007-42C7-85DD-002090D1FAEB}"/>
    <cellStyle name="Comma 29" xfId="1626" xr:uid="{27532E40-DAFB-48D6-AB9A-B0814B161084}"/>
    <cellStyle name="Comma 3" xfId="120" xr:uid="{6FF1B82C-5A39-4D00-BF4A-A1FCF804CD00}"/>
    <cellStyle name="Comma 3 2" xfId="135" xr:uid="{BD402665-BDD1-4957-8784-8198097DE76D}"/>
    <cellStyle name="Comma 3 2 2" xfId="1789" xr:uid="{A8C3BCC9-ADF4-4AB4-A668-67D700339D98}"/>
    <cellStyle name="Comma 3 2 3" xfId="1760" xr:uid="{7C162181-680C-493D-A259-6D8E77830446}"/>
    <cellStyle name="Comma 3 2 4" xfId="195" xr:uid="{22A63490-F40C-4A30-BEF4-B5264EA36519}"/>
    <cellStyle name="Comma 3 3" xfId="942" xr:uid="{3C073428-B048-46DA-8A62-540CBB383A66}"/>
    <cellStyle name="Comma 3 3 2" xfId="943" xr:uid="{0891D91C-92DF-425A-9752-38AB37C08049}"/>
    <cellStyle name="Comma 3 3 3" xfId="1790" xr:uid="{27C307A4-9D94-4EFC-B5D2-FE60054EE3B2}"/>
    <cellStyle name="Comma 3 3 4" xfId="1740" xr:uid="{A458FD04-72D3-4717-AB57-EBD468F73145}"/>
    <cellStyle name="Comma 3 4" xfId="941" xr:uid="{840DEB33-D8BA-475D-A9A0-A0B7A0E8D6F5}"/>
    <cellStyle name="Comma 3 5" xfId="760" xr:uid="{07606BB8-C87C-414A-AA2D-553F01332000}"/>
    <cellStyle name="Comma 3 6" xfId="194" xr:uid="{85E35198-A177-4D5E-9F02-E98200A05E8E}"/>
    <cellStyle name="Comma 30" xfId="1295" xr:uid="{8CF5F3CE-BE9D-45E1-BD8F-5871F1BB1611}"/>
    <cellStyle name="Comma 30 2" xfId="2359" xr:uid="{5E4F169D-3F8F-45F9-B315-2D41982662F0}"/>
    <cellStyle name="Comma 30 3" xfId="3010" xr:uid="{B513CD62-F2DD-4D3F-8B4E-6F7A6A83EEB5}"/>
    <cellStyle name="Comma 30 4" xfId="3666" xr:uid="{D5DFCBE8-59BF-48EF-ACAA-0662131BFC55}"/>
    <cellStyle name="Comma 30 5" xfId="4329" xr:uid="{D11BF077-181C-4876-96FA-22D726EAD517}"/>
    <cellStyle name="Comma 31" xfId="933" xr:uid="{9C42F3D3-1845-4DBC-8293-48C2D01453AC}"/>
    <cellStyle name="Comma 32" xfId="1781" xr:uid="{DCD9307E-D7D2-4D97-AC18-67F28909E9B0}"/>
    <cellStyle name="Comma 33" xfId="1785" xr:uid="{ADEC5482-E0D1-44A2-AD3E-6DD4BC573EE4}"/>
    <cellStyle name="Comma 34" xfId="1841" xr:uid="{ABEDC1DC-6921-4F30-9177-07EBC7550598}"/>
    <cellStyle name="Comma 35" xfId="1857" xr:uid="{239CBD38-92EA-4466-B652-922B2B049388}"/>
    <cellStyle name="Comma 36" xfId="1878" xr:uid="{9B8F040D-710E-42EB-8033-8657A253E9EF}"/>
    <cellStyle name="Comma 37" xfId="1845" xr:uid="{E6F207CC-06A6-4575-806C-FDA023DA12B3}"/>
    <cellStyle name="Comma 38" xfId="3337" xr:uid="{485F5361-6402-49FC-9BCC-1535EA3FB381}"/>
    <cellStyle name="Comma 39" xfId="3357" xr:uid="{3B1D8673-A929-48F9-B9F7-FE17ECEB6BB5}"/>
    <cellStyle name="Comma 4" xfId="128" xr:uid="{80D88C3D-3C69-4F73-A904-36BEFAF704A7}"/>
    <cellStyle name="Comma 4 10" xfId="2699" xr:uid="{44955AEA-6C10-4DFB-887F-C4B36C1F7066}"/>
    <cellStyle name="Comma 4 11" xfId="3353" xr:uid="{D7D9FC5A-7B93-454C-ACAD-54361D7B3C86}"/>
    <cellStyle name="Comma 4 12" xfId="4018" xr:uid="{7FC49E58-7582-4253-AFEE-C3F088EA7C57}"/>
    <cellStyle name="Comma 4 13" xfId="1791" xr:uid="{0AC6A7B7-67FD-4A40-856B-EB09042D9BFC}"/>
    <cellStyle name="Comma 4 14" xfId="761" xr:uid="{477BF5F9-BC0F-4866-8CC3-21E1BF142DA4}"/>
    <cellStyle name="Comma 4 15" xfId="196" xr:uid="{860A9E27-DFE6-447F-8B0B-F1AEAA34737B}"/>
    <cellStyle name="Comma 4 2" xfId="140" xr:uid="{66FD4937-2481-4134-85EF-372B0F3F8266}"/>
    <cellStyle name="Comma 4 2 10" xfId="4034" xr:uid="{A3AA137E-523A-4331-B742-08B130ECE1D6}"/>
    <cellStyle name="Comma 4 2 11" xfId="762" xr:uid="{B87D233A-EE22-41EE-A531-57097DF5ABFC}"/>
    <cellStyle name="Comma 4 2 12" xfId="258" xr:uid="{9C3B6930-5583-4F5D-9322-19BA5DC3DCB0}"/>
    <cellStyle name="Comma 4 2 2" xfId="355" xr:uid="{6CA1C269-B6AA-4B42-B48F-AB23C352E055}"/>
    <cellStyle name="Comma 4 2 2 10" xfId="1050" xr:uid="{E230B195-2DC9-4829-875E-4CC2345EAF8E}"/>
    <cellStyle name="Comma 4 2 2 2" xfId="471" xr:uid="{62AE5A60-8247-4CCB-A219-01E5E2224AD7}"/>
    <cellStyle name="Comma 4 2 2 2 2" xfId="690" xr:uid="{590EAFEC-8B3B-4734-A25D-AE1B3BFA6F70}"/>
    <cellStyle name="Comma 4 2 2 2 2 2" xfId="2553" xr:uid="{9B56B3AA-041C-474B-8A53-44F4581832A4}"/>
    <cellStyle name="Comma 4 2 2 2 2 3" xfId="3204" xr:uid="{DF1A653F-2930-447E-BCA4-FC7B3E76A966}"/>
    <cellStyle name="Comma 4 2 2 2 2 4" xfId="3860" xr:uid="{C06E07FD-4C65-409F-96AF-7211055F6068}"/>
    <cellStyle name="Comma 4 2 2 2 2 5" xfId="4523" xr:uid="{DA986055-BF44-4E8C-BC6F-178F404AC625}"/>
    <cellStyle name="Comma 4 2 2 2 2 6" xfId="1494" xr:uid="{278455D8-33BF-4F25-930C-9FCABC6F105E}"/>
    <cellStyle name="Comma 4 2 2 2 3" xfId="1833" xr:uid="{49775A05-7B61-4202-8251-17E6CE9E2952}"/>
    <cellStyle name="Comma 4 2 2 2 4" xfId="2226" xr:uid="{3395BB93-D83A-40D3-B8BB-51DB74D99DB2}"/>
    <cellStyle name="Comma 4 2 2 2 5" xfId="2877" xr:uid="{D9465502-B4BE-45E9-BAFF-D1CCCD1FF3C9}"/>
    <cellStyle name="Comma 4 2 2 2 6" xfId="3533" xr:uid="{FD7017E1-5B9C-4BA6-9311-A19CB61EF3C0}"/>
    <cellStyle name="Comma 4 2 2 2 7" xfId="4196" xr:uid="{C7A48803-4864-4A9D-87D0-8BF58B4ADB80}"/>
    <cellStyle name="Comma 4 2 2 2 8" xfId="1157" xr:uid="{310638EF-DCC1-48E9-856C-8BDE42928D28}"/>
    <cellStyle name="Comma 4 2 2 3" xfId="580" xr:uid="{65834EA7-A0E3-49F7-BD69-4F41A923863B}"/>
    <cellStyle name="Comma 4 2 2 3 2" xfId="1602" xr:uid="{36A05F8F-E40E-4850-B305-4F07A11EA772}"/>
    <cellStyle name="Comma 4 2 2 3 2 2" xfId="2661" xr:uid="{13E67D03-BD7F-40FD-B072-29292EB02968}"/>
    <cellStyle name="Comma 4 2 2 3 2 3" xfId="3312" xr:uid="{24E77711-D596-4F88-96CD-FA9125C1E930}"/>
    <cellStyle name="Comma 4 2 2 3 2 4" xfId="3968" xr:uid="{795683AB-0471-4453-848D-5FD8B11067F0}"/>
    <cellStyle name="Comma 4 2 2 3 2 5" xfId="4631" xr:uid="{16625063-36F7-4818-9E71-09676265E897}"/>
    <cellStyle name="Comma 4 2 2 3 3" xfId="2334" xr:uid="{E9C3944C-D782-4104-AFFF-6B534906A5A7}"/>
    <cellStyle name="Comma 4 2 2 3 4" xfId="2985" xr:uid="{2E8512E2-2737-4B43-B8C8-B66BCE3BAD76}"/>
    <cellStyle name="Comma 4 2 2 3 5" xfId="3641" xr:uid="{25D5FCF4-57AB-4D8F-AC8E-9041BF14C000}"/>
    <cellStyle name="Comma 4 2 2 3 6" xfId="4304" xr:uid="{8CB9FAE0-0A88-4798-8FE3-A19FAB9A1920}"/>
    <cellStyle name="Comma 4 2 2 3 7" xfId="1271" xr:uid="{AB315D7D-3318-43FD-A600-72602515655B}"/>
    <cellStyle name="Comma 4 2 2 4" xfId="1386" xr:uid="{4AC3D869-6E5B-4188-9834-D8E48299566E}"/>
    <cellStyle name="Comma 4 2 2 4 2" xfId="2445" xr:uid="{F2B8D319-FF4E-43B1-A4A8-658376E866AC}"/>
    <cellStyle name="Comma 4 2 2 4 3" xfId="3096" xr:uid="{8FD21CA6-8567-4592-A0D0-7ACF125D6719}"/>
    <cellStyle name="Comma 4 2 2 4 4" xfId="3752" xr:uid="{CB6EB8EC-3C6B-4910-B2CE-B24500930F7E}"/>
    <cellStyle name="Comma 4 2 2 4 5" xfId="4415" xr:uid="{BB2180BA-CC97-4EF9-9F0F-EBBF43F9108A}"/>
    <cellStyle name="Comma 4 2 2 5" xfId="1972" xr:uid="{B9241CFE-95EE-4BFE-9FBD-8B5A08AED39A}"/>
    <cellStyle name="Comma 4 2 2 6" xfId="2118" xr:uid="{9B45B0EE-57EB-4010-8497-CE946F93463F}"/>
    <cellStyle name="Comma 4 2 2 7" xfId="2769" xr:uid="{9CC0FFEF-C440-4DDC-924B-D8373DA6CC7A}"/>
    <cellStyle name="Comma 4 2 2 8" xfId="3425" xr:uid="{C39469FA-6CBC-4A2E-9A04-6EB2CF588941}"/>
    <cellStyle name="Comma 4 2 2 9" xfId="4088" xr:uid="{7F01061D-0337-41E6-B703-93B3D64CB804}"/>
    <cellStyle name="Comma 4 2 3" xfId="427" xr:uid="{3411AA45-7550-4506-8D1B-71606F79FD0F}"/>
    <cellStyle name="Comma 4 2 3 2" xfId="646" xr:uid="{9D2CEF0A-A1AF-4F3F-ABB5-7ECF125BB899}"/>
    <cellStyle name="Comma 4 2 3 2 2" xfId="2499" xr:uid="{62BEB14B-8107-499E-937B-E030BE26CB0C}"/>
    <cellStyle name="Comma 4 2 3 2 3" xfId="3150" xr:uid="{CD4EDBF4-E180-4555-AAC3-9B9875DF20A7}"/>
    <cellStyle name="Comma 4 2 3 2 4" xfId="3806" xr:uid="{3A4834FF-9D0F-4121-B85F-9C309CB1062D}"/>
    <cellStyle name="Comma 4 2 3 2 5" xfId="4469" xr:uid="{8E5FDD87-AEF1-4536-9D23-AA1D3734DC31}"/>
    <cellStyle name="Comma 4 2 3 2 6" xfId="1440" xr:uid="{AFD40462-C4E7-4286-A752-B714BD481023}"/>
    <cellStyle name="Comma 4 2 3 3" xfId="2005" xr:uid="{982BC527-7E7F-4CDB-8B89-1B4B784ECF72}"/>
    <cellStyle name="Comma 4 2 3 4" xfId="2172" xr:uid="{B651DBEC-5190-41F5-A73B-ECB1E1D44599}"/>
    <cellStyle name="Comma 4 2 3 5" xfId="2823" xr:uid="{1C659AA6-970B-429D-9360-9D805AEFBDBD}"/>
    <cellStyle name="Comma 4 2 3 6" xfId="3479" xr:uid="{AE70900E-8446-4E11-9E3C-692D26DB14ED}"/>
    <cellStyle name="Comma 4 2 3 7" xfId="4142" xr:uid="{81B7B91D-316D-43A6-8E3A-8486A1B9A30B}"/>
    <cellStyle name="Comma 4 2 3 8" xfId="1103" xr:uid="{2D8EED83-EECB-4452-AC6A-E46CAC44181D}"/>
    <cellStyle name="Comma 4 2 4" xfId="536" xr:uid="{9B7CA80A-2785-4F82-9F9F-7AE802F02C7D}"/>
    <cellStyle name="Comma 4 2 4 2" xfId="1548" xr:uid="{349BC8F5-FA7A-44BB-9658-C44D02EC06BA}"/>
    <cellStyle name="Comma 4 2 4 2 2" xfId="2607" xr:uid="{C1E0BA8F-04AB-4FDB-8C85-B91E1E5CCB1F}"/>
    <cellStyle name="Comma 4 2 4 2 3" xfId="3258" xr:uid="{353C397D-B4FA-4644-9E78-DD1AF8EC61B4}"/>
    <cellStyle name="Comma 4 2 4 2 4" xfId="3914" xr:uid="{B8FD2DDD-9E06-4DE9-B8BB-85CE2D329ABD}"/>
    <cellStyle name="Comma 4 2 4 2 5" xfId="4577" xr:uid="{A3314E0D-1FCA-4971-8AF9-0B0E428E0C10}"/>
    <cellStyle name="Comma 4 2 4 3" xfId="2280" xr:uid="{316DE3F1-1C2A-40F0-8AA9-9061B2CD5E5E}"/>
    <cellStyle name="Comma 4 2 4 4" xfId="2931" xr:uid="{C920CF45-1441-4DCC-9466-79FA5F366DBF}"/>
    <cellStyle name="Comma 4 2 4 5" xfId="3587" xr:uid="{32D413B8-D422-4AED-B42A-EB24538BE675}"/>
    <cellStyle name="Comma 4 2 4 6" xfId="4250" xr:uid="{D6952996-8CD2-4A5C-8577-57B62885CEBD}"/>
    <cellStyle name="Comma 4 2 4 7" xfId="1217" xr:uid="{0EA24D7D-D38F-49E3-AD8E-51808A75EBCB}"/>
    <cellStyle name="Comma 4 2 5" xfId="306" xr:uid="{30E5E8FC-12D0-4FF1-9B88-FCE5E2BA6850}"/>
    <cellStyle name="Comma 4 2 5 2" xfId="2391" xr:uid="{39118959-EEF4-4D5D-9733-C48457EFB145}"/>
    <cellStyle name="Comma 4 2 5 3" xfId="3042" xr:uid="{3833719D-CE6A-467B-A17F-F05E5D7D25D1}"/>
    <cellStyle name="Comma 4 2 5 4" xfId="3698" xr:uid="{5BD882A8-B4E9-4740-9C9C-DC1B7F7C6DB7}"/>
    <cellStyle name="Comma 4 2 5 5" xfId="4361" xr:uid="{38E5B58F-58D1-48A3-BA65-B9BD7A1332FF}"/>
    <cellStyle name="Comma 4 2 5 6" xfId="1332" xr:uid="{3E1BCCD5-781B-4DA0-B5EF-C40C6CB9F836}"/>
    <cellStyle name="Comma 4 2 6" xfId="983" xr:uid="{804E436F-6BFE-4120-8475-18C2CFFA4D4A}"/>
    <cellStyle name="Comma 4 2 7" xfId="2064" xr:uid="{F3A1197F-3132-4A6B-8DB7-2CD8D9A9589D}"/>
    <cellStyle name="Comma 4 2 8" xfId="2715" xr:uid="{2503C4DB-A885-42DD-A4FB-6E6FD23A9760}"/>
    <cellStyle name="Comma 4 2 9" xfId="3370" xr:uid="{606C5061-DBF4-4BCE-A3B7-3775B7C3DAB3}"/>
    <cellStyle name="Comma 4 3" xfId="376" xr:uid="{C32251AF-E210-4497-A1E4-7785CB9174A9}"/>
    <cellStyle name="Comma 4 3 10" xfId="4051" xr:uid="{D9401555-A9A5-49E7-92CE-7B6BAC4DC220}"/>
    <cellStyle name="Comma 4 3 11" xfId="1005" xr:uid="{B55DD214-AE3C-48EE-A0B8-86D0CB816B4A}"/>
    <cellStyle name="Comma 4 3 2" xfId="490" xr:uid="{F1032970-33B9-4A3F-836F-DF8357B54D32}"/>
    <cellStyle name="Comma 4 3 2 10" xfId="1067" xr:uid="{806A01A8-9ECE-4B71-A9DB-5CBBC778D2B8}"/>
    <cellStyle name="Comma 4 3 2 2" xfId="709" xr:uid="{63DACD1F-5BF0-4E64-83DE-5A5CC59F138F}"/>
    <cellStyle name="Comma 4 3 2 2 2" xfId="1511" xr:uid="{33DE95B9-B3BC-420A-A0C3-B98BEC6B09F5}"/>
    <cellStyle name="Comma 4 3 2 2 2 2" xfId="2570" xr:uid="{E7143B99-B377-4F9F-B191-06FDA0012042}"/>
    <cellStyle name="Comma 4 3 2 2 2 3" xfId="3221" xr:uid="{298DABF3-2B4A-4596-BC1F-D1B14F99E4FE}"/>
    <cellStyle name="Comma 4 3 2 2 2 4" xfId="3877" xr:uid="{74C989EC-8E69-4476-8D05-976D924932D6}"/>
    <cellStyle name="Comma 4 3 2 2 2 5" xfId="4540" xr:uid="{9B32C5EB-1B8D-4AB7-A2D3-36FD5A6BE930}"/>
    <cellStyle name="Comma 4 3 2 2 3" xfId="1896" xr:uid="{9C00816B-0F7C-4A07-9F6E-152C63CFAED1}"/>
    <cellStyle name="Comma 4 3 2 2 4" xfId="2243" xr:uid="{1B7A9647-E63E-4D9D-82FA-506C987A2955}"/>
    <cellStyle name="Comma 4 3 2 2 5" xfId="2894" xr:uid="{A4A213A0-1315-4526-9F42-4E15B00D945D}"/>
    <cellStyle name="Comma 4 3 2 2 6" xfId="3550" xr:uid="{FC47C6B0-9931-4187-9B92-575F9A0A80B5}"/>
    <cellStyle name="Comma 4 3 2 2 7" xfId="4213" xr:uid="{82F45364-5709-41C3-AA41-70EBDABF9305}"/>
    <cellStyle name="Comma 4 3 2 2 8" xfId="1174" xr:uid="{BDC36D5A-EB91-43E0-BAA3-4304506D775E}"/>
    <cellStyle name="Comma 4 3 2 3" xfId="1288" xr:uid="{45CE8252-B699-462E-853F-BFA80DACF131}"/>
    <cellStyle name="Comma 4 3 2 3 2" xfId="1619" xr:uid="{A644EE5D-D75E-4378-8ABE-F78E82C45717}"/>
    <cellStyle name="Comma 4 3 2 3 2 2" xfId="2678" xr:uid="{676ADCFF-6122-4F64-9BB5-C28BD76F87D5}"/>
    <cellStyle name="Comma 4 3 2 3 2 3" xfId="3329" xr:uid="{2F3CF09C-0FCA-4784-A579-B24F96CF2E7F}"/>
    <cellStyle name="Comma 4 3 2 3 2 4" xfId="3985" xr:uid="{7DDF2A98-9FF4-4892-ABA3-3899F63E22CA}"/>
    <cellStyle name="Comma 4 3 2 3 2 5" xfId="4648" xr:uid="{F2118F87-C8ED-4240-BDB3-CBBDDA05F58C}"/>
    <cellStyle name="Comma 4 3 2 3 3" xfId="2351" xr:uid="{1D5468EC-2039-4277-98BD-13A92FA65949}"/>
    <cellStyle name="Comma 4 3 2 3 4" xfId="3002" xr:uid="{5DE6BCE3-2CEF-40B4-A150-FD521C8261E9}"/>
    <cellStyle name="Comma 4 3 2 3 5" xfId="3658" xr:uid="{CB04790C-9064-4820-B840-0D24D1D48D47}"/>
    <cellStyle name="Comma 4 3 2 3 6" xfId="4321" xr:uid="{9F58BD3C-4A41-428D-87D9-B2ED0A5528F2}"/>
    <cellStyle name="Comma 4 3 2 4" xfId="1403" xr:uid="{F24E20E7-7B36-4722-B4E5-C250A05944D4}"/>
    <cellStyle name="Comma 4 3 2 4 2" xfId="2462" xr:uid="{E1CC994C-DCD9-40D7-9106-BB0FB76C990E}"/>
    <cellStyle name="Comma 4 3 2 4 3" xfId="3113" xr:uid="{60B60F4E-5CFE-4EC3-901B-21525A31EF8D}"/>
    <cellStyle name="Comma 4 3 2 4 4" xfId="3769" xr:uid="{32F2C052-EAF1-4401-AA43-D598C0BCE7D3}"/>
    <cellStyle name="Comma 4 3 2 4 5" xfId="4432" xr:uid="{5F667EFB-7FF5-4E5E-9FF6-86EE17E46A42}"/>
    <cellStyle name="Comma 4 3 2 5" xfId="1834" xr:uid="{15E2959E-5EFF-4F9D-A3C4-30D88478AED3}"/>
    <cellStyle name="Comma 4 3 2 6" xfId="2135" xr:uid="{9C39228E-DDF5-4B4F-8DF9-AAD30465E3D2}"/>
    <cellStyle name="Comma 4 3 2 7" xfId="2786" xr:uid="{285AFBD1-873E-48F5-B098-21471F3C1065}"/>
    <cellStyle name="Comma 4 3 2 8" xfId="3442" xr:uid="{F5C4D641-1DF0-46FF-BA92-E1E19DCD925C}"/>
    <cellStyle name="Comma 4 3 2 9" xfId="4105" xr:uid="{0363462A-C91B-439E-8538-6F15F760B068}"/>
    <cellStyle name="Comma 4 3 3" xfId="599" xr:uid="{43FEDF8A-25DF-4EDE-9854-2707D6F3CF55}"/>
    <cellStyle name="Comma 4 3 3 2" xfId="1457" xr:uid="{CD8BA260-9CD9-4EA3-B23E-6D40E4387B6D}"/>
    <cellStyle name="Comma 4 3 3 2 2" xfId="2516" xr:uid="{75037593-86C4-4366-8EAB-7673E3C592DB}"/>
    <cellStyle name="Comma 4 3 3 2 3" xfId="3167" xr:uid="{994FEDFE-1BE1-458A-9F15-A6CD2F78A0D9}"/>
    <cellStyle name="Comma 4 3 3 2 4" xfId="3823" xr:uid="{983A197F-6B6B-4786-894B-641AA6D7EE41}"/>
    <cellStyle name="Comma 4 3 3 2 5" xfId="4486" xr:uid="{72BA03AF-A5C4-40F2-8C55-CA634B248951}"/>
    <cellStyle name="Comma 4 3 3 3" xfId="1891" xr:uid="{34E2BF30-184E-4554-89AA-96E226EB0929}"/>
    <cellStyle name="Comma 4 3 3 4" xfId="2189" xr:uid="{6A11E1B9-D895-45FF-BB60-947BB7978B39}"/>
    <cellStyle name="Comma 4 3 3 5" xfId="2840" xr:uid="{2A318EEC-598D-4809-B9E0-C3C26F2A8931}"/>
    <cellStyle name="Comma 4 3 3 6" xfId="3496" xr:uid="{170C7AAC-3041-4388-A7AF-9FDE5C91B09D}"/>
    <cellStyle name="Comma 4 3 3 7" xfId="4159" xr:uid="{AD0DDB01-BBCC-4321-A514-1FB95684C703}"/>
    <cellStyle name="Comma 4 3 3 8" xfId="1120" xr:uid="{CE58A618-1C5F-4804-82D7-61BB52978FA4}"/>
    <cellStyle name="Comma 4 3 4" xfId="1234" xr:uid="{D14E4BDF-AF2A-42CC-A15C-D432AE60AE0D}"/>
    <cellStyle name="Comma 4 3 4 2" xfId="1565" xr:uid="{A50064CF-E0BD-4730-B344-ABF10C3E008B}"/>
    <cellStyle name="Comma 4 3 4 2 2" xfId="2624" xr:uid="{E8B1CBDC-87BC-4B5F-8441-91DBEF13CE05}"/>
    <cellStyle name="Comma 4 3 4 2 3" xfId="3275" xr:uid="{C8B22701-3AD9-47C6-91BE-EF04384C6399}"/>
    <cellStyle name="Comma 4 3 4 2 4" xfId="3931" xr:uid="{DDC68BBB-E043-417B-B39B-B00CBA098927}"/>
    <cellStyle name="Comma 4 3 4 2 5" xfId="4594" xr:uid="{6B50E30C-70C3-4734-8417-8DEFB19E23A8}"/>
    <cellStyle name="Comma 4 3 4 3" xfId="2297" xr:uid="{62EA389B-804B-4FA6-B1A1-6CDDDE1DE30C}"/>
    <cellStyle name="Comma 4 3 4 4" xfId="2948" xr:uid="{D55F5F59-F430-4AA1-A2A5-333E42D97D18}"/>
    <cellStyle name="Comma 4 3 4 5" xfId="3604" xr:uid="{23586EB3-E58C-47ED-9095-61C2F4E8A832}"/>
    <cellStyle name="Comma 4 3 4 6" xfId="4267" xr:uid="{C7474330-562C-4F21-B247-A378F17DAEFD}"/>
    <cellStyle name="Comma 4 3 5" xfId="1349" xr:uid="{DB9148B4-8AC0-4E6B-A489-BB254EE5CFC4}"/>
    <cellStyle name="Comma 4 3 5 2" xfId="2408" xr:uid="{E2E04151-6E1E-4004-8C46-AA2C8714C3F7}"/>
    <cellStyle name="Comma 4 3 5 3" xfId="3059" xr:uid="{D0620D38-B079-4114-867C-AC8D83F95F2E}"/>
    <cellStyle name="Comma 4 3 5 4" xfId="3715" xr:uid="{F7B4794A-6243-41BB-A991-93C270A59325}"/>
    <cellStyle name="Comma 4 3 5 5" xfId="4378" xr:uid="{D6A35DDA-6729-4729-A76C-52127E79FA0D}"/>
    <cellStyle name="Comma 4 3 6" xfId="1787" xr:uid="{129A88C5-4337-4385-8DAD-94A4C033E8F6}"/>
    <cellStyle name="Comma 4 3 7" xfId="2081" xr:uid="{E925D30F-19F5-4F3F-8D19-099F2F19B136}"/>
    <cellStyle name="Comma 4 3 8" xfId="2732" xr:uid="{C56DE143-9DB5-47A8-B967-3FF60C766E8E}"/>
    <cellStyle name="Comma 4 3 9" xfId="3387" xr:uid="{7D63E55E-157C-41A9-AA19-BFD8A1F69AD0}"/>
    <cellStyle name="Comma 4 4" xfId="333" xr:uid="{D422F006-4CD1-47DA-8DC5-551EE189C27D}"/>
    <cellStyle name="Comma 4 4 10" xfId="1034" xr:uid="{71B48CF6-E29C-4822-AEA8-96FCC712CD74}"/>
    <cellStyle name="Comma 4 4 2" xfId="452" xr:uid="{69D91D00-610A-442B-B73D-0CF0BFA1BC3A}"/>
    <cellStyle name="Comma 4 4 2 2" xfId="671" xr:uid="{4822E19D-B739-4EE1-9038-618EB8126D96}"/>
    <cellStyle name="Comma 4 4 2 2 2" xfId="2537" xr:uid="{16A3ECE4-6AB7-4B94-8B11-99D0F9FDFA65}"/>
    <cellStyle name="Comma 4 4 2 2 3" xfId="3188" xr:uid="{12499E02-7E9D-45F4-A514-259245632CE4}"/>
    <cellStyle name="Comma 4 4 2 2 4" xfId="3844" xr:uid="{9F872540-819D-4119-BA16-4D1D739787BF}"/>
    <cellStyle name="Comma 4 4 2 2 5" xfId="4507" xr:uid="{D92A3D27-DCE7-418A-96DE-B0DB0FDE1E88}"/>
    <cellStyle name="Comma 4 4 2 2 6" xfId="1478" xr:uid="{D2E132F9-3006-4AF1-BED6-39F9200F5682}"/>
    <cellStyle name="Comma 4 4 2 3" xfId="1919" xr:uid="{44C6B914-B22F-4C05-AC94-107F3DA612B7}"/>
    <cellStyle name="Comma 4 4 2 4" xfId="2210" xr:uid="{D5CDEAAE-517D-49C2-B553-1CC2AC07A2E4}"/>
    <cellStyle name="Comma 4 4 2 5" xfId="2861" xr:uid="{7776D7A3-19AA-49EA-8855-DBEFB3D274B8}"/>
    <cellStyle name="Comma 4 4 2 6" xfId="3517" xr:uid="{15E409B3-F6F2-4D53-9279-701923EF6A65}"/>
    <cellStyle name="Comma 4 4 2 7" xfId="4180" xr:uid="{46B1F2D0-6827-4F4C-9FA8-32729B56988F}"/>
    <cellStyle name="Comma 4 4 2 8" xfId="1141" xr:uid="{FCB412B0-BF55-4265-8FC3-D53ACD34040D}"/>
    <cellStyle name="Comma 4 4 3" xfId="561" xr:uid="{BD740870-2C25-4939-A525-2722B35D4B27}"/>
    <cellStyle name="Comma 4 4 3 2" xfId="1586" xr:uid="{E08A81CD-FADD-471F-AE22-E1A9F7E39B66}"/>
    <cellStyle name="Comma 4 4 3 2 2" xfId="2645" xr:uid="{E902B635-B828-43A2-9F78-31C91CDB1F8F}"/>
    <cellStyle name="Comma 4 4 3 2 3" xfId="3296" xr:uid="{97D57D2B-6A27-4C8D-B396-7C00AB4210CE}"/>
    <cellStyle name="Comma 4 4 3 2 4" xfId="3952" xr:uid="{3A4EE3BC-705B-4EE7-B971-B824BAFD47F1}"/>
    <cellStyle name="Comma 4 4 3 2 5" xfId="4615" xr:uid="{843E3358-20F9-49C3-BE1F-40027A096355}"/>
    <cellStyle name="Comma 4 4 3 3" xfId="2318" xr:uid="{D639336D-F9E9-428B-A580-E1ACF1E0C368}"/>
    <cellStyle name="Comma 4 4 3 4" xfId="2969" xr:uid="{EB67E23A-8E31-48CE-8F7F-0542738A25D3}"/>
    <cellStyle name="Comma 4 4 3 5" xfId="3625" xr:uid="{12B2409A-929D-4CE8-83DD-A7B1C15E56FD}"/>
    <cellStyle name="Comma 4 4 3 6" xfId="4288" xr:uid="{9C8F1E53-67F4-479A-AD4A-382CC38644C7}"/>
    <cellStyle name="Comma 4 4 3 7" xfId="1255" xr:uid="{3A5C6655-CAEE-4BB4-964E-9F97940893D0}"/>
    <cellStyle name="Comma 4 4 4" xfId="1370" xr:uid="{2E7E95AF-CD07-461C-BC1E-7BA50C89CCA8}"/>
    <cellStyle name="Comma 4 4 4 2" xfId="2429" xr:uid="{8F0AB3A2-9FBC-4C4A-A06F-C03A82D77895}"/>
    <cellStyle name="Comma 4 4 4 3" xfId="3080" xr:uid="{F173099D-7ADE-44FA-AE3D-8972C1B81511}"/>
    <cellStyle name="Comma 4 4 4 4" xfId="3736" xr:uid="{C4E5CDB2-9757-4CB6-A642-1518F1166723}"/>
    <cellStyle name="Comma 4 4 4 5" xfId="4399" xr:uid="{BBC56D8C-5A7C-4605-98E4-4DF84665EE30}"/>
    <cellStyle name="Comma 4 4 5" xfId="1922" xr:uid="{7A0EF4F1-A216-4594-8D69-BFE5E31E99A4}"/>
    <cellStyle name="Comma 4 4 6" xfId="2102" xr:uid="{C53099D6-CFBD-40C3-BFAF-FDE0168E0A05}"/>
    <cellStyle name="Comma 4 4 7" xfId="2753" xr:uid="{7A3F356F-90E7-40CE-94D9-5519463D9357}"/>
    <cellStyle name="Comma 4 4 8" xfId="3409" xr:uid="{E4A26D42-10C5-40D0-B479-F6DB196CF508}"/>
    <cellStyle name="Comma 4 4 9" xfId="4072" xr:uid="{482A79C6-F634-4BEA-8754-68871F741AB6}"/>
    <cellStyle name="Comma 4 5" xfId="314" xr:uid="{8F1FC664-265C-4B3E-AB9F-60DC67A910C7}"/>
    <cellStyle name="Comma 4 5 2" xfId="435" xr:uid="{459E19BC-C822-4971-9D5C-799F162FC92F}"/>
    <cellStyle name="Comma 4 5 2 2" xfId="654" xr:uid="{B62A9531-D9A5-4665-8666-522C7C134BD3}"/>
    <cellStyle name="Comma 4 5 2 2 2" xfId="2483" xr:uid="{EBF0178D-C990-44B4-BF90-BB83ABEB89F8}"/>
    <cellStyle name="Comma 4 5 2 3" xfId="3134" xr:uid="{4393D81B-F8C5-4C20-87C0-DA8EDC740755}"/>
    <cellStyle name="Comma 4 5 2 4" xfId="3790" xr:uid="{92700A2D-9D93-4108-AA94-7E3BABFAFA73}"/>
    <cellStyle name="Comma 4 5 2 5" xfId="4453" xr:uid="{579AAECF-D97C-40B2-B29D-3E55544C8026}"/>
    <cellStyle name="Comma 4 5 2 6" xfId="1424" xr:uid="{E381FF11-F38B-4E87-BB63-8B2746D08AEB}"/>
    <cellStyle name="Comma 4 5 3" xfId="544" xr:uid="{B3EC1888-2B4C-499E-AC9F-B6DA345D3DF2}"/>
    <cellStyle name="Comma 4 5 3 2" xfId="1970" xr:uid="{3CA9BB09-BE64-438D-A6E9-69C0F5C6AEAA}"/>
    <cellStyle name="Comma 4 5 4" xfId="2156" xr:uid="{6DA6FB1A-6492-4C32-8440-B08519C6BFBD}"/>
    <cellStyle name="Comma 4 5 5" xfId="2807" xr:uid="{61B516A7-0F67-4905-92C5-F38F7A0E6E48}"/>
    <cellStyle name="Comma 4 5 6" xfId="3463" xr:uid="{DA52F2CE-810B-41D0-886A-63439FBB8281}"/>
    <cellStyle name="Comma 4 5 7" xfId="4126" xr:uid="{F8257459-9469-4909-BF26-C45D523BA6FD}"/>
    <cellStyle name="Comma 4 5 8" xfId="1087" xr:uid="{ECDA2A43-BB60-4FA4-820C-F14691A5EB4A}"/>
    <cellStyle name="Comma 4 6" xfId="406" xr:uid="{F5503638-3FEB-4ECF-84DA-4377295E658E}"/>
    <cellStyle name="Comma 4 6 2" xfId="625" xr:uid="{382F8737-C019-463F-99BD-3A18274F7E50}"/>
    <cellStyle name="Comma 4 6 2 2" xfId="2591" xr:uid="{AFC320D0-F866-45C2-AFD8-43498ED896AA}"/>
    <cellStyle name="Comma 4 6 2 3" xfId="3242" xr:uid="{6E199BBA-C009-49E7-B61C-6859F09EC412}"/>
    <cellStyle name="Comma 4 6 2 4" xfId="3898" xr:uid="{5DC14674-2F42-4593-A20A-27CCB3CA2734}"/>
    <cellStyle name="Comma 4 6 2 5" xfId="4561" xr:uid="{989134A8-171E-45F7-8809-00CDD857ECDF}"/>
    <cellStyle name="Comma 4 6 2 6" xfId="1532" xr:uid="{460003F0-3C1B-459D-BB16-EB2C6CFEBE94}"/>
    <cellStyle name="Comma 4 6 3" xfId="2264" xr:uid="{6E40CE13-C0FE-46C7-A109-54C470F4666C}"/>
    <cellStyle name="Comma 4 6 4" xfId="2915" xr:uid="{34DD5DD5-E8A9-4E2D-89E8-F405AC7F6C9E}"/>
    <cellStyle name="Comma 4 6 5" xfId="3571" xr:uid="{0C7C78AC-3DD0-4AF3-A4BF-11F112013AAB}"/>
    <cellStyle name="Comma 4 6 6" xfId="4234" xr:uid="{02D7EDAD-1762-47AB-8892-FFF79C0C9B01}"/>
    <cellStyle name="Comma 4 6 7" xfId="1201" xr:uid="{6A3421BF-3730-47D1-8A69-786A3FD35911}"/>
    <cellStyle name="Comma 4 7" xfId="515" xr:uid="{73AB255E-9D4E-4FD3-BB86-C833F6D88FC5}"/>
    <cellStyle name="Comma 4 7 2" xfId="2375" xr:uid="{AD96E46F-987C-42C1-926D-6C9D7CB1D641}"/>
    <cellStyle name="Comma 4 7 3" xfId="3026" xr:uid="{D5455ACA-1691-442F-A1DF-B28D8D4A5534}"/>
    <cellStyle name="Comma 4 7 4" xfId="3682" xr:uid="{BFD501A5-DCB1-4157-BF2E-1CBA1E78388C}"/>
    <cellStyle name="Comma 4 7 5" xfId="4345" xr:uid="{FC1545BC-BC26-4FCA-86AF-C23458855A35}"/>
    <cellStyle name="Comma 4 7 6" xfId="1316" xr:uid="{C7FCFAE3-60F4-40F4-8E72-1D30B1D8AF61}"/>
    <cellStyle name="Comma 4 8" xfId="285" xr:uid="{501D9AED-5564-4A60-ABCF-2A5230C4E039}"/>
    <cellStyle name="Comma 4 8 2" xfId="944" xr:uid="{EE65F5A3-7241-4309-AF3F-97F7F24E1A8B}"/>
    <cellStyle name="Comma 4 9" xfId="2048" xr:uid="{2321394A-39EB-4A8F-8AA9-2D9133CCE18C}"/>
    <cellStyle name="Comma 40" xfId="3992" xr:uid="{4094A98E-7D2B-4173-914D-F4B28FF78B78}"/>
    <cellStyle name="Comma 41" xfId="3388" xr:uid="{05105673-728A-4D4F-9317-E33076048351}"/>
    <cellStyle name="Comma 42" xfId="3996" xr:uid="{97D34AE8-D39A-47E8-9A5A-37EA7C3B510C}"/>
    <cellStyle name="Comma 43" xfId="4000" xr:uid="{D04A3CDB-60D1-4506-935B-323C61E00862}"/>
    <cellStyle name="Comma 44" xfId="3995" xr:uid="{8AAD9374-E95D-4886-889C-2F35467DE20A}"/>
    <cellStyle name="Comma 45" xfId="3338" xr:uid="{5B82281A-DD66-4433-B0A0-D304E77084ED}"/>
    <cellStyle name="Comma 46" xfId="3999" xr:uid="{A402F001-003A-4374-86C7-82067CC374F3}"/>
    <cellStyle name="Comma 47" xfId="3997" xr:uid="{1728F778-A289-4B61-8190-B4FCF02C0890}"/>
    <cellStyle name="Comma 48" xfId="3993" xr:uid="{F8964B98-56C6-48FA-A2F9-510271B9FA6A}"/>
    <cellStyle name="Comma 49" xfId="3998" xr:uid="{1C2D8BBA-AB7C-472B-B6FF-1F484B00E807}"/>
    <cellStyle name="Comma 5" xfId="124" xr:uid="{6C488CE3-EB94-4C90-B035-47838962C5EE}"/>
    <cellStyle name="Comma 5 2" xfId="263" xr:uid="{55F94736-A136-492D-B348-9EC95D7F41BB}"/>
    <cellStyle name="Comma 5 2 2" xfId="360" xr:uid="{AE02DDEC-8365-4074-97A6-4602EA879FCA}"/>
    <cellStyle name="Comma 5 2 2 2" xfId="476" xr:uid="{C4D74133-285F-43D8-AEA4-063586694A2C}"/>
    <cellStyle name="Comma 5 2 2 2 2" xfId="695" xr:uid="{3244F999-9808-4BB9-9E41-7A8F3CE6EF8B}"/>
    <cellStyle name="Comma 5 2 2 3" xfId="585" xr:uid="{17C3A581-2656-4FFD-84F2-31ED05D90213}"/>
    <cellStyle name="Comma 5 2 2 4" xfId="1756" xr:uid="{9B4A8E90-34DF-497E-BD88-1585890301E4}"/>
    <cellStyle name="Comma 5 2 3" xfId="432" xr:uid="{A42A92D5-56BB-412F-AC49-F6933B9D4C73}"/>
    <cellStyle name="Comma 5 2 3 2" xfId="651" xr:uid="{16934C52-F2C3-40D7-B916-729D3F9D926F}"/>
    <cellStyle name="Comma 5 2 4" xfId="541" xr:uid="{16C5A5F6-3A68-4C28-A30F-3D0705BCCE54}"/>
    <cellStyle name="Comma 5 2 5" xfId="311" xr:uid="{8FCA00AE-7834-41E0-A35F-D4DFE9E73556}"/>
    <cellStyle name="Comma 5 2 6" xfId="945" xr:uid="{D1D2F7E7-B129-41ED-9E38-588FC32B6E76}"/>
    <cellStyle name="Comma 5 3" xfId="381" xr:uid="{E9EAE783-A5C0-4743-B3D9-2965CE48BB69}"/>
    <cellStyle name="Comma 5 3 2" xfId="495" xr:uid="{2BED9993-0976-4B44-BAB1-00704A69D6A2}"/>
    <cellStyle name="Comma 5 3 2 2" xfId="714" xr:uid="{0AB376A6-DFDE-4981-935B-F8EE26258220}"/>
    <cellStyle name="Comma 5 3 3" xfId="604" xr:uid="{CF083C28-5C24-4B5E-A5A3-55B50B162AD8}"/>
    <cellStyle name="Comma 5 3 4" xfId="1792" xr:uid="{E10DE477-C880-47E9-9F37-115807D1F3D0}"/>
    <cellStyle name="Comma 5 4" xfId="341" xr:uid="{782BCE0E-E7AA-4874-9848-94CD11BA5AD5}"/>
    <cellStyle name="Comma 5 4 2" xfId="457" xr:uid="{D83AB85C-F1FB-4F7B-9F9E-CD28E4A2D7D7}"/>
    <cellStyle name="Comma 5 4 2 2" xfId="676" xr:uid="{718D563F-5E69-4947-9E05-A049CA0D8A0E}"/>
    <cellStyle name="Comma 5 4 3" xfId="566" xr:uid="{A4E3C9FB-3F20-44DC-BC4A-1C7E2872271B}"/>
    <cellStyle name="Comma 5 5" xfId="411" xr:uid="{AFA965D4-8583-4B7C-8793-4928947C624F}"/>
    <cellStyle name="Comma 5 5 2" xfId="630" xr:uid="{5DB3973C-E2EB-4EAD-828A-A4CFD8713D5F}"/>
    <cellStyle name="Comma 5 6" xfId="520" xr:uid="{E2A90C9D-B6D5-461B-B208-30639B2B8F7A}"/>
    <cellStyle name="Comma 5 7" xfId="290" xr:uid="{EDDEE739-863A-4C33-ACB2-9D7E3DB462A5}"/>
    <cellStyle name="Comma 5 8" xfId="920" xr:uid="{D089AB81-1257-4FDC-AE5A-5B7C9C1FD0B5}"/>
    <cellStyle name="Comma 5 9" xfId="242" xr:uid="{F23BF649-4466-41EA-8B0A-39858C6E6F7A}"/>
    <cellStyle name="Comma 50" xfId="3994" xr:uid="{84D9546E-5D46-440B-A860-4F7882519BFD}"/>
    <cellStyle name="Comma 51" xfId="4002" xr:uid="{A9022D01-6FF1-44C7-92B3-39138BE51737}"/>
    <cellStyle name="Comma 52" xfId="4001" xr:uid="{69360DD6-5BB6-4208-A137-90FDF78DB78A}"/>
    <cellStyle name="Comma 53" xfId="4003" xr:uid="{59247F76-F353-4A7B-9CE6-D8253DA347B6}"/>
    <cellStyle name="Comma 54" xfId="1775" xr:uid="{1C95A4D8-75AE-4EC3-B069-77879A6160B8}"/>
    <cellStyle name="Comma 54 2" xfId="4657" xr:uid="{F8404B1A-CCEE-41A3-9327-5B7671E04751}"/>
    <cellStyle name="Comma 55" xfId="722" xr:uid="{CBE9B71D-2FD8-4022-B2CD-C7AF015D0C72}"/>
    <cellStyle name="Comma 56" xfId="145" xr:uid="{C3C0184E-DBF7-44BB-936E-312DCE71DDE1}"/>
    <cellStyle name="Comma 57" xfId="150" xr:uid="{F4C93ECA-17FB-4153-AB92-09B12DC14B85}"/>
    <cellStyle name="Comma 58" xfId="4691" xr:uid="{5BDE6F6B-58BD-438D-BB97-DA448E15AEA4}"/>
    <cellStyle name="Comma 59" xfId="4709" xr:uid="{77380255-1370-42A7-BF53-26E4DFB4E91B}"/>
    <cellStyle name="Comma 6" xfId="130" xr:uid="{695EC977-FE23-420E-BCDF-3403D1C61ADC}"/>
    <cellStyle name="Comma 6 2" xfId="383" xr:uid="{A6C25199-C1D1-46EE-9FB0-782F867FC867}"/>
    <cellStyle name="Comma 6 2 2" xfId="497" xr:uid="{A0DFBF9F-CD8C-4A32-AB4F-1C6D0F47D629}"/>
    <cellStyle name="Comma 6 2 2 2" xfId="716" xr:uid="{117A632B-B2A9-4FE1-AFE8-27DDF7DC398B}"/>
    <cellStyle name="Comma 6 2 3" xfId="606" xr:uid="{BA88A186-AA5A-4D35-8E52-2AF3EB97BBC9}"/>
    <cellStyle name="Comma 6 2 4" xfId="947" xr:uid="{695D78E5-9694-44B7-A5A6-15853E5EE125}"/>
    <cellStyle name="Comma 6 3" xfId="413" xr:uid="{E118CA03-4AE0-4D5F-951F-6BB9963814F3}"/>
    <cellStyle name="Comma 6 3 2" xfId="632" xr:uid="{D512D956-CA8D-4219-B104-0D7BFD6D3F15}"/>
    <cellStyle name="Comma 6 3 3" xfId="946" xr:uid="{99186876-7F16-4C94-A757-9E85D1749484}"/>
    <cellStyle name="Comma 6 4" xfId="522" xr:uid="{2EC69B1D-3BF5-4001-8EAC-468A5E5E33A5}"/>
    <cellStyle name="Comma 6 5" xfId="292" xr:uid="{775FE577-DB97-4F3B-8BB3-DD7FECAAA75A}"/>
    <cellStyle name="Comma 6 6" xfId="925" xr:uid="{8722C0B3-943B-43C8-A7A9-DFE32BC32C68}"/>
    <cellStyle name="Comma 6 7" xfId="244" xr:uid="{C063FA28-B98D-4287-BA45-D1A2AE4C23FD}"/>
    <cellStyle name="Comma 60" xfId="4724" xr:uid="{820BBC66-B727-4778-A934-A0E690D1D9F3}"/>
    <cellStyle name="Comma 61" xfId="4725" xr:uid="{EA49870C-ABFA-47A0-B22F-41EC2D8EF668}"/>
    <cellStyle name="Comma 62" xfId="4663" xr:uid="{9AA66263-EB41-411A-83DC-5379500F7227}"/>
    <cellStyle name="Comma 63" xfId="4714" xr:uid="{582796E7-710B-42AE-91F1-A6865CCB63C6}"/>
    <cellStyle name="Comma 64" xfId="4734" xr:uid="{0AE09F30-86C7-4CCE-8893-7F5E28B04CBB}"/>
    <cellStyle name="Comma 65" xfId="4743" xr:uid="{3B12B63B-C3E4-4182-B2BC-F85A8C245AAA}"/>
    <cellStyle name="Comma 66" xfId="4716" xr:uid="{97608F48-1F51-45E3-9B4D-6849EC343A49}"/>
    <cellStyle name="Comma 67" xfId="4708" xr:uid="{90BAEAB3-76FA-4A8E-97CF-3B4CE34AEDD0}"/>
    <cellStyle name="Comma 68" xfId="4704" xr:uid="{676B3609-1862-4556-B1FC-1F5AE834C152}"/>
    <cellStyle name="Comma 69" xfId="4696" xr:uid="{26BB8269-689E-40A4-BF8B-FDD9B15B7099}"/>
    <cellStyle name="Comma 7" xfId="123" xr:uid="{72F1ED5F-DDC6-4CDA-B00D-DC98B29CECE4}"/>
    <cellStyle name="Comma 7 2" xfId="949" xr:uid="{45CDE525-6D23-496A-81A3-AA3EA8DA8C06}"/>
    <cellStyle name="Comma 7 3" xfId="948" xr:uid="{50464A11-F1BB-4673-B487-327E46F4FD3B}"/>
    <cellStyle name="Comma 7 4" xfId="283" xr:uid="{00FC5E82-B3F6-4C9E-8E86-398D7A6C0338}"/>
    <cellStyle name="Comma 70" xfId="4702" xr:uid="{AF608FE9-46B5-4CC2-83B0-8BF34489028F}"/>
    <cellStyle name="Comma 71" xfId="4684" xr:uid="{1755D125-741A-4160-99CA-BD3B115BED7F}"/>
    <cellStyle name="Comma 72" xfId="4661" xr:uid="{EDE69316-8214-4D43-9031-775023A81565}"/>
    <cellStyle name="Comma 73" xfId="4720" xr:uid="{FF377DF3-AD2D-4EFE-9341-5474804B8D0C}"/>
    <cellStyle name="Comma 74" xfId="4735" xr:uid="{3415B5F8-4EDF-4D7F-86EC-4351DA49DA13}"/>
    <cellStyle name="Comma 75" xfId="4755" xr:uid="{3D82A457-FDFD-440E-B4D5-63D1FE5E8224}"/>
    <cellStyle name="Comma 76" xfId="4715" xr:uid="{082E1120-0970-4759-AE5C-A37A0F94F86A}"/>
    <cellStyle name="Comma 77" xfId="4737" xr:uid="{F2B6016E-1D56-434E-975B-703882FF4053}"/>
    <cellStyle name="Comma 78" xfId="4730" xr:uid="{34CC17CE-F389-44B3-BE56-D46B8D169EF1}"/>
    <cellStyle name="Comma 79" xfId="4692" xr:uid="{D2B87756-5F8E-4818-B970-1DF2E0E58C71}"/>
    <cellStyle name="Comma 8" xfId="51" xr:uid="{1423B070-E10B-4A2E-8FCC-C4F581F3D9A4}"/>
    <cellStyle name="Comma 8 2" xfId="950" xr:uid="{1FADD226-609F-422B-9305-621FB8AA36D4}"/>
    <cellStyle name="Comma 80" xfId="4736" xr:uid="{D89920B6-C9EE-4EBB-A369-E5842F086C25}"/>
    <cellStyle name="Comma 81" xfId="4739" xr:uid="{647AE0C5-5A5C-4390-8BA1-C90648A7E8FF}"/>
    <cellStyle name="Comma 82" xfId="4756" xr:uid="{8E32BD20-4E6C-46DA-B7CF-40DD7D404361}"/>
    <cellStyle name="Comma 83" xfId="4693" xr:uid="{8D99141A-3905-4786-8DA5-72ADCA274A48}"/>
    <cellStyle name="Comma 84" xfId="4748" xr:uid="{D726CFB6-B6D9-470E-AABF-6E38B57B9684}"/>
    <cellStyle name="Comma 85" xfId="4738" xr:uid="{BFBF197D-9C98-4D6B-A925-F971A0885E67}"/>
    <cellStyle name="Comma 86" xfId="4712" xr:uid="{17FC422A-721D-4AA4-8DCC-94BFDEE3D7B8}"/>
    <cellStyle name="Comma 87" xfId="4710" xr:uid="{D6099B40-DAA9-48A5-A23B-173128F9E48C}"/>
    <cellStyle name="Comma 88" xfId="4679" xr:uid="{3AF21D7B-59B5-43C5-9809-73571766186F}"/>
    <cellStyle name="Comma 89" xfId="4688" xr:uid="{89861CED-794A-4EBA-BD62-6653B0D48D56}"/>
    <cellStyle name="Comma 9" xfId="56" xr:uid="{99A84274-154D-4DBE-8064-3415C1C50E75}"/>
    <cellStyle name="Comma 9 2" xfId="1004" xr:uid="{BBD3D20F-E94F-41BC-9B37-277EC62A33F3}"/>
    <cellStyle name="Comma 9 2 2" xfId="1018" xr:uid="{30260285-3A46-4055-8CBB-7F279769B2BB}"/>
    <cellStyle name="Comma 9 3" xfId="951" xr:uid="{D4E34621-3752-4C23-8747-39E2D5946856}"/>
    <cellStyle name="Comma 90" xfId="4719" xr:uid="{7D5DA176-B79F-482B-93F6-07D6F3551D7C}"/>
    <cellStyle name="Comma 91" xfId="4673" xr:uid="{29EFF648-6DA1-476F-9F13-E991726A9B2C}"/>
    <cellStyle name="Comma0" xfId="197" xr:uid="{CE17E0B0-9E73-4BDE-8A92-28B5F948F6B6}"/>
    <cellStyle name="Comma0 2" xfId="198" xr:uid="{A341C8F3-537E-400E-9D61-9C032AB17BF7}"/>
    <cellStyle name="Comma0 2 2" xfId="199" xr:uid="{BFAEBB92-1FDE-4BD8-BFA0-0554CE140E36}"/>
    <cellStyle name="Curren - Style1" xfId="70" xr:uid="{E82722B0-D9A9-42C2-BDF0-609BE46B8954}"/>
    <cellStyle name="Currency [0] 2" xfId="119" xr:uid="{6BBD9902-CC43-4FE5-84FA-67098486F8EA}"/>
    <cellStyle name="Currency [0] 3" xfId="127" xr:uid="{4D396F4D-0E43-489D-A21B-63F1D2D6C6FB}"/>
    <cellStyle name="Currency [0] 4" xfId="114" xr:uid="{FBF53A40-555B-48CB-A112-AD015845AE4F}"/>
    <cellStyle name="Currency 10" xfId="136" xr:uid="{C535B9D2-8C47-4061-99A9-6414FBFB96DC}"/>
    <cellStyle name="Currency 11" xfId="132" xr:uid="{A05E9B8B-6656-4D3B-A075-498E1A341F1C}"/>
    <cellStyle name="Currency 12" xfId="46" xr:uid="{51285CEF-359D-465B-A2A2-59A2DFE90E6B}"/>
    <cellStyle name="Currency 2" xfId="69" xr:uid="{2954D067-6D0C-436F-9DF3-AE4EF10C12D9}"/>
    <cellStyle name="Currency 2 2" xfId="137" xr:uid="{CAC0B1D9-2AF5-496E-869A-A3385B92A42B}"/>
    <cellStyle name="Currency 2 2 2" xfId="1019" xr:uid="{AB3B1E81-5117-4231-8648-7B9A917A6C8A}"/>
    <cellStyle name="Currency 2 2 2 2" xfId="1813" xr:uid="{7941CF54-B03E-4968-A417-EDE9E0FA6371}"/>
    <cellStyle name="Currency 2 2 2 3" xfId="1765" xr:uid="{67BC59D9-A5F4-4937-814F-963A7A24F378}"/>
    <cellStyle name="Currency 2 2 3" xfId="1006" xr:uid="{C07A1EA9-21C8-477D-A7FE-8FEF6D9FAA80}"/>
    <cellStyle name="Currency 2 2 4" xfId="765" xr:uid="{EA9B5B79-5BA6-498A-868B-7CC1DF315DA8}"/>
    <cellStyle name="Currency 2 3" xfId="952" xr:uid="{F7CAB47B-D197-43BF-A957-08ACED99E71E}"/>
    <cellStyle name="Currency 2 4" xfId="764" xr:uid="{0BBD6598-22C4-46E4-BEA3-23F91F3FCA83}"/>
    <cellStyle name="Currency 2 5" xfId="240" xr:uid="{CE688B86-A62A-4267-AD86-238D4F6F3168}"/>
    <cellStyle name="Currency 3" xfId="72" xr:uid="{5F4297E5-65AB-417B-926E-969BC53E45A3}"/>
    <cellStyle name="Currency 3 2" xfId="141" xr:uid="{6280AC36-2F58-4C66-AD61-D7320C16613C}"/>
    <cellStyle name="Currency 3 2 2" xfId="1013" xr:uid="{706864B2-92ED-48DF-B814-966F69CF6538}"/>
    <cellStyle name="Currency 3 3" xfId="984" xr:uid="{624829B1-50BB-46FF-9D40-325AF4767D7D}"/>
    <cellStyle name="Currency 4" xfId="66" xr:uid="{ADDF4DC4-DCEE-4D11-8A36-ABB636EBAF91}"/>
    <cellStyle name="Currency 4 10" xfId="4056" xr:uid="{B051AB4E-4E83-445B-9A79-C32C64009F9F}"/>
    <cellStyle name="Currency 4 11" xfId="926" xr:uid="{78585B81-A05A-4292-A938-E1FAA2280EA3}"/>
    <cellStyle name="Currency 4 2" xfId="1072" xr:uid="{23B3A342-34C0-4010-B462-3014CF857588}"/>
    <cellStyle name="Currency 4 2 2" xfId="1179" xr:uid="{A5AEC63D-95CB-4FFD-834C-692868747872}"/>
    <cellStyle name="Currency 4 2 2 2" xfId="1516" xr:uid="{3D74E8B2-9024-47D0-92C0-B163CA4410F2}"/>
    <cellStyle name="Currency 4 2 2 2 2" xfId="2575" xr:uid="{99985EF3-7B98-4A87-B4F8-28F2649BC275}"/>
    <cellStyle name="Currency 4 2 2 2 3" xfId="3226" xr:uid="{661CB042-F2A4-4EA5-9BC8-6EF132F13A6B}"/>
    <cellStyle name="Currency 4 2 2 2 4" xfId="3882" xr:uid="{3D4F3B20-7192-41F3-964C-625D368EF10A}"/>
    <cellStyle name="Currency 4 2 2 2 5" xfId="4545" xr:uid="{5EB97621-ED43-4C46-B143-954937A0325F}"/>
    <cellStyle name="Currency 4 2 2 3" xfId="1832" xr:uid="{CEA45C9B-623D-4299-973E-613372B86A41}"/>
    <cellStyle name="Currency 4 2 2 4" xfId="2248" xr:uid="{12BF87C2-BFAF-4BB2-A51E-6750E22DB2F6}"/>
    <cellStyle name="Currency 4 2 2 5" xfId="2899" xr:uid="{93745580-6D10-4E77-9B04-3ECD367D8636}"/>
    <cellStyle name="Currency 4 2 2 6" xfId="3555" xr:uid="{EB08E456-FD75-4168-AE8F-CAF91C0025E0}"/>
    <cellStyle name="Currency 4 2 2 7" xfId="4218" xr:uid="{6B7DAC70-303B-48BB-9A8E-7D22AA70B7C0}"/>
    <cellStyle name="Currency 4 2 3" xfId="1293" xr:uid="{E04B5D29-89CB-44B5-8D6A-EEA1F7EDA1FD}"/>
    <cellStyle name="Currency 4 2 3 2" xfId="1624" xr:uid="{A85EE78A-D0F8-4229-A6FC-80FCDF31481F}"/>
    <cellStyle name="Currency 4 2 3 2 2" xfId="2683" xr:uid="{7EA75B78-553A-4630-92A3-56A0DA85789F}"/>
    <cellStyle name="Currency 4 2 3 2 3" xfId="3334" xr:uid="{AFC17D95-1558-4974-90FA-C4552CEA3365}"/>
    <cellStyle name="Currency 4 2 3 2 4" xfId="3990" xr:uid="{1A3FBA70-3C98-4146-AB56-A5B79A1EE54F}"/>
    <cellStyle name="Currency 4 2 3 2 5" xfId="4653" xr:uid="{86B24B44-84F2-48EB-A1E1-9176F556F61E}"/>
    <cellStyle name="Currency 4 2 3 3" xfId="2356" xr:uid="{B48DE949-8225-40EC-AFD1-094C41E1C448}"/>
    <cellStyle name="Currency 4 2 3 4" xfId="3007" xr:uid="{644262CE-B3C1-4D47-AEC1-8FAB26DC3974}"/>
    <cellStyle name="Currency 4 2 3 5" xfId="3663" xr:uid="{E2F1BD4F-25D9-464E-9F90-96616416EBEA}"/>
    <cellStyle name="Currency 4 2 3 6" xfId="4326" xr:uid="{8581BE38-519A-4AD8-8C40-1DF7A238D2A5}"/>
    <cellStyle name="Currency 4 2 4" xfId="1408" xr:uid="{D30BE3C0-C555-421C-8B04-FDD7FEA96F51}"/>
    <cellStyle name="Currency 4 2 4 2" xfId="2467" xr:uid="{29C060C7-A5EF-411B-9963-76D5FA2688F3}"/>
    <cellStyle name="Currency 4 2 4 3" xfId="3118" xr:uid="{C1852159-43BA-4CD4-BEE7-1035CAC3F572}"/>
    <cellStyle name="Currency 4 2 4 4" xfId="3774" xr:uid="{0977A4B2-DBB9-49B3-B20D-260F4EC009FA}"/>
    <cellStyle name="Currency 4 2 4 5" xfId="4437" xr:uid="{FE764F0A-0641-48C0-B68F-79750535489D}"/>
    <cellStyle name="Currency 4 2 5" xfId="1870" xr:uid="{CBBC2228-BA3F-4814-AEFC-5885B1F73698}"/>
    <cellStyle name="Currency 4 2 6" xfId="2140" xr:uid="{2779112E-F8BD-489C-8A8D-878B2737D53C}"/>
    <cellStyle name="Currency 4 2 7" xfId="2791" xr:uid="{308B98DD-5513-420D-8377-940A0FF445BA}"/>
    <cellStyle name="Currency 4 2 8" xfId="3447" xr:uid="{3681E247-854A-4E95-8D60-5C66A45D9478}"/>
    <cellStyle name="Currency 4 2 9" xfId="4110" xr:uid="{1B7E1A64-7F26-4E01-A496-F6C8428287BA}"/>
    <cellStyle name="Currency 4 3" xfId="1125" xr:uid="{5374FE5B-DE78-4BE5-A9E3-C9262AB7356B}"/>
    <cellStyle name="Currency 4 3 2" xfId="1462" xr:uid="{AFD5E25D-7B99-4F3F-8479-6F9FB4430381}"/>
    <cellStyle name="Currency 4 3 2 2" xfId="2521" xr:uid="{E6548134-DC82-4405-9E64-5D267C52429B}"/>
    <cellStyle name="Currency 4 3 2 3" xfId="3172" xr:uid="{1CA64E0A-FFDE-4917-93F1-85C62C605436}"/>
    <cellStyle name="Currency 4 3 2 4" xfId="3828" xr:uid="{48CC838E-E971-4F00-B558-756D04E304C9}"/>
    <cellStyle name="Currency 4 3 2 5" xfId="4491" xr:uid="{E8835E21-C1A0-4DFF-BB76-5568C4899855}"/>
    <cellStyle name="Currency 4 3 3" xfId="1839" xr:uid="{3F1A03F6-8AC5-4BFF-B59C-65DFAEC87C2E}"/>
    <cellStyle name="Currency 4 3 4" xfId="2194" xr:uid="{1BEFDBB0-79A8-4F8D-B542-E980B58F59A7}"/>
    <cellStyle name="Currency 4 3 5" xfId="2845" xr:uid="{E3DCC972-D0D0-4437-A0E2-2CBF655FB6D2}"/>
    <cellStyle name="Currency 4 3 6" xfId="3501" xr:uid="{301CFA6D-F362-4341-BFB0-A8867484AC9A}"/>
    <cellStyle name="Currency 4 3 7" xfId="4164" xr:uid="{E227BD27-56A0-4BCE-9CDD-A727EEBABF4C}"/>
    <cellStyle name="Currency 4 4" xfId="1239" xr:uid="{B2B2184D-0EC4-4792-8913-A261EBEC7A63}"/>
    <cellStyle name="Currency 4 4 2" xfId="1570" xr:uid="{017E0F18-0515-45B6-A18F-54E6C3CE8CDF}"/>
    <cellStyle name="Currency 4 4 2 2" xfId="2629" xr:uid="{B6FD0E04-3AF8-4984-9B8C-A15D59A14125}"/>
    <cellStyle name="Currency 4 4 2 3" xfId="3280" xr:uid="{3D44F360-390A-4C11-9F47-013EF6E7FE63}"/>
    <cellStyle name="Currency 4 4 2 4" xfId="3936" xr:uid="{5E679335-1A95-40B2-822B-6CA95CDCE36E}"/>
    <cellStyle name="Currency 4 4 2 5" xfId="4599" xr:uid="{B8B38240-38FE-4E93-BB11-A7014B2712A7}"/>
    <cellStyle name="Currency 4 4 3" xfId="2302" xr:uid="{8A966E6B-A33D-42F0-A74A-21EA9F1456BA}"/>
    <cellStyle name="Currency 4 4 4" xfId="2953" xr:uid="{89CFDC66-30CD-44DA-B627-B3B6D9FC2BF6}"/>
    <cellStyle name="Currency 4 4 5" xfId="3609" xr:uid="{9F87B81B-418C-48F2-B967-4BD735A6AE07}"/>
    <cellStyle name="Currency 4 4 6" xfId="4272" xr:uid="{B062F377-D464-40DA-B05F-1222E7A67CBD}"/>
    <cellStyle name="Currency 4 5" xfId="1354" xr:uid="{62A0879D-A744-4931-960A-6BB9248CBD89}"/>
    <cellStyle name="Currency 4 5 2" xfId="2413" xr:uid="{51ACE565-5278-44C7-A1CC-931422BB3D70}"/>
    <cellStyle name="Currency 4 5 3" xfId="3064" xr:uid="{775E333F-6D69-4422-9F9C-E7CE80529F72}"/>
    <cellStyle name="Currency 4 5 4" xfId="3720" xr:uid="{9826CE5B-77A3-4C29-A2EE-89A5C211F9C2}"/>
    <cellStyle name="Currency 4 5 5" xfId="4383" xr:uid="{93614F6F-C2A8-4FE4-A520-F7FEDDE21251}"/>
    <cellStyle name="Currency 4 6" xfId="1840" xr:uid="{6338A5AA-0A0E-49BA-99E7-C258FBE20A0C}"/>
    <cellStyle name="Currency 4 7" xfId="2086" xr:uid="{9BD202B1-5595-4F13-BEE2-CFA24698A30E}"/>
    <cellStyle name="Currency 4 8" xfId="2737" xr:uid="{4B643330-5287-447E-B64F-6E659BA98132}"/>
    <cellStyle name="Currency 4 9" xfId="3393" xr:uid="{120EFAE5-C312-43BF-AA0D-219E64D8668B}"/>
    <cellStyle name="Currency 5" xfId="99" xr:uid="{83CFAF18-EA28-4FB0-8590-2E617DDB0CFB}"/>
    <cellStyle name="Currency 5 2" xfId="1184" xr:uid="{26D16FB1-0CA1-45C6-9B6C-102C0D412CE1}"/>
    <cellStyle name="Currency 5 3" xfId="763" xr:uid="{65F31EE9-259F-4EAE-A6E8-168BDB135514}"/>
    <cellStyle name="Currency 6" xfId="118" xr:uid="{CB9EEA07-D356-44F2-BE5A-2CC3BA218F13}"/>
    <cellStyle name="Currency 7" xfId="52" xr:uid="{6EF2B6B1-F665-488C-B157-A69BF2064AC9}"/>
    <cellStyle name="Currency 8" xfId="55" xr:uid="{92653C48-B57E-4704-8AFD-B4C56B4D7583}"/>
    <cellStyle name="Currency 9" xfId="58" xr:uid="{8C0F456D-196A-44C7-9196-0ED408D827D9}"/>
    <cellStyle name="Currency 9 2" xfId="2360" xr:uid="{BE5B02D3-CAD8-450B-B4FC-CCB736D69852}"/>
    <cellStyle name="Currency 9 3" xfId="3011" xr:uid="{3084624F-45B2-4FF3-98BC-6DC4871AADBA}"/>
    <cellStyle name="Currency 9 4" xfId="3667" xr:uid="{6B85ADD9-60B8-44AF-888A-F340F7B189F4}"/>
    <cellStyle name="Currency 9 5" xfId="4330" xr:uid="{3DF6645A-6E98-422B-AC08-25CF89D93419}"/>
    <cellStyle name="Currency 9 6" xfId="1296" xr:uid="{A53A601B-26B7-46E7-B954-F1F149583686}"/>
    <cellStyle name="Currency0" xfId="200" xr:uid="{0547B7BC-78AB-4A75-B8D6-8BA96CF4DD8B}"/>
    <cellStyle name="Currency0 2" xfId="201" xr:uid="{65379D01-698E-4714-A1C6-F697CE75BF44}"/>
    <cellStyle name="Currency0 2 2" xfId="202" xr:uid="{7D60FF84-A0DB-49D5-B323-3B1638D052F0}"/>
    <cellStyle name="Date" xfId="203" xr:uid="{78C1AF8D-2D8E-4762-BA25-A60868430BC8}"/>
    <cellStyle name="Date 2" xfId="204" xr:uid="{C42A1BA1-6ABC-4303-8D1A-CE361DC36013}"/>
    <cellStyle name="Date 2 2" xfId="205" xr:uid="{97E779CC-42F4-461C-B4EF-5EA49A4C9FA8}"/>
    <cellStyle name="Excel Built-in Comma" xfId="1682" xr:uid="{1A8AE5FB-A99F-4D95-B64C-5B3D96362406}"/>
    <cellStyle name="Explanatory Text" xfId="18" builtinId="53" customBuiltin="1"/>
    <cellStyle name="Explanatory Text 2" xfId="206" xr:uid="{BD7BC2BF-4E10-4763-AF3D-93622C2E9AF2}"/>
    <cellStyle name="Explanatory Text 2 2" xfId="1695" xr:uid="{68CD9BAA-2AF2-451A-9E77-4B51DAF320F4}"/>
    <cellStyle name="Explanatory Text 3" xfId="1729" xr:uid="{4FE34A7E-EC9C-4BE9-B1E4-7F5C3EE7EA9D}"/>
    <cellStyle name="Explanatory Text 4" xfId="1656" xr:uid="{1FE43B55-DC55-4719-AE8A-1ED89CC06338}"/>
    <cellStyle name="Fixed" xfId="207" xr:uid="{71A1288D-2019-4632-870B-501057A3B380}"/>
    <cellStyle name="Fixed 2" xfId="208" xr:uid="{97918632-511D-456E-8DDC-DFE79982F535}"/>
    <cellStyle name="Fixed 2 2" xfId="209" xr:uid="{7B688E83-0A47-45E8-9155-A2087C9B178B}"/>
    <cellStyle name="Formula - size 10" xfId="766" xr:uid="{9A3ED3A2-D387-46AF-9B99-939E3E22958D}"/>
    <cellStyle name="Formula - size 11" xfId="767" xr:uid="{072FF5C8-EE9D-425A-BAEF-1C6F087CD9CD}"/>
    <cellStyle name="Formula - size 8" xfId="768" xr:uid="{B316347D-77D6-4866-8968-537EF3477947}"/>
    <cellStyle name="Formula - size 9" xfId="769" xr:uid="{559F4453-243B-4C42-A732-AC8820F7D308}"/>
    <cellStyle name="Good" xfId="9" builtinId="26" customBuiltin="1"/>
    <cellStyle name="Good 2" xfId="100" xr:uid="{A754A55C-649D-4689-8E82-78F149E9E614}"/>
    <cellStyle name="Good 2 2" xfId="1687" xr:uid="{30F56166-6E59-409E-BA20-EB1C1230E76E}"/>
    <cellStyle name="Good 2 3" xfId="210" xr:uid="{28E44073-09CD-4512-B0D1-8E268203508C}"/>
    <cellStyle name="Good 3" xfId="1709" xr:uid="{22CD4133-151D-43CD-B776-10174977EBC3}"/>
    <cellStyle name="Good 4" xfId="1646" xr:uid="{5D52CE92-7956-45C7-B5A0-5E69F524C6D7}"/>
    <cellStyle name="Heading 1" xfId="5" builtinId="16" customBuiltin="1"/>
    <cellStyle name="Heading 1 2" xfId="101" xr:uid="{D386DADE-0F44-44D9-A47B-90BFB4B056FB}"/>
    <cellStyle name="Heading 1 2 2" xfId="212" xr:uid="{F5B6B3E4-4E78-46D0-94A4-E14558AB607D}"/>
    <cellStyle name="Heading 1 2 3" xfId="265" xr:uid="{4B8F5FA5-A745-4E40-A339-367A037CA772}"/>
    <cellStyle name="Heading 1 2 4" xfId="211" xr:uid="{FE714A1E-B5B4-4BF5-8FBD-EFE133F8AC57}"/>
    <cellStyle name="Heading 1 3" xfId="213" xr:uid="{CA96B84A-37C2-4C17-BB21-ECE2A67D7B6D}"/>
    <cellStyle name="Heading 1 3 2" xfId="214" xr:uid="{C134BAC6-B595-44E0-87C9-9C27FDF59D00}"/>
    <cellStyle name="Heading 2" xfId="6" builtinId="17" customBuiltin="1"/>
    <cellStyle name="Heading 2 2" xfId="102" xr:uid="{A1258FF1-CEA7-4AA3-823D-A7B4D50F5EE8}"/>
    <cellStyle name="Heading 2 2 2" xfId="216" xr:uid="{617E62F7-B636-4D01-BF3C-B272BBF55AA9}"/>
    <cellStyle name="Heading 2 2 3" xfId="266" xr:uid="{CD6B2FC0-D25E-4951-BEBD-23FDC6909E1A}"/>
    <cellStyle name="Heading 2 2 4" xfId="215" xr:uid="{D3EECBD9-DCF8-4965-8601-C0CD6545C996}"/>
    <cellStyle name="Heading 2 3" xfId="217" xr:uid="{80CE1828-C94F-472E-86FC-732B5E9393A5}"/>
    <cellStyle name="Heading 2 3 2" xfId="218" xr:uid="{7816EA4E-E6D2-4C6B-9215-F915AF8293A4}"/>
    <cellStyle name="Heading 3" xfId="7" builtinId="18" customBuiltin="1"/>
    <cellStyle name="Heading 3 2" xfId="103" xr:uid="{52F236FF-032F-4FEC-B819-4B1A683A645E}"/>
    <cellStyle name="Heading 3 2 2" xfId="219" xr:uid="{F76B71A4-DA5C-45B9-A7C0-4D99712A3AAD}"/>
    <cellStyle name="Heading 4" xfId="8" builtinId="19" customBuiltin="1"/>
    <cellStyle name="Heading 4 2" xfId="104" xr:uid="{C5189298-7F68-4152-9531-7B5476963647}"/>
    <cellStyle name="Heading 4 2 2" xfId="220" xr:uid="{DEAFD3D1-358B-499A-BEA9-0BFC23ECC13E}"/>
    <cellStyle name="Hyperlink" xfId="2" builtinId="8"/>
    <cellStyle name="Hyperlink 2" xfId="122" xr:uid="{FE620460-B2BB-4C49-BA05-1A1BD020BEDE}"/>
    <cellStyle name="Hyperlink 2 2" xfId="770" xr:uid="{F25C46B7-F550-4793-BCD1-4ADFC9EF0837}"/>
    <cellStyle name="Hyperlink 3" xfId="116" xr:uid="{E8630C73-7212-4516-A501-224369C4DC7D}"/>
    <cellStyle name="Input" xfId="12" builtinId="20" customBuiltin="1"/>
    <cellStyle name="Input 2" xfId="105" xr:uid="{57781CBF-F5F4-4895-81F5-3BDD10D04856}"/>
    <cellStyle name="Input 2 2" xfId="1689" xr:uid="{A9981DDA-1C83-4110-ABCE-E56AC2ED9368}"/>
    <cellStyle name="Input 2 3" xfId="221" xr:uid="{14746A07-89E6-43B3-B4BB-06908BA3AA5C}"/>
    <cellStyle name="Input 3" xfId="1730" xr:uid="{2EBAF4E5-ACAB-42FA-96A4-CF28CD158525}"/>
    <cellStyle name="Input 4" xfId="1649" xr:uid="{1589D580-B00F-46D0-BE90-F87415BCACA1}"/>
    <cellStyle name="Linked Cell" xfId="15" builtinId="24" customBuiltin="1"/>
    <cellStyle name="Linked Cell 2" xfId="106" xr:uid="{89D5F675-ED61-492E-AE30-5EB7E0B098BE}"/>
    <cellStyle name="Linked Cell 2 2" xfId="1692" xr:uid="{9205E1AC-F29F-4A55-9148-A91845AA0319}"/>
    <cellStyle name="Linked Cell 2 3" xfId="222" xr:uid="{95E8B16F-FB42-4404-A34D-92E23982FC65}"/>
    <cellStyle name="Linked Cell 3" xfId="1718" xr:uid="{12ED487B-D884-461E-B184-FDE085CC4184}"/>
    <cellStyle name="Linked Cell 4" xfId="1652" xr:uid="{D648C5E1-9C35-435E-ADD1-BF48F6A89BAE}"/>
    <cellStyle name="Neutral" xfId="11" builtinId="28" customBuiltin="1"/>
    <cellStyle name="Neutral 2" xfId="107" xr:uid="{34A47199-D8CB-4F7D-877B-E180DA4B6E6F}"/>
    <cellStyle name="Neutral 2 2" xfId="771" xr:uid="{8A45C854-77DF-446E-8D81-0AFF388DD103}"/>
    <cellStyle name="Neutral 2 3" xfId="223" xr:uid="{9B08ECA3-517E-49DC-AF5C-1AC98494B883}"/>
    <cellStyle name="Neutral 3" xfId="54" xr:uid="{8EA7F116-1053-464C-BC0B-FDA25C062B4E}"/>
    <cellStyle name="Neutral 3 2" xfId="1707" xr:uid="{8C2AB792-1BEA-4C32-8C0E-F22D04769E8A}"/>
    <cellStyle name="Neutral 4" xfId="1648" xr:uid="{96C47B76-7D4A-4365-A58A-D4CB78E75C23}"/>
    <cellStyle name="Neutral 5" xfId="1636" xr:uid="{B6E9A571-29E5-40C7-B8D3-7C238FCF4EF7}"/>
    <cellStyle name="Normal" xfId="0" builtinId="0"/>
    <cellStyle name="Normal - size 10" xfId="772" xr:uid="{7DF67997-519B-4155-942C-B48CB1F5477D}"/>
    <cellStyle name="Normal - size 11" xfId="773" xr:uid="{C562F954-10C7-4AA7-82FD-66C1903A3C3B}"/>
    <cellStyle name="Normal - size 11 2" xfId="774" xr:uid="{22CD0B36-9D8C-47F0-90F7-0F5A193D3C75}"/>
    <cellStyle name="Normal - size 8" xfId="775" xr:uid="{07E20D5D-265A-4954-8527-5A01E621F58E}"/>
    <cellStyle name="Normal - size 9" xfId="776" xr:uid="{D1B4C362-BF6E-489B-A5E2-428FC06E7ADD}"/>
    <cellStyle name="Normal 10" xfId="777" xr:uid="{8CA4CF78-DA39-4D50-96D0-42AF821FF1B7}"/>
    <cellStyle name="Normal 10 2" xfId="1003" xr:uid="{9621749D-1B63-41CA-AAAF-EB2E7A936B9B}"/>
    <cellStyle name="Normal 10 2 2" xfId="1017" xr:uid="{40517DCA-9FF8-4061-8931-3F8E3E5F753B}"/>
    <cellStyle name="Normal 10 3" xfId="953" xr:uid="{7674B789-B6B9-45BB-81D7-1218B15B37AE}"/>
    <cellStyle name="Normal 10 4" xfId="1770" xr:uid="{4A6A069E-AC0D-48F7-B05F-4C9DC7E7FAA2}"/>
    <cellStyle name="Normal 100" xfId="4666" xr:uid="{2C45C516-80AD-46CA-8936-E61FE2A8B44D}"/>
    <cellStyle name="Normal 101" xfId="4721" xr:uid="{079DB3CB-23E8-461D-9F18-2F8F704D416B}"/>
    <cellStyle name="Normal 102" xfId="4698" xr:uid="{5C70A33B-F6AC-4640-8AED-4710E8FD6DC5}"/>
    <cellStyle name="Normal 103" xfId="4745" xr:uid="{AB87532D-0D15-4311-9A39-ABBC896617C1}"/>
    <cellStyle name="Normal 104" xfId="4699" xr:uid="{780B8D80-CE4C-4437-92D1-FF171E1E70D2}"/>
    <cellStyle name="Normal 105" xfId="4665" xr:uid="{90222187-C2C2-4274-B9F0-19F03DA6A9C0}"/>
    <cellStyle name="Normal 106" xfId="4664" xr:uid="{B37E530A-0AB9-4961-9932-DA84125942F7}"/>
    <cellStyle name="Normal 107" xfId="4682" xr:uid="{FB7870A4-C496-4D87-A5C1-38CBE14DFC5D}"/>
    <cellStyle name="Normal 108" xfId="4683" xr:uid="{532AF0C2-7A32-4A0D-B9F8-35164BCEC5F8}"/>
    <cellStyle name="Normal 109" xfId="4667" xr:uid="{42031A2B-302A-45A4-A9A8-F549489379FC}"/>
    <cellStyle name="Normal 11" xfId="778" xr:uid="{024C4310-668E-43C3-BF14-702B9E60A1A0}"/>
    <cellStyle name="Normal 11 10" xfId="4038" xr:uid="{80E18B70-6106-4061-A91F-F6D4AF3242C4}"/>
    <cellStyle name="Normal 11 2" xfId="1054" xr:uid="{F7999867-7F4F-4791-A715-B6221D1A99D7}"/>
    <cellStyle name="Normal 11 2 2" xfId="1161" xr:uid="{F9921DF8-9434-476F-9224-404608E12C35}"/>
    <cellStyle name="Normal 11 2 2 2" xfId="1498" xr:uid="{859E45BA-4200-4B6B-B604-6DCEC9E5E84E}"/>
    <cellStyle name="Normal 11 2 2 2 2" xfId="2557" xr:uid="{7AB2EDD7-03DF-42F7-92B2-82C79AE7FB4A}"/>
    <cellStyle name="Normal 11 2 2 2 3" xfId="3208" xr:uid="{3A337B6E-B21B-4442-848F-A5544C8ECEE8}"/>
    <cellStyle name="Normal 11 2 2 2 4" xfId="3864" xr:uid="{91EE3485-2122-47CE-A27F-ED883C241C82}"/>
    <cellStyle name="Normal 11 2 2 2 5" xfId="4527" xr:uid="{7E1C1E00-60FD-44D8-B68F-0DA9254822DD}"/>
    <cellStyle name="Normal 11 2 2 3" xfId="1994" xr:uid="{CC718219-495D-46DC-87CB-2FADF99E0542}"/>
    <cellStyle name="Normal 11 2 2 4" xfId="2230" xr:uid="{9DFE12FA-89F7-4F80-89C8-06A603695F80}"/>
    <cellStyle name="Normal 11 2 2 5" xfId="2881" xr:uid="{26ADC14D-00AF-43D6-B93B-5D229C23F470}"/>
    <cellStyle name="Normal 11 2 2 6" xfId="3537" xr:uid="{B56FF782-83E7-49B8-8665-BBD0F37F430F}"/>
    <cellStyle name="Normal 11 2 2 7" xfId="4200" xr:uid="{67E718A7-4651-4F6F-BC77-449ED2F85C14}"/>
    <cellStyle name="Normal 11 2 3" xfId="1275" xr:uid="{61F08F1D-38AA-41E0-B81F-6EDE14364BB4}"/>
    <cellStyle name="Normal 11 2 3 2" xfId="1606" xr:uid="{0567D690-0B49-4FE7-AC05-3BF358ACDDA6}"/>
    <cellStyle name="Normal 11 2 3 2 2" xfId="2665" xr:uid="{0094B58A-C268-49DB-83BF-2F55FFDE7AA3}"/>
    <cellStyle name="Normal 11 2 3 2 3" xfId="3316" xr:uid="{B2A12E8C-807B-449F-BEBA-1010DB82D389}"/>
    <cellStyle name="Normal 11 2 3 2 4" xfId="3972" xr:uid="{F03C920C-4AD6-4802-B516-47223A0BB23D}"/>
    <cellStyle name="Normal 11 2 3 2 5" xfId="4635" xr:uid="{6C92A32C-380B-48F4-AEFC-20AE2863CEBB}"/>
    <cellStyle name="Normal 11 2 3 3" xfId="2338" xr:uid="{EE6E6099-9F73-4618-A74E-31BF10C61B6C}"/>
    <cellStyle name="Normal 11 2 3 4" xfId="2989" xr:uid="{332C370F-BE16-44D9-B654-0607914EDA7D}"/>
    <cellStyle name="Normal 11 2 3 5" xfId="3645" xr:uid="{1B99B76A-23B2-4FFC-8769-F70B9902EB24}"/>
    <cellStyle name="Normal 11 2 3 6" xfId="4308" xr:uid="{8569D156-5AAC-4F7B-9140-891CECF3182F}"/>
    <cellStyle name="Normal 11 2 4" xfId="1390" xr:uid="{74328CE6-90F0-46D4-9C6E-415377C1BC6A}"/>
    <cellStyle name="Normal 11 2 4 2" xfId="2449" xr:uid="{690268D6-A8AA-4E75-8C70-DED319C0E6EF}"/>
    <cellStyle name="Normal 11 2 4 3" xfId="3100" xr:uid="{750CC1DF-396D-4176-A207-7309EADE97BD}"/>
    <cellStyle name="Normal 11 2 4 4" xfId="3756" xr:uid="{90A4826A-0670-4860-80C9-78B867FA6BC2}"/>
    <cellStyle name="Normal 11 2 4 5" xfId="4419" xr:uid="{4122E4B7-8941-45BA-8A7B-7E673074ECC6}"/>
    <cellStyle name="Normal 11 2 5" xfId="1992" xr:uid="{103A320C-90AE-4588-9514-D7DE49A00255}"/>
    <cellStyle name="Normal 11 2 6" xfId="2122" xr:uid="{8D73FA40-0AC8-4C37-AFA6-FAFD56971D18}"/>
    <cellStyle name="Normal 11 2 7" xfId="2773" xr:uid="{F6DD48E9-1C47-4DB2-99E6-9472E9DF8A4B}"/>
    <cellStyle name="Normal 11 2 8" xfId="3429" xr:uid="{35985033-E32A-405E-977A-56A900F4BFC4}"/>
    <cellStyle name="Normal 11 2 9" xfId="4092" xr:uid="{AE39CB06-DA05-4086-8887-3F8581152E2C}"/>
    <cellStyle name="Normal 11 3" xfId="1107" xr:uid="{AEF6D5A8-1BA6-466E-8FCB-AFA97B4583FA}"/>
    <cellStyle name="Normal 11 3 2" xfId="1444" xr:uid="{1638C8A0-5FD5-4A22-A55D-B12157A9490D}"/>
    <cellStyle name="Normal 11 3 2 2" xfId="2503" xr:uid="{3B866B57-B6E4-4D5C-A0ED-4F7A700DF60D}"/>
    <cellStyle name="Normal 11 3 2 3" xfId="3154" xr:uid="{F926BFD9-04B1-427C-A595-07BD26A311B9}"/>
    <cellStyle name="Normal 11 3 2 4" xfId="3810" xr:uid="{326AE312-DEE1-42C4-A7F2-F2A78147B064}"/>
    <cellStyle name="Normal 11 3 2 5" xfId="4473" xr:uid="{CB9ADEAD-7FFB-4049-BE47-FF43EAC41AE3}"/>
    <cellStyle name="Normal 11 3 3" xfId="1920" xr:uid="{DACA32E8-F596-4CDC-8E1B-8D4EC91CB870}"/>
    <cellStyle name="Normal 11 3 4" xfId="2176" xr:uid="{142A599E-2F52-4E6A-A284-1DE6391BB67F}"/>
    <cellStyle name="Normal 11 3 5" xfId="2827" xr:uid="{EBE2902B-E66C-42DC-8F1B-56A6F24C790E}"/>
    <cellStyle name="Normal 11 3 6" xfId="3483" xr:uid="{95B6CEAE-D00F-4F3B-9BE8-EF99A8CA5E59}"/>
    <cellStyle name="Normal 11 3 7" xfId="4146" xr:uid="{7054B152-2BB4-404F-9C59-398D4B20FDC3}"/>
    <cellStyle name="Normal 11 4" xfId="1221" xr:uid="{C7F9C265-9B74-4E65-BF37-AEF27A562608}"/>
    <cellStyle name="Normal 11 4 2" xfId="1552" xr:uid="{E6507E04-375B-47EC-A652-961CE53CBFA0}"/>
    <cellStyle name="Normal 11 4 2 2" xfId="2611" xr:uid="{06BA312C-EC80-45B9-82CD-8E6BD3716998}"/>
    <cellStyle name="Normal 11 4 2 3" xfId="3262" xr:uid="{B3A641A0-4987-4B16-ADD3-72ED68AAFCDD}"/>
    <cellStyle name="Normal 11 4 2 4" xfId="3918" xr:uid="{4C03B6A1-2DCF-4C7E-BE40-0A4B4D7A4A6E}"/>
    <cellStyle name="Normal 11 4 2 5" xfId="4581" xr:uid="{4A2C349A-BFC7-413C-B72D-561D12A88B30}"/>
    <cellStyle name="Normal 11 4 3" xfId="2284" xr:uid="{AF575C06-01BA-4884-842E-23D1A5A04D39}"/>
    <cellStyle name="Normal 11 4 4" xfId="2935" xr:uid="{133A676E-9BDE-414F-A575-11511FDE700E}"/>
    <cellStyle name="Normal 11 4 5" xfId="3591" xr:uid="{ABC56078-0B48-4255-AE4C-AA4603FE3050}"/>
    <cellStyle name="Normal 11 4 6" xfId="4254" xr:uid="{9A5C79EE-1304-4498-9918-68B91095266E}"/>
    <cellStyle name="Normal 11 5" xfId="1336" xr:uid="{B854E647-A865-4841-A608-5C2B72FBB9D7}"/>
    <cellStyle name="Normal 11 5 2" xfId="2395" xr:uid="{CC9FABCA-684E-41F0-9EA9-70967708F6E5}"/>
    <cellStyle name="Normal 11 5 3" xfId="3046" xr:uid="{1214E47D-7378-4B7E-991B-8A7C5376A49F}"/>
    <cellStyle name="Normal 11 5 4" xfId="3702" xr:uid="{56EECF3A-72D2-4B80-BA89-FA586EDC0BC2}"/>
    <cellStyle name="Normal 11 5 5" xfId="4365" xr:uid="{B621A883-3583-490E-A712-7FE3E47DA4B7}"/>
    <cellStyle name="Normal 11 6" xfId="1997" xr:uid="{887807DA-1B0A-4029-A87E-038A118DD8E5}"/>
    <cellStyle name="Normal 11 7" xfId="2068" xr:uid="{172062AC-E3A2-49C7-B756-1D228D1B7534}"/>
    <cellStyle name="Normal 11 8" xfId="2719" xr:uid="{8747FC3C-BA21-49EF-BA47-D825F41AFE0F}"/>
    <cellStyle name="Normal 11 9" xfId="3374" xr:uid="{40C34C2A-BF2A-4A13-AC76-082C4B64175F}"/>
    <cellStyle name="Normal 110" xfId="4742" xr:uid="{1BE64E4A-FC7A-484E-AE02-4B9E0B057FE7}"/>
    <cellStyle name="Normal 111" xfId="4727" xr:uid="{04F1CBFA-D16C-4754-B01D-B6D69FACC4EE}"/>
    <cellStyle name="Normal 112" xfId="4694" xr:uid="{5A6AF3C8-A8E9-4EFD-B9CE-553477D4104C}"/>
    <cellStyle name="Normal 113" xfId="4689" xr:uid="{47916934-D642-4C9D-96F9-D77F369C854C}"/>
    <cellStyle name="Normal 114" xfId="4680" xr:uid="{D96B604F-8496-4D1C-A716-FD34AF4A9E75}"/>
    <cellStyle name="Normal 115" xfId="4670" xr:uid="{6DEB84CF-F8DC-4321-A6FF-839EA22D46A0}"/>
    <cellStyle name="Normal 116" xfId="4686" xr:uid="{694F2386-A3CE-4AE0-9C06-EFA14F60338D}"/>
    <cellStyle name="Normal 117" xfId="4732" xr:uid="{C9F24ACF-0C01-4096-8A07-5DE77F3BF19B}"/>
    <cellStyle name="Normal 118" xfId="4749" xr:uid="{CFBC57AC-7184-4C8C-8DA2-AA561299D6DF}"/>
    <cellStyle name="Normal 12" xfId="779" xr:uid="{8AA10111-D601-4952-AE03-12A6709AF113}"/>
    <cellStyle name="Normal 12 2" xfId="937" xr:uid="{DEC97DF0-4D8D-4161-B7F2-5800CF7B27FF}"/>
    <cellStyle name="Normal 13" xfId="780" xr:uid="{A5908C23-77E6-4751-9C45-AAE25278CFC5}"/>
    <cellStyle name="Normal 13 2" xfId="1085" xr:uid="{1CAC4CB0-8DBD-4781-89D8-C25A85F9133F}"/>
    <cellStyle name="Normal 13 2 2" xfId="1422" xr:uid="{026CFC77-94AC-4F89-8848-F3300FF957CF}"/>
    <cellStyle name="Normal 13 2 2 2" xfId="2481" xr:uid="{DE805A87-05D8-4A3B-8DA9-D2C18B0CFBC8}"/>
    <cellStyle name="Normal 13 2 2 3" xfId="3132" xr:uid="{6F7525EF-0A3C-4B8C-9C6F-65AF3266C706}"/>
    <cellStyle name="Normal 13 2 2 4" xfId="3788" xr:uid="{F76E613C-E9BB-412B-B4C4-4B11809F7C88}"/>
    <cellStyle name="Normal 13 2 2 5" xfId="4451" xr:uid="{487F6487-D5ED-4847-B205-407A2B1426ED}"/>
    <cellStyle name="Normal 13 2 3" xfId="1846" xr:uid="{063C4ECA-181B-4FFD-9377-872B33058F58}"/>
    <cellStyle name="Normal 13 2 4" xfId="2154" xr:uid="{6E8535A5-4EC2-460C-8621-DBA9470B8205}"/>
    <cellStyle name="Normal 13 2 5" xfId="2805" xr:uid="{A0BBFCB0-A8C7-4373-9BBB-B9D97BF34FA1}"/>
    <cellStyle name="Normal 13 2 6" xfId="3461" xr:uid="{6227BF8E-AFCB-403F-94A6-E19018D2C8A2}"/>
    <cellStyle name="Normal 13 2 7" xfId="4124" xr:uid="{C85A2567-9C76-40B7-AC53-BA4C57D0C935}"/>
    <cellStyle name="Normal 13 3" xfId="1199" xr:uid="{27EC3D47-F96A-460B-8F5A-0B8DB5E57345}"/>
    <cellStyle name="Normal 13 3 2" xfId="1530" xr:uid="{11A86712-D3DC-4A7F-9755-4FED46549AC4}"/>
    <cellStyle name="Normal 13 3 2 2" xfId="2589" xr:uid="{A8021224-0912-49C7-81EE-9D38313C4015}"/>
    <cellStyle name="Normal 13 3 2 3" xfId="3240" xr:uid="{CCCCDA0E-AB81-47BB-82A9-11A19E2CDDFB}"/>
    <cellStyle name="Normal 13 3 2 4" xfId="3896" xr:uid="{F88F0E63-8F41-4166-AA68-B0A443B06EE5}"/>
    <cellStyle name="Normal 13 3 2 5" xfId="4559" xr:uid="{F279E9BA-24A5-4BB2-BFF4-DD4883174F16}"/>
    <cellStyle name="Normal 13 3 3" xfId="2262" xr:uid="{2712AFB2-163F-4F90-9071-761396DEAC47}"/>
    <cellStyle name="Normal 13 3 4" xfId="2913" xr:uid="{C5F3DC32-64B5-4259-B899-98583E2060D9}"/>
    <cellStyle name="Normal 13 3 5" xfId="3569" xr:uid="{DAEB1B2E-F221-42C7-9DD6-BFACA37397B7}"/>
    <cellStyle name="Normal 13 3 6" xfId="4232" xr:uid="{838D4A32-E7FC-4F9A-A56C-999BD856733A}"/>
    <cellStyle name="Normal 13 4" xfId="1314" xr:uid="{25EBABF9-891E-4A39-AA91-1540A8F2D2C2}"/>
    <cellStyle name="Normal 13 4 2" xfId="2373" xr:uid="{D9B8261C-ED3E-4855-ABC7-F86D64E15598}"/>
    <cellStyle name="Normal 13 4 3" xfId="3024" xr:uid="{678E4A52-DA87-4115-92B0-4AC3B6E9A0BF}"/>
    <cellStyle name="Normal 13 4 4" xfId="3680" xr:uid="{C6635B56-9964-49CF-8976-FA70799B7B9C}"/>
    <cellStyle name="Normal 13 4 5" xfId="4343" xr:uid="{9DC548E7-E00B-4084-8C46-5ABF7664CE9A}"/>
    <cellStyle name="Normal 13 5" xfId="2003" xr:uid="{82B1EFD3-94F7-41EC-8ABD-C0E056C2F867}"/>
    <cellStyle name="Normal 13 6" xfId="2046" xr:uid="{AAF3E507-8437-47E3-B13E-447309CF242D}"/>
    <cellStyle name="Normal 13 7" xfId="2697" xr:uid="{F40392E7-CD2F-4BE1-A47A-3F165141A6B9}"/>
    <cellStyle name="Normal 13 8" xfId="3351" xr:uid="{28E54FE9-6EB6-4448-8EEE-298ED3D4DA26}"/>
    <cellStyle name="Normal 13 9" xfId="4016" xr:uid="{933388D6-88C8-411B-B900-D49D62B403BF}"/>
    <cellStyle name="Normal 14" xfId="781" xr:uid="{671C5D37-E8E0-407D-AADD-C81526649ACE}"/>
    <cellStyle name="Normal 14 2" xfId="1127" xr:uid="{B2D5BD4A-A7F2-48D2-9802-2AEC703C4E24}"/>
    <cellStyle name="Normal 14 2 2" xfId="1464" xr:uid="{C48C6B0A-A99A-4032-AC0B-D0D4A4326625}"/>
    <cellStyle name="Normal 14 2 2 2" xfId="2523" xr:uid="{8CD17BDB-B059-45D2-9391-6E8104D2FA79}"/>
    <cellStyle name="Normal 14 2 2 3" xfId="3174" xr:uid="{9DA67E6D-9B22-4BB1-82C2-C27F176FFF7D}"/>
    <cellStyle name="Normal 14 2 2 4" xfId="3830" xr:uid="{6052D818-AF75-4B30-990C-5AB2827EB439}"/>
    <cellStyle name="Normal 14 2 2 5" xfId="4493" xr:uid="{9B58E37F-C4AC-451E-ABBD-65FE69AC423C}"/>
    <cellStyle name="Normal 14 2 3" xfId="1957" xr:uid="{C70B47FA-58BD-49CF-A6F2-89B53E59134D}"/>
    <cellStyle name="Normal 14 2 4" xfId="2196" xr:uid="{DA63E5F3-B954-4A31-A7DC-03D68A3EBA9F}"/>
    <cellStyle name="Normal 14 2 5" xfId="2847" xr:uid="{B4657CCD-D140-4A36-896C-4875C99B1F82}"/>
    <cellStyle name="Normal 14 2 6" xfId="3503" xr:uid="{A0E62551-26BD-4D56-88F5-6AF523B3B583}"/>
    <cellStyle name="Normal 14 2 7" xfId="4166" xr:uid="{F703D2F3-0F0A-4ABC-BD5D-081ABA4161AE}"/>
    <cellStyle name="Normal 14 3" xfId="1241" xr:uid="{479C06AA-0EAF-41A5-A0B0-54C5705CEF0A}"/>
    <cellStyle name="Normal 14 3 2" xfId="1572" xr:uid="{336EDD07-72E4-48C5-BA38-9A06B2D7B4B2}"/>
    <cellStyle name="Normal 14 3 2 2" xfId="2631" xr:uid="{057B26F4-446A-46B4-ACE4-7AE69D0D8D5A}"/>
    <cellStyle name="Normal 14 3 2 3" xfId="3282" xr:uid="{2E6B5BF2-2E7B-407A-AB41-C58915AC1721}"/>
    <cellStyle name="Normal 14 3 2 4" xfId="3938" xr:uid="{08807B1C-990A-4DF5-BD77-C275BD2058EE}"/>
    <cellStyle name="Normal 14 3 2 5" xfId="4601" xr:uid="{0545ED01-8292-4808-BC52-BF937D94E4BE}"/>
    <cellStyle name="Normal 14 3 3" xfId="2304" xr:uid="{63B3D8DA-D30B-4D20-BBC8-1022F4C54FE5}"/>
    <cellStyle name="Normal 14 3 4" xfId="2955" xr:uid="{19AE0AB5-0E41-4E52-8823-2C3FFA289589}"/>
    <cellStyle name="Normal 14 3 5" xfId="3611" xr:uid="{D3741D9B-E295-462C-881A-16DDB39C73E0}"/>
    <cellStyle name="Normal 14 3 6" xfId="4274" xr:uid="{A89CCD64-904D-4C2B-96E9-BC90E2B83A4C}"/>
    <cellStyle name="Normal 14 4" xfId="1356" xr:uid="{5CF09774-2796-4BD1-859A-63C3CE8B7DCE}"/>
    <cellStyle name="Normal 14 4 2" xfId="2415" xr:uid="{38B80896-ACD2-4410-B7DC-9502DE097BCE}"/>
    <cellStyle name="Normal 14 4 3" xfId="3066" xr:uid="{4DB2B4A3-5515-4D75-80F9-9906C2D2D33C}"/>
    <cellStyle name="Normal 14 4 4" xfId="3722" xr:uid="{79C9572C-3059-4713-85D7-4F10E2F5633B}"/>
    <cellStyle name="Normal 14 4 5" xfId="4385" xr:uid="{E2F53550-9BDB-4BF4-B972-FBEF46E0B645}"/>
    <cellStyle name="Normal 14 5" xfId="1835" xr:uid="{173B81B3-6D3A-4027-AFE2-B31C7DB21210}"/>
    <cellStyle name="Normal 14 6" xfId="2088" xr:uid="{1B08EEE9-66DC-41FA-BE5A-7F621D450AA1}"/>
    <cellStyle name="Normal 14 7" xfId="2739" xr:uid="{C596B8A5-A6A9-4E16-A3BB-955966570B3F}"/>
    <cellStyle name="Normal 14 8" xfId="3395" xr:uid="{83EC9513-198A-47CE-9EF3-7E24EE641D39}"/>
    <cellStyle name="Normal 14 9" xfId="4058" xr:uid="{7DCC9D19-3323-4FF6-B895-612801BBF9A1}"/>
    <cellStyle name="Normal 15" xfId="782" xr:uid="{37AF6D42-8CA7-48CB-99C2-4243439DF052}"/>
    <cellStyle name="Normal 15 2" xfId="935" xr:uid="{E11888D7-75A8-44B7-947F-8FCDFCBFEAB5}"/>
    <cellStyle name="Normal 16" xfId="783" xr:uid="{94078511-3BC2-4B60-9318-871CAC935C36}"/>
    <cellStyle name="Normal 16 2" xfId="1181" xr:uid="{D2C19070-FE48-4BBB-8368-10FFAB2EED38}"/>
    <cellStyle name="Normal 17" xfId="784" xr:uid="{A21DA584-EECD-4EEE-9940-A8FF71DC70A8}"/>
    <cellStyle name="Normal 17 2" xfId="1309" xr:uid="{525CF819-C05E-4B56-84CE-CB66227AC3B0}"/>
    <cellStyle name="Normal 18" xfId="785" xr:uid="{D890E467-1B10-465D-8DA3-68CD5015CF4C}"/>
    <cellStyle name="Normal 18 2" xfId="2358" xr:uid="{8B44E256-1A2F-4AB8-92E9-7F6365B9C3D6}"/>
    <cellStyle name="Normal 18 3" xfId="3009" xr:uid="{11FBC057-E635-47A1-BEA0-A71AE741F1F8}"/>
    <cellStyle name="Normal 18 4" xfId="3665" xr:uid="{17AA08E5-83A9-4742-B24F-C83CD697E539}"/>
    <cellStyle name="Normal 18 5" xfId="4328" xr:uid="{0556EF10-9081-4B6F-AA34-7D41D1C37808}"/>
    <cellStyle name="Normal 19" xfId="786" xr:uid="{946C0E06-7F5A-4B58-AA9B-BD47C99084E0}"/>
    <cellStyle name="Normal 19 2" xfId="932" xr:uid="{BF6126F8-82A6-422D-AEFE-D7EF1B2CBBA1}"/>
    <cellStyle name="Normal 19 3" xfId="1774" xr:uid="{65CF54E2-86BE-46C1-9FAD-60C1F7B27F6C}"/>
    <cellStyle name="Normal 2" xfId="48" xr:uid="{8580C888-4D32-4C6E-9F3C-E0C9413DEE8D}"/>
    <cellStyle name="Normal 2 2" xfId="142" xr:uid="{38AC9986-382B-429A-A8F5-34E31011323B}"/>
    <cellStyle name="Normal 2 2 2" xfId="1704" xr:uid="{BAF7513F-DC24-4AF1-9C02-505B297EAFCE}"/>
    <cellStyle name="Normal 2 2 3" xfId="1739" xr:uid="{9DFA1787-DA8E-4A08-A266-0EF7EFE49473}"/>
    <cellStyle name="Normal 2 2 3 2" xfId="1763" xr:uid="{FFEB032B-9D19-4CA6-853A-64162AE2DC76}"/>
    <cellStyle name="Normal 2 2 3 3" xfId="1767" xr:uid="{4A42357C-F5D4-40A0-9DFA-900B480860FB}"/>
    <cellStyle name="Normal 2 2 3 3 2" xfId="1769" xr:uid="{22D4C3DC-AF61-40A9-81DC-3314745B431C}"/>
    <cellStyle name="Normal 2 2 3 3 2 2" xfId="4656" xr:uid="{F811938D-154F-40B0-9959-CD6602F3EBB8}"/>
    <cellStyle name="Normal 2 2 3 3 2 3" xfId="1773" xr:uid="{DD63E3D4-E476-4F86-9808-312FB61D1CA2}"/>
    <cellStyle name="Normal 2 2 4" xfId="1764" xr:uid="{BC592FD0-155B-4692-8BC6-FAA435590FEF}"/>
    <cellStyle name="Normal 2 2 5" xfId="164" xr:uid="{6917F4BD-CC51-4547-90CC-78EBBCDA6FD8}"/>
    <cellStyle name="Normal 2 3" xfId="64" xr:uid="{F9FC968B-3413-4324-B296-6236C02D8609}"/>
    <cellStyle name="Normal 2 3 2" xfId="1761" xr:uid="{6EAACDF7-922A-434B-9588-BBD48112E356}"/>
    <cellStyle name="Normal 2 3 3" xfId="1738" xr:uid="{FB6AE2B2-F88D-40C5-A9CB-EF2372DD2756}"/>
    <cellStyle name="Normal 2 3 4" xfId="1793" xr:uid="{241964C4-A90D-462B-92A4-AB9D35816D54}"/>
    <cellStyle name="Normal 2 3 5" xfId="1684" xr:uid="{30BC438D-9749-46D3-87CD-CA8F000BCC54}"/>
    <cellStyle name="Normal 2 3 6" xfId="787" xr:uid="{C77F2CBE-D377-468A-A89F-77B0582D65B9}"/>
    <cellStyle name="Normal 2 3 7" xfId="375" xr:uid="{1BE95347-658E-4E7F-8A5C-C30FE738E883}"/>
    <cellStyle name="Normal 2 4" xfId="330" xr:uid="{CEBFCCB4-F063-4AC6-A0B4-43450DC2556A}"/>
    <cellStyle name="Normal 2 4 2" xfId="955" xr:uid="{C3545631-F9C3-4FC9-801A-57EFD540E080}"/>
    <cellStyle name="Normal 2 4 2 2" xfId="956" xr:uid="{5DF58FE2-8CB9-47F0-91DA-7798E5FF4222}"/>
    <cellStyle name="Normal 2 4 3" xfId="954" xr:uid="{EF2564CF-9D6B-4891-B1BF-62D1A3A1A323}"/>
    <cellStyle name="Normal 2 4 3 2" xfId="1735" xr:uid="{D536D9D9-68CD-417B-93B4-81BA9EEB70C5}"/>
    <cellStyle name="Normal 2 4 4" xfId="1766" xr:uid="{F34646CB-6FE5-4697-B574-FFF07058D248}"/>
    <cellStyle name="Normal 2 4 4 2" xfId="1768" xr:uid="{95707524-5F07-490F-A52A-49B2D20A7FD4}"/>
    <cellStyle name="Normal 2 4 4 2 2" xfId="4655" xr:uid="{A650CB9B-7466-4B46-81B9-89361307EB47}"/>
    <cellStyle name="Normal 2 4 4 2 3" xfId="1772" xr:uid="{53C2A2A6-7F1F-452A-B5AD-6BA75309AEA9}"/>
    <cellStyle name="Normal 2 4 5" xfId="788" xr:uid="{95194B7F-07F1-47BE-A7AB-8F6AD8D48D57}"/>
    <cellStyle name="Normal 2 5" xfId="389" xr:uid="{1D39B2F6-7A93-4996-B4FB-2746D706B150}"/>
    <cellStyle name="Normal 2 5 2" xfId="1794" xr:uid="{9C580B29-BEC6-430F-A2DA-52FB171E8C40}"/>
    <cellStyle name="Normal 2 5 3" xfId="1705" xr:uid="{5DB358D9-79F3-4B44-82BD-36C759D9F891}"/>
    <cellStyle name="Normal 2 5 4" xfId="957" xr:uid="{B55552D3-58CF-4B6D-AED9-36A8F39358F6}"/>
    <cellStyle name="Normal 2 6" xfId="163" xr:uid="{78C76C1D-C9FB-4BE6-B6A8-4F0901AAC66B}"/>
    <cellStyle name="Normal 20" xfId="789" xr:uid="{825A83BA-32B9-4A09-9321-D108644F9A44}"/>
    <cellStyle name="Normal 21" xfId="790" xr:uid="{5357E6E2-3964-4E74-87FB-366ADA46B97D}"/>
    <cellStyle name="Normal 22" xfId="791" xr:uid="{1721984A-961D-41D1-9ADD-DEBFC95DEF83}"/>
    <cellStyle name="Normal 23" xfId="792" xr:uid="{8451F491-09F8-4DD5-9B8C-AA679A0BF3C3}"/>
    <cellStyle name="Normal 24" xfId="793" xr:uid="{4B498FB1-BBBD-4026-9BB5-E244D9C00A3F}"/>
    <cellStyle name="Normal 25" xfId="794" xr:uid="{A55AEE20-F278-4E63-B70B-3E51CE6C1AB3}"/>
    <cellStyle name="Normal 26" xfId="795" xr:uid="{8F10E281-7D4F-46A0-99F1-94C74BFEF6C0}"/>
    <cellStyle name="Normal 27" xfId="796" xr:uid="{1196E794-2E83-4371-9862-B28D4675BF1D}"/>
    <cellStyle name="Normal 28" xfId="797" xr:uid="{EB869159-A3BE-4871-9015-39D04FC0D91B}"/>
    <cellStyle name="Normal 29" xfId="798" xr:uid="{C79D1080-E01B-4AF6-969D-CE85A8A4D623}"/>
    <cellStyle name="Normal 3" xfId="71" xr:uid="{D2374E22-874A-4384-80C4-0A3B3609444E}"/>
    <cellStyle name="Normal 3 10" xfId="284" xr:uid="{2BE7C103-9CFA-47BA-A828-BE152CF50D80}"/>
    <cellStyle name="Normal 3 11" xfId="799" xr:uid="{814910B7-B366-486A-A991-F580E559FCD8}"/>
    <cellStyle name="Normal 3 12" xfId="165" xr:uid="{786B5288-112B-416F-9A7F-30FAFAB13EDA}"/>
    <cellStyle name="Normal 3 2" xfId="125" xr:uid="{36391017-0686-4889-B3E8-F4D4F6CC326A}"/>
    <cellStyle name="Normal 3 2 2" xfId="959" xr:uid="{7588641A-4EA8-4865-8D24-F3ED261E99BC}"/>
    <cellStyle name="Normal 3 2 3" xfId="1743" xr:uid="{DB1625D0-9D48-4F24-9EB8-DAF71BC4E005}"/>
    <cellStyle name="Normal 3 2 4" xfId="800" xr:uid="{4159ECA4-07C5-49F1-BBDA-DAA8E15E7A6D}"/>
    <cellStyle name="Normal 3 2 5" xfId="166" xr:uid="{D961E1A8-C737-4521-8509-9B7B7768422A}"/>
    <cellStyle name="Normal 3 3" xfId="138" xr:uid="{F8746385-A6CA-4C90-B75C-0A81CB6D0BA1}"/>
    <cellStyle name="Normal 3 3 2" xfId="264" xr:uid="{9A698C81-C6BB-4BA8-8EEE-CF74590CF80A}"/>
    <cellStyle name="Normal 3 3 2 2" xfId="339" xr:uid="{D218E63E-58EB-4EC4-A131-299EB204B254}"/>
    <cellStyle name="Normal 3 3 2 2 2" xfId="387" xr:uid="{75EC18A1-091B-463D-A9DD-E5E705C46BD2}"/>
    <cellStyle name="Normal 3 3 2 2 2 2" xfId="501" xr:uid="{7FC96A67-FC3A-4F08-B8A7-7F1469914E49}"/>
    <cellStyle name="Normal 3 3 2 2 2 2 2" xfId="720" xr:uid="{A3FA65DE-EDDD-42D0-AE8C-B74515048C95}"/>
    <cellStyle name="Normal 3 3 2 2 2 3" xfId="610" xr:uid="{5B33D934-A1F4-4B7C-8A32-551E6C6AF958}"/>
    <cellStyle name="Normal 3 3 2 3" xfId="433" xr:uid="{15555BA9-BB26-4324-9567-0B181184DFF4}"/>
    <cellStyle name="Normal 3 3 2 3 2" xfId="652" xr:uid="{CF0DF7ED-E183-4754-B873-5AD46FD2EE1B}"/>
    <cellStyle name="Normal 3 3 2 4" xfId="542" xr:uid="{ECE4657C-8CF8-4A51-ADCB-CCCC032A7AD3}"/>
    <cellStyle name="Normal 3 3 2 5" xfId="312" xr:uid="{28A100D7-465C-409D-9061-7C4C5C1577E6}"/>
    <cellStyle name="Normal 3 3 3" xfId="332" xr:uid="{34D981D4-782B-4993-AE74-3F9D752F7F4D}"/>
    <cellStyle name="Normal 3 3 3 2" xfId="451" xr:uid="{FBE97C06-D86C-4622-9C2D-345106217490}"/>
    <cellStyle name="Normal 3 3 3 2 2" xfId="670" xr:uid="{BEE36FC3-A7E4-4F28-B49A-76AC3E8E9FCC}"/>
    <cellStyle name="Normal 3 3 3 3" xfId="560" xr:uid="{78D15F55-11EB-4C71-9D6D-C77CFE5FA97D}"/>
    <cellStyle name="Normal 3 3 3 4" xfId="1795" xr:uid="{59C10C36-9907-4B91-81DF-F786A3EA66B2}"/>
    <cellStyle name="Normal 3 3 4" xfId="1737" xr:uid="{AECD6EE6-F5C2-408A-8C1C-87509F4D9B78}"/>
    <cellStyle name="Normal 3 3 5" xfId="238" xr:uid="{305A41C1-21B2-42E5-97BF-795C8E43CA81}"/>
    <cellStyle name="Normal 3 4" xfId="354" xr:uid="{31A4EA0A-929F-40D0-B8EC-CD39B1CC50FF}"/>
    <cellStyle name="Normal 3 4 2" xfId="470" xr:uid="{3C25A4C5-97F3-4B1B-9406-9A8D71E60300}"/>
    <cellStyle name="Normal 3 4 2 2" xfId="689" xr:uid="{F5ACF957-AE0B-4FF1-B5EB-7B4A5082046B}"/>
    <cellStyle name="Normal 3 4 3" xfId="579" xr:uid="{DB80A921-6AB2-490F-BB13-8BA373F60704}"/>
    <cellStyle name="Normal 3 4 4" xfId="958" xr:uid="{BA66ED35-5A7D-4068-AAE4-F51B23E6BCE2}"/>
    <cellStyle name="Normal 3 5" xfId="374" xr:uid="{35936773-8EA9-454C-A73A-FD3AB59D6318}"/>
    <cellStyle name="Normal 3 5 2" xfId="489" xr:uid="{182150BF-FD1D-44D7-8488-02D53BA26491}"/>
    <cellStyle name="Normal 3 5 2 2" xfId="708" xr:uid="{0EE3498A-248F-49A7-B6C7-CF3EB03C998E}"/>
    <cellStyle name="Normal 3 5 3" xfId="598" xr:uid="{DD6B2B81-9CA4-481E-AFB5-077C8493875D}"/>
    <cellStyle name="Normal 3 6" xfId="367" xr:uid="{1EFCDC69-B51B-4EBB-91B5-DEFBFF0E5229}"/>
    <cellStyle name="Normal 3 7" xfId="313" xr:uid="{5FD039FA-1620-4F9A-B8AB-1381950E4DE6}"/>
    <cellStyle name="Normal 3 7 2" xfId="434" xr:uid="{51C82ED4-9F86-4C43-9EB6-C2BC9746F486}"/>
    <cellStyle name="Normal 3 7 2 2" xfId="653" xr:uid="{EF074303-A5CD-4D33-9ED0-5F7CEA2E0897}"/>
    <cellStyle name="Normal 3 7 3" xfId="543" xr:uid="{CF69680E-12D8-4C71-97AC-87F3E4C60CD6}"/>
    <cellStyle name="Normal 3 8" xfId="405" xr:uid="{4605620F-19DB-49B4-95F2-63779BC0CE6F}"/>
    <cellStyle name="Normal 3 8 2" xfId="624" xr:uid="{01B031AB-EAFE-4CF5-A9D3-A02284FD4B0D}"/>
    <cellStyle name="Normal 3 9" xfId="514" xr:uid="{50E29970-981C-4FC0-948E-3555D67CE795}"/>
    <cellStyle name="Normal 30" xfId="801" xr:uid="{85C968AC-4E7C-43E5-B942-8AAF85C82FBA}"/>
    <cellStyle name="Normal 31" xfId="802" xr:uid="{30C41583-B359-4303-857A-7FFB1B36B16D}"/>
    <cellStyle name="Normal 32" xfId="803" xr:uid="{DEBAAB38-CD63-4438-817F-9421006DC74F}"/>
    <cellStyle name="Normal 33" xfId="804" xr:uid="{2EC21240-801E-4051-8972-F67AAE8E3DE9}"/>
    <cellStyle name="Normal 34" xfId="805" xr:uid="{5A83D97B-47C2-467B-ACB7-B4344B16DE7D}"/>
    <cellStyle name="Normal 35" xfId="806" xr:uid="{3066F2D4-6261-470D-BAD0-50D930097C28}"/>
    <cellStyle name="Normal 36" xfId="807" xr:uid="{3B3AE786-58F5-4ADD-86F2-C2844CD91BF4}"/>
    <cellStyle name="Normal 37" xfId="808" xr:uid="{2543B858-25FC-43C7-8549-2BA69577D557}"/>
    <cellStyle name="Normal 38" xfId="809" xr:uid="{3D20481F-A776-4C93-82E7-49BD238A303F}"/>
    <cellStyle name="Normal 39" xfId="810" xr:uid="{95B32D42-90F1-427B-BA2A-353A6AA68D9D}"/>
    <cellStyle name="Normal 4" xfId="65" xr:uid="{2391A0A5-5873-4636-8022-D489CE2FB623}"/>
    <cellStyle name="Normal 4 10" xfId="2700" xr:uid="{1DF18D5D-E3A7-4300-A9A1-A7F3447CEBA1}"/>
    <cellStyle name="Normal 4 11" xfId="3354" xr:uid="{F410C140-2E6F-46D1-8AC7-96504B41479F}"/>
    <cellStyle name="Normal 4 12" xfId="4019" xr:uid="{142CF7C1-B788-4258-BAFA-CA15F33411DF}"/>
    <cellStyle name="Normal 4 13" xfId="1683" xr:uid="{DDB59F4D-5595-42D3-9AA9-DC564A9B6621}"/>
    <cellStyle name="Normal 4 14" xfId="811" xr:uid="{9F38CAE1-081A-49E9-9CA9-936A789FA693}"/>
    <cellStyle name="Normal 4 15" xfId="224" xr:uid="{99D522BF-99B0-4B44-BC24-6D51AE513929}"/>
    <cellStyle name="Normal 4 2" xfId="259" xr:uid="{9D86E1F6-64C2-4E47-9499-4FD3D3AE7459}"/>
    <cellStyle name="Normal 4 2 10" xfId="4035" xr:uid="{95681730-6504-46E0-B6D7-8384EF2D2193}"/>
    <cellStyle name="Normal 4 2 11" xfId="985" xr:uid="{24C36AD6-0F16-49B3-9486-AD022486C43D}"/>
    <cellStyle name="Normal 4 2 2" xfId="356" xr:uid="{D63EA087-E4D1-4818-896D-2C2B3B634202}"/>
    <cellStyle name="Normal 4 2 2 10" xfId="1051" xr:uid="{569A2DAB-7427-406D-AADD-C4192E84E766}"/>
    <cellStyle name="Normal 4 2 2 2" xfId="472" xr:uid="{8AC63E10-09A3-4105-A067-9DDB692823BC}"/>
    <cellStyle name="Normal 4 2 2 2 2" xfId="691" xr:uid="{64C61F0A-2D31-4B3C-904B-E1C5E36F46FB}"/>
    <cellStyle name="Normal 4 2 2 2 2 2" xfId="2554" xr:uid="{4BF6B939-92D0-4ADE-B48C-4917A419C130}"/>
    <cellStyle name="Normal 4 2 2 2 2 3" xfId="3205" xr:uid="{498BD88E-2401-42EB-AFDF-488763EAFE48}"/>
    <cellStyle name="Normal 4 2 2 2 2 4" xfId="3861" xr:uid="{DAC2DC5A-4F57-48D2-AC55-20ED09877204}"/>
    <cellStyle name="Normal 4 2 2 2 2 5" xfId="4524" xr:uid="{98FF6515-AA6C-465B-B884-D3250CA077B9}"/>
    <cellStyle name="Normal 4 2 2 2 2 6" xfId="1495" xr:uid="{61E252C5-048C-4D29-8DE8-21ED14273B39}"/>
    <cellStyle name="Normal 4 2 2 2 3" xfId="1908" xr:uid="{FC02053D-9FAE-4C2C-9DA2-EE47B9B0E95B}"/>
    <cellStyle name="Normal 4 2 2 2 4" xfId="2227" xr:uid="{19BCD8FD-7250-47EA-8CE0-4733E02041C4}"/>
    <cellStyle name="Normal 4 2 2 2 5" xfId="2878" xr:uid="{1B9F2379-DC59-45F9-B472-D29134E68076}"/>
    <cellStyle name="Normal 4 2 2 2 6" xfId="3534" xr:uid="{0BF30AC6-0ED5-40EF-9A85-EC8451D314BA}"/>
    <cellStyle name="Normal 4 2 2 2 7" xfId="4197" xr:uid="{97C04531-7CE5-45F5-8465-7CCB4C8DFFB3}"/>
    <cellStyle name="Normal 4 2 2 2 8" xfId="1158" xr:uid="{65B1C76F-3A56-4E9E-8598-D47929392169}"/>
    <cellStyle name="Normal 4 2 2 3" xfId="581" xr:uid="{91A49615-4C73-4BF6-9A26-D8BE4DFE266E}"/>
    <cellStyle name="Normal 4 2 2 3 2" xfId="1603" xr:uid="{090DAEC6-2F2F-433B-8DFA-11EA789EBC97}"/>
    <cellStyle name="Normal 4 2 2 3 2 2" xfId="2662" xr:uid="{E59DDB32-D0CD-4A4F-B9B9-775DBE9E0972}"/>
    <cellStyle name="Normal 4 2 2 3 2 3" xfId="3313" xr:uid="{7042357C-B890-429A-BE10-322C0BDB80EF}"/>
    <cellStyle name="Normal 4 2 2 3 2 4" xfId="3969" xr:uid="{906F571E-5E87-49B6-9272-1E46BD760F49}"/>
    <cellStyle name="Normal 4 2 2 3 2 5" xfId="4632" xr:uid="{AF708F80-B1E6-4077-863C-3FC1D5F5E42C}"/>
    <cellStyle name="Normal 4 2 2 3 3" xfId="2335" xr:uid="{264393E1-7C51-4CE0-A7B0-25F48CB0CEEC}"/>
    <cellStyle name="Normal 4 2 2 3 4" xfId="2986" xr:uid="{08C5234A-810D-47B3-925B-9069C98743DB}"/>
    <cellStyle name="Normal 4 2 2 3 5" xfId="3642" xr:uid="{B9990151-5496-4771-BD29-9C83E92BAE1E}"/>
    <cellStyle name="Normal 4 2 2 3 6" xfId="4305" xr:uid="{1C36F53E-20C7-41A4-9639-1AEAF0BE73AF}"/>
    <cellStyle name="Normal 4 2 2 3 7" xfId="1272" xr:uid="{37032135-6589-4A26-A7E4-2810DFBCF0F0}"/>
    <cellStyle name="Normal 4 2 2 4" xfId="1387" xr:uid="{0515AC63-D44E-4CC2-821D-AD1FCB22C130}"/>
    <cellStyle name="Normal 4 2 2 4 2" xfId="2446" xr:uid="{ED404AFA-A86B-49B0-A198-AA7E100A627A}"/>
    <cellStyle name="Normal 4 2 2 4 3" xfId="3097" xr:uid="{3B0A73FB-1F69-4C98-A4C8-5740BDC08C7A}"/>
    <cellStyle name="Normal 4 2 2 4 4" xfId="3753" xr:uid="{FF07034C-0B60-4A05-90B9-9972040C16F3}"/>
    <cellStyle name="Normal 4 2 2 4 5" xfId="4416" xr:uid="{B927A7F3-1E1C-480D-AE1D-C28FDA757300}"/>
    <cellStyle name="Normal 4 2 2 5" xfId="1913" xr:uid="{91492A0C-9379-4753-9D31-462DEDA38CCC}"/>
    <cellStyle name="Normal 4 2 2 6" xfId="2119" xr:uid="{8F034738-9241-44B5-89BE-C4B0E2E50518}"/>
    <cellStyle name="Normal 4 2 2 7" xfId="2770" xr:uid="{DEE7DE6A-D869-475B-BB6B-D1AD08491A01}"/>
    <cellStyle name="Normal 4 2 2 8" xfId="3426" xr:uid="{37AD5A77-E091-4DAC-B473-1E99DA78A58A}"/>
    <cellStyle name="Normal 4 2 2 9" xfId="4089" xr:uid="{B0240325-5617-4FA4-92B1-04C66489C05F}"/>
    <cellStyle name="Normal 4 2 3" xfId="428" xr:uid="{50FAC91D-663C-4EA8-8ADB-B92D1DDB29C9}"/>
    <cellStyle name="Normal 4 2 3 2" xfId="647" xr:uid="{490BE16E-89C0-43E8-8886-0D87E2BB0048}"/>
    <cellStyle name="Normal 4 2 3 2 2" xfId="2500" xr:uid="{454FC57A-24CB-4BFF-BBD5-A58BF832AAA0}"/>
    <cellStyle name="Normal 4 2 3 2 3" xfId="3151" xr:uid="{2E763772-7877-4E11-8C11-5539D9CDC4AE}"/>
    <cellStyle name="Normal 4 2 3 2 4" xfId="3807" xr:uid="{582D9E8E-0F20-4617-BD95-474B235CE170}"/>
    <cellStyle name="Normal 4 2 3 2 5" xfId="4470" xr:uid="{2F4641C1-18A4-40B3-94C3-A748AD01FFA0}"/>
    <cellStyle name="Normal 4 2 3 2 6" xfId="1441" xr:uid="{6791F6E0-A218-47BF-B228-1D6478A52B8A}"/>
    <cellStyle name="Normal 4 2 3 3" xfId="1872" xr:uid="{46C8CBDE-33FA-4E97-B591-0959BBCC646C}"/>
    <cellStyle name="Normal 4 2 3 4" xfId="2173" xr:uid="{8239CFD2-7EA2-414B-B325-462DEC865EAA}"/>
    <cellStyle name="Normal 4 2 3 5" xfId="2824" xr:uid="{030E4707-CD39-44A4-AF57-551F9D9FECFB}"/>
    <cellStyle name="Normal 4 2 3 6" xfId="3480" xr:uid="{51775E07-66AF-47B5-A715-40436A09D642}"/>
    <cellStyle name="Normal 4 2 3 7" xfId="4143" xr:uid="{979119B6-86B1-403A-8B9B-E5436004BCCF}"/>
    <cellStyle name="Normal 4 2 3 8" xfId="1104" xr:uid="{5465E2B3-F6E0-4524-94B1-564CAC5FC943}"/>
    <cellStyle name="Normal 4 2 4" xfId="537" xr:uid="{567DB2CD-088C-4E22-8592-CB28D71FA941}"/>
    <cellStyle name="Normal 4 2 4 2" xfId="1549" xr:uid="{C09291D0-E5B1-49C1-8EAB-845AA20CC9E9}"/>
    <cellStyle name="Normal 4 2 4 2 2" xfId="2608" xr:uid="{D36BA641-7BEB-44F3-B414-C471FDE9A627}"/>
    <cellStyle name="Normal 4 2 4 2 3" xfId="3259" xr:uid="{62A9F9F7-5713-4D51-9909-123552BCDBBE}"/>
    <cellStyle name="Normal 4 2 4 2 4" xfId="3915" xr:uid="{5C53995C-16FC-4687-85DE-17468410C326}"/>
    <cellStyle name="Normal 4 2 4 2 5" xfId="4578" xr:uid="{092625F1-43F5-4504-A13A-A55947F67D26}"/>
    <cellStyle name="Normal 4 2 4 3" xfId="2281" xr:uid="{64717936-D053-42FA-BE13-0E5D70B89686}"/>
    <cellStyle name="Normal 4 2 4 4" xfId="2932" xr:uid="{E06727FB-ABA6-4F48-95E3-FCDFB643AD72}"/>
    <cellStyle name="Normal 4 2 4 5" xfId="3588" xr:uid="{F7A960D1-42A7-46C2-8669-ACF4FEE5D52E}"/>
    <cellStyle name="Normal 4 2 4 6" xfId="4251" xr:uid="{6531DAA1-DD82-4943-BDD8-C820B5593784}"/>
    <cellStyle name="Normal 4 2 4 7" xfId="1218" xr:uid="{2FCB6356-2CA8-4B8B-8823-1121F4A17E64}"/>
    <cellStyle name="Normal 4 2 5" xfId="307" xr:uid="{577F2596-2395-4543-8664-696F079EF200}"/>
    <cellStyle name="Normal 4 2 5 2" xfId="2392" xr:uid="{1932CBEA-9FC5-4F54-A82F-C929932B8FB9}"/>
    <cellStyle name="Normal 4 2 5 3" xfId="3043" xr:uid="{3C98A513-E23C-45E9-A628-6BA8D54B5FB8}"/>
    <cellStyle name="Normal 4 2 5 4" xfId="3699" xr:uid="{5A478077-609F-4FDE-B9D3-FCBC7B20916A}"/>
    <cellStyle name="Normal 4 2 5 5" xfId="4362" xr:uid="{901AA051-2D22-4889-9870-C0B1F0DF1708}"/>
    <cellStyle name="Normal 4 2 5 6" xfId="1333" xr:uid="{FF0ABD66-A93A-4FF3-8778-43345048974D}"/>
    <cellStyle name="Normal 4 2 6" xfId="2016" xr:uid="{8F44468A-5651-44A7-9AB7-CC6A67CFB895}"/>
    <cellStyle name="Normal 4 2 7" xfId="2065" xr:uid="{DA32F646-D424-4DA0-BAAA-3E7A57A49751}"/>
    <cellStyle name="Normal 4 2 8" xfId="2716" xr:uid="{9EB7DB42-92E8-4732-996D-E6573242577E}"/>
    <cellStyle name="Normal 4 2 9" xfId="3371" xr:uid="{C6BA2459-6344-4DF3-AA4B-7A125051B39F}"/>
    <cellStyle name="Normal 4 3" xfId="377" xr:uid="{4B009B9A-32FC-46D3-BD7B-381F6BF6EB6B}"/>
    <cellStyle name="Normal 4 3 10" xfId="4052" xr:uid="{7E5A568C-5630-4909-8BEF-E4AB94ACBCCD}"/>
    <cellStyle name="Normal 4 3 11" xfId="1812" xr:uid="{F237CC62-5E46-4037-B456-5E8564F67E01}"/>
    <cellStyle name="Normal 4 3 12" xfId="1703" xr:uid="{45C9BBE2-9FCA-4B07-9859-4282BCAE0AF1}"/>
    <cellStyle name="Normal 4 3 13" xfId="1007" xr:uid="{AFDBFEC1-6904-48EE-94FC-7D51411B847F}"/>
    <cellStyle name="Normal 4 3 2" xfId="491" xr:uid="{F5C1E90A-21EA-4B8E-A560-95FADC3B3AC2}"/>
    <cellStyle name="Normal 4 3 2 10" xfId="1068" xr:uid="{0B7CD565-9508-49B8-942C-9F3998E41D95}"/>
    <cellStyle name="Normal 4 3 2 2" xfId="710" xr:uid="{2398B0A4-AD87-4741-9913-6CAE03F357BB}"/>
    <cellStyle name="Normal 4 3 2 2 2" xfId="1512" xr:uid="{548609A6-E365-4F25-951C-A48938EE0F18}"/>
    <cellStyle name="Normal 4 3 2 2 2 2" xfId="2571" xr:uid="{A1210A7F-211F-4269-AA45-E61ECE6B4FA4}"/>
    <cellStyle name="Normal 4 3 2 2 2 3" xfId="3222" xr:uid="{D0258111-34EE-4863-8F53-73637FC78525}"/>
    <cellStyle name="Normal 4 3 2 2 2 4" xfId="3878" xr:uid="{CDD7F468-9512-4810-B489-E75B4E0FD079}"/>
    <cellStyle name="Normal 4 3 2 2 2 5" xfId="4541" xr:uid="{3B007BCD-94D9-4B23-9A90-745B3992CB14}"/>
    <cellStyle name="Normal 4 3 2 2 3" xfId="1975" xr:uid="{00289FDF-A21C-4FCE-836E-6C6DB32240B2}"/>
    <cellStyle name="Normal 4 3 2 2 4" xfId="2244" xr:uid="{3DE53FC0-AC08-42AD-AED5-B992D6D07F79}"/>
    <cellStyle name="Normal 4 3 2 2 5" xfId="2895" xr:uid="{82A8AAE5-624A-42B7-8A1C-AA86423C39E1}"/>
    <cellStyle name="Normal 4 3 2 2 6" xfId="3551" xr:uid="{47047857-91E0-40EC-95DB-44DD5ECFF5BB}"/>
    <cellStyle name="Normal 4 3 2 2 7" xfId="4214" xr:uid="{11326DA9-3350-4E3E-AA3C-15A5EEA903AD}"/>
    <cellStyle name="Normal 4 3 2 2 8" xfId="1175" xr:uid="{03A8E2E7-1174-4EE6-A051-1056C3C4B3DE}"/>
    <cellStyle name="Normal 4 3 2 3" xfId="1289" xr:uid="{5AC4142B-299D-4AC5-A2A2-A865A8A697A8}"/>
    <cellStyle name="Normal 4 3 2 3 2" xfId="1620" xr:uid="{94F0E816-DD35-4835-A584-B5886EE90067}"/>
    <cellStyle name="Normal 4 3 2 3 2 2" xfId="2679" xr:uid="{37CB8815-5A1C-4B56-8C8D-B2DF5BF9AC3D}"/>
    <cellStyle name="Normal 4 3 2 3 2 3" xfId="3330" xr:uid="{92AFD787-5D91-4F23-BCCE-8DF396ECBC4B}"/>
    <cellStyle name="Normal 4 3 2 3 2 4" xfId="3986" xr:uid="{D87192E1-1372-4689-9D18-CA0F3B77DB37}"/>
    <cellStyle name="Normal 4 3 2 3 2 5" xfId="4649" xr:uid="{C802A81C-40CD-41AA-A6BC-15939F1C3398}"/>
    <cellStyle name="Normal 4 3 2 3 3" xfId="2352" xr:uid="{B764C219-E147-44BA-9956-3206AF325D6C}"/>
    <cellStyle name="Normal 4 3 2 3 4" xfId="3003" xr:uid="{0C4064AD-D307-4F7E-B975-C802DD99A7BB}"/>
    <cellStyle name="Normal 4 3 2 3 5" xfId="3659" xr:uid="{BB626F67-CFBE-443A-A4A4-899B26179C8F}"/>
    <cellStyle name="Normal 4 3 2 3 6" xfId="4322" xr:uid="{F7BCCCC9-5213-49B0-961B-3A6D58C0C343}"/>
    <cellStyle name="Normal 4 3 2 4" xfId="1404" xr:uid="{34EFC93C-8DA2-4268-BDEC-3FB1EE6E98F6}"/>
    <cellStyle name="Normal 4 3 2 4 2" xfId="2463" xr:uid="{4ADBB825-0A57-418D-9B92-CA997D1011D6}"/>
    <cellStyle name="Normal 4 3 2 4 3" xfId="3114" xr:uid="{55BEFFA2-2898-4B9C-808C-D9FE4F3980CC}"/>
    <cellStyle name="Normal 4 3 2 4 4" xfId="3770" xr:uid="{21A63627-1BB2-464F-8E3D-7CF2120EAA27}"/>
    <cellStyle name="Normal 4 3 2 4 5" xfId="4433" xr:uid="{0D402F12-6EF0-49AB-AADB-C1BA674E3102}"/>
    <cellStyle name="Normal 4 3 2 5" xfId="1836" xr:uid="{D561805C-A1BB-49C8-B8E6-9D564E9FF0A0}"/>
    <cellStyle name="Normal 4 3 2 6" xfId="2136" xr:uid="{1171B680-0856-49C3-951A-5358FC7C827D}"/>
    <cellStyle name="Normal 4 3 2 7" xfId="2787" xr:uid="{5CB9AD7C-BA77-4EAA-80D9-8CAEE17BDDF0}"/>
    <cellStyle name="Normal 4 3 2 8" xfId="3443" xr:uid="{3B6782E2-3705-4FE8-A89C-17CE54F7DE07}"/>
    <cellStyle name="Normal 4 3 2 9" xfId="4106" xr:uid="{8CBD96B5-6162-4591-AFB1-5F64A5C931A7}"/>
    <cellStyle name="Normal 4 3 3" xfId="600" xr:uid="{D734393C-8C32-4BBD-BB50-1705CF394004}"/>
    <cellStyle name="Normal 4 3 3 2" xfId="1458" xr:uid="{C86E7DDE-846A-4D2E-8735-DB2492EB0F2F}"/>
    <cellStyle name="Normal 4 3 3 2 2" xfId="2517" xr:uid="{23F53399-7A7E-4967-B5BE-459A17AE3AE4}"/>
    <cellStyle name="Normal 4 3 3 2 3" xfId="3168" xr:uid="{CFE5F49C-2B33-4C71-AF59-0066073FACB1}"/>
    <cellStyle name="Normal 4 3 3 2 4" xfId="3824" xr:uid="{A32D2844-A5DF-4A71-954F-3D321583680B}"/>
    <cellStyle name="Normal 4 3 3 2 5" xfId="4487" xr:uid="{CFDE6CC9-3E54-44FF-B6F0-EAB303E2AB43}"/>
    <cellStyle name="Normal 4 3 3 3" xfId="1894" xr:uid="{1014D00E-5A3B-418D-AF63-9FA6952D18A7}"/>
    <cellStyle name="Normal 4 3 3 4" xfId="2190" xr:uid="{904E8927-565D-4427-9ADB-73B8594173F7}"/>
    <cellStyle name="Normal 4 3 3 5" xfId="2841" xr:uid="{7E8F53BA-009E-49E1-9A4A-4E1CB598CD20}"/>
    <cellStyle name="Normal 4 3 3 6" xfId="3497" xr:uid="{08C2DC73-5BF8-453C-BB05-9D714097D7DD}"/>
    <cellStyle name="Normal 4 3 3 7" xfId="4160" xr:uid="{9E245A3A-C874-4697-8FB6-2BCC27A4CC87}"/>
    <cellStyle name="Normal 4 3 3 8" xfId="1121" xr:uid="{77F84590-F14E-4EDD-8AC4-5A8A9032DEF5}"/>
    <cellStyle name="Normal 4 3 4" xfId="1235" xr:uid="{A2897781-ED39-4201-A235-354D4725B3EC}"/>
    <cellStyle name="Normal 4 3 4 2" xfId="1566" xr:uid="{1478913B-4896-4851-9D6E-9D68BD677576}"/>
    <cellStyle name="Normal 4 3 4 2 2" xfId="2625" xr:uid="{C64362F9-83DB-4841-9E0E-76866DC6915A}"/>
    <cellStyle name="Normal 4 3 4 2 3" xfId="3276" xr:uid="{10C4A2E6-E4CE-4BE7-BC6D-0B1EDAFFB8DE}"/>
    <cellStyle name="Normal 4 3 4 2 4" xfId="3932" xr:uid="{CF4B7316-A0EC-4DD3-B839-7DA373F2998B}"/>
    <cellStyle name="Normal 4 3 4 2 5" xfId="4595" xr:uid="{11DE91FA-E84E-4C77-9286-680274512AEC}"/>
    <cellStyle name="Normal 4 3 4 3" xfId="2298" xr:uid="{77ABDAB6-382A-4953-B7B5-5A2B2DA87521}"/>
    <cellStyle name="Normal 4 3 4 4" xfId="2949" xr:uid="{BFEAA24A-91FE-4643-B599-A59F192E172D}"/>
    <cellStyle name="Normal 4 3 4 5" xfId="3605" xr:uid="{1B0E5618-89A0-4F6A-95CF-DFCEE0C7E73E}"/>
    <cellStyle name="Normal 4 3 4 6" xfId="4268" xr:uid="{C3568969-7DAB-400A-9F7A-74D5FCAD8B6E}"/>
    <cellStyle name="Normal 4 3 5" xfId="1350" xr:uid="{058636DC-42BC-4ED6-8381-3AB172485AE9}"/>
    <cellStyle name="Normal 4 3 5 2" xfId="2409" xr:uid="{69D32272-9EAF-4B00-9A54-561B366A5808}"/>
    <cellStyle name="Normal 4 3 5 3" xfId="3060" xr:uid="{5E8707E5-2A2B-446C-9E00-04D6A6466A99}"/>
    <cellStyle name="Normal 4 3 5 4" xfId="3716" xr:uid="{B274DBB6-4F1F-4FE3-8DAD-3963E5BC1346}"/>
    <cellStyle name="Normal 4 3 5 5" xfId="4379" xr:uid="{0A622D41-F35C-45D2-A67E-2CB39E0BEEF9}"/>
    <cellStyle name="Normal 4 3 6" xfId="1876" xr:uid="{C7536ED6-1993-4947-810C-08569470813A}"/>
    <cellStyle name="Normal 4 3 7" xfId="2082" xr:uid="{304C251B-CE71-40C8-9C31-6A6C3E0CD6CA}"/>
    <cellStyle name="Normal 4 3 8" xfId="2733" xr:uid="{71ABC563-03CE-420C-B776-FC774E5DEC9F}"/>
    <cellStyle name="Normal 4 3 9" xfId="3389" xr:uid="{F15C0931-DA98-48A3-9B8D-4286CBEB44DB}"/>
    <cellStyle name="Normal 4 4" xfId="334" xr:uid="{81F10729-B23D-4558-8A92-43481E956502}"/>
    <cellStyle name="Normal 4 4 10" xfId="1814" xr:uid="{56B20025-801E-4E81-BEAA-132995E65B1E}"/>
    <cellStyle name="Normal 4 4 11" xfId="1758" xr:uid="{3219CF2B-B6D4-41C3-9D59-9E6F7E2876D5}"/>
    <cellStyle name="Normal 4 4 12" xfId="1035" xr:uid="{9DDA9191-1289-4C51-A7DC-7E8A937A2805}"/>
    <cellStyle name="Normal 4 4 2" xfId="453" xr:uid="{C6D81AAC-4483-42B2-941A-F7C04A35061A}"/>
    <cellStyle name="Normal 4 4 2 2" xfId="672" xr:uid="{A20C7943-9E75-473F-804D-531A337FE0A7}"/>
    <cellStyle name="Normal 4 4 2 2 2" xfId="2538" xr:uid="{AE6B5756-7AAA-499F-8975-3B04B800F342}"/>
    <cellStyle name="Normal 4 4 2 2 3" xfId="3189" xr:uid="{9D910524-563B-431B-85E3-D8C91A5F46B2}"/>
    <cellStyle name="Normal 4 4 2 2 4" xfId="3845" xr:uid="{BF254FA1-F6D3-4702-A16C-C8FDC4BA3916}"/>
    <cellStyle name="Normal 4 4 2 2 5" xfId="4508" xr:uid="{6F6A25BF-D106-437F-9046-7A6B334789E9}"/>
    <cellStyle name="Normal 4 4 2 2 6" xfId="1479" xr:uid="{A197C5C1-7254-4398-AD32-DA77337B3932}"/>
    <cellStyle name="Normal 4 4 2 3" xfId="1944" xr:uid="{48F1B524-FE25-48B6-97C8-F7C0EE9878F8}"/>
    <cellStyle name="Normal 4 4 2 4" xfId="2211" xr:uid="{95C6EB2B-E00E-4BBF-AA76-897E84644063}"/>
    <cellStyle name="Normal 4 4 2 5" xfId="2862" xr:uid="{377A7982-7C38-4EE5-A71C-45D45271C849}"/>
    <cellStyle name="Normal 4 4 2 6" xfId="3518" xr:uid="{F8F76474-43F6-4F48-ABC6-17322BF73F64}"/>
    <cellStyle name="Normal 4 4 2 7" xfId="4181" xr:uid="{28CF8EF6-4E85-4E04-8D0F-C40C6BF8E1AA}"/>
    <cellStyle name="Normal 4 4 2 8" xfId="1142" xr:uid="{2E3E6956-1E8F-4C84-B7CC-59845F0E80F5}"/>
    <cellStyle name="Normal 4 4 3" xfId="562" xr:uid="{276E26AD-9900-48A5-B3D7-A31446A35B19}"/>
    <cellStyle name="Normal 4 4 3 2" xfId="1587" xr:uid="{C78441EB-FD35-4439-AAA0-21777B4418E2}"/>
    <cellStyle name="Normal 4 4 3 2 2" xfId="2646" xr:uid="{87D1A6F2-8155-4CC8-9421-183B16A8A27A}"/>
    <cellStyle name="Normal 4 4 3 2 3" xfId="3297" xr:uid="{B0E6A1A0-C869-4E21-B8D4-FEAD2DB3EFC9}"/>
    <cellStyle name="Normal 4 4 3 2 4" xfId="3953" xr:uid="{63A20707-3F92-4721-B847-0F43127352A3}"/>
    <cellStyle name="Normal 4 4 3 2 5" xfId="4616" xr:uid="{2AB890C7-8A1C-4760-B10A-AEA5E55512EB}"/>
    <cellStyle name="Normal 4 4 3 3" xfId="2319" xr:uid="{69A7AB4D-4B87-4670-AB66-D2845880EC25}"/>
    <cellStyle name="Normal 4 4 3 4" xfId="2970" xr:uid="{35C75E21-4A66-4BC2-BC7D-A9A8871F2FDB}"/>
    <cellStyle name="Normal 4 4 3 5" xfId="3626" xr:uid="{88427B0C-19BE-4752-A6AA-9A6500721B1C}"/>
    <cellStyle name="Normal 4 4 3 6" xfId="4289" xr:uid="{91B733B7-5D20-4C58-B1F7-963021925383}"/>
    <cellStyle name="Normal 4 4 3 7" xfId="1256" xr:uid="{E3AEE9B8-98EA-4A3F-B0A2-08DAE851FB35}"/>
    <cellStyle name="Normal 4 4 4" xfId="1371" xr:uid="{4DC58333-5639-4504-83C6-600800C7B959}"/>
    <cellStyle name="Normal 4 4 4 2" xfId="2430" xr:uid="{867BB8B5-F335-4574-9E9B-2A086B6236EA}"/>
    <cellStyle name="Normal 4 4 4 3" xfId="3081" xr:uid="{6606CE98-E702-4B1E-A83E-547F321D2D78}"/>
    <cellStyle name="Normal 4 4 4 4" xfId="3737" xr:uid="{6BF33C7E-111F-4FD8-ACC4-FC3C6E9EB112}"/>
    <cellStyle name="Normal 4 4 4 5" xfId="4400" xr:uid="{E9E49597-FB41-401C-ABDA-BC37886465E6}"/>
    <cellStyle name="Normal 4 4 5" xfId="1848" xr:uid="{EAA36605-05A3-4451-AE71-9E805AEB81A9}"/>
    <cellStyle name="Normal 4 4 6" xfId="2103" xr:uid="{45EB9354-F608-489B-B71D-DA9EE16DF5D9}"/>
    <cellStyle name="Normal 4 4 7" xfId="2754" xr:uid="{834AB317-94A8-48BB-BFC5-7EB89CBB51D0}"/>
    <cellStyle name="Normal 4 4 8" xfId="3410" xr:uid="{DBCF41FF-9410-4681-9752-31AB94D16B77}"/>
    <cellStyle name="Normal 4 4 9" xfId="4073" xr:uid="{E0499042-B288-45D1-9599-EF10EFC986B8}"/>
    <cellStyle name="Normal 4 5" xfId="315" xr:uid="{02B8F6D8-7BB0-45C3-8697-E4778B4676F4}"/>
    <cellStyle name="Normal 4 5 2" xfId="436" xr:uid="{1D72E131-4A9D-4B60-815E-EBBA9D60F830}"/>
    <cellStyle name="Normal 4 5 2 2" xfId="655" xr:uid="{79A85772-641B-47A1-9BF2-2B9F795DD979}"/>
    <cellStyle name="Normal 4 5 2 2 2" xfId="2484" xr:uid="{0D669479-0A52-4B0C-961C-0C67C9D8F686}"/>
    <cellStyle name="Normal 4 5 2 3" xfId="3135" xr:uid="{9C91D621-3F8C-420C-A1E4-53B6157F5AF8}"/>
    <cellStyle name="Normal 4 5 2 4" xfId="3791" xr:uid="{C6EFA176-3C80-4683-B0AF-D5091E7578AD}"/>
    <cellStyle name="Normal 4 5 2 5" xfId="4454" xr:uid="{1F117ED6-A2EE-4A01-8674-388C305003FA}"/>
    <cellStyle name="Normal 4 5 2 6" xfId="1425" xr:uid="{4CE60E7F-B46A-4C09-AD57-45166C302593}"/>
    <cellStyle name="Normal 4 5 3" xfId="545" xr:uid="{A6608020-50CF-4D48-8D66-748AC44EB73A}"/>
    <cellStyle name="Normal 4 5 3 2" xfId="1973" xr:uid="{77AC6B82-EC08-43A9-9243-B953F5E3A686}"/>
    <cellStyle name="Normal 4 5 4" xfId="2157" xr:uid="{24F8C396-C959-46EC-A316-C6BDCC849F0D}"/>
    <cellStyle name="Normal 4 5 5" xfId="2808" xr:uid="{43AF7F40-D47C-4D0A-B563-E27A4E4C324A}"/>
    <cellStyle name="Normal 4 5 6" xfId="3464" xr:uid="{3F04C382-70DE-4ADA-9A21-CE89EA14B908}"/>
    <cellStyle name="Normal 4 5 7" xfId="4127" xr:uid="{773AC4C8-7967-405D-B9CC-9347276FB666}"/>
    <cellStyle name="Normal 4 5 8" xfId="1088" xr:uid="{5221B4FF-9A39-4DA1-B475-01F7C37228CA}"/>
    <cellStyle name="Normal 4 6" xfId="407" xr:uid="{1C7E8D46-F77A-46C2-9BFD-3E74FB50FACE}"/>
    <cellStyle name="Normal 4 6 2" xfId="626" xr:uid="{A61DC604-03D2-4FE5-9F4B-12E5375BEF60}"/>
    <cellStyle name="Normal 4 6 2 2" xfId="2592" xr:uid="{BC75A79D-00C5-4677-9812-047765D581CC}"/>
    <cellStyle name="Normal 4 6 2 3" xfId="3243" xr:uid="{8DF37483-A51E-4B57-B30E-0EAD633299A8}"/>
    <cellStyle name="Normal 4 6 2 4" xfId="3899" xr:uid="{D1170CF6-8121-4CDC-BF46-CBE94500E810}"/>
    <cellStyle name="Normal 4 6 2 5" xfId="4562" xr:uid="{DE8D2CAB-EB43-4BAA-9FAE-E66B968E29A8}"/>
    <cellStyle name="Normal 4 6 2 6" xfId="1533" xr:uid="{420F3249-82C0-4345-9AA5-1CAA7211595A}"/>
    <cellStyle name="Normal 4 6 3" xfId="2265" xr:uid="{CDF9140A-23C2-4286-8BB0-E0B9B423AD64}"/>
    <cellStyle name="Normal 4 6 4" xfId="2916" xr:uid="{F67CB374-E81F-487B-8523-94883B8A915A}"/>
    <cellStyle name="Normal 4 6 5" xfId="3572" xr:uid="{92974ECA-B82E-4C8C-8C6E-6129429E270A}"/>
    <cellStyle name="Normal 4 6 6" xfId="4235" xr:uid="{AEA35EE7-2734-48D7-985D-DF25D153D8B6}"/>
    <cellStyle name="Normal 4 6 7" xfId="1202" xr:uid="{2FA28A54-36C9-413B-A002-BC1F24D40819}"/>
    <cellStyle name="Normal 4 7" xfId="516" xr:uid="{05EC7C4F-C5CD-4E42-B223-B7DE7475E7A3}"/>
    <cellStyle name="Normal 4 7 2" xfId="2376" xr:uid="{991E362B-A653-4AA6-8348-57986AFE53DC}"/>
    <cellStyle name="Normal 4 7 3" xfId="3027" xr:uid="{75B37882-6890-4E1A-B5E9-E2C33412BDF5}"/>
    <cellStyle name="Normal 4 7 4" xfId="3683" xr:uid="{CA243E7B-52D2-473E-9B10-16C91C5DA26D}"/>
    <cellStyle name="Normal 4 7 5" xfId="4346" xr:uid="{B42FD377-CBFF-4C0A-A54E-AB1CF7996E1A}"/>
    <cellStyle name="Normal 4 7 6" xfId="1317" xr:uid="{17C7C5FF-A0D3-42BF-A855-30EA7AA102FE}"/>
    <cellStyle name="Normal 4 8" xfId="286" xr:uid="{F4AD9C8A-58C3-4891-9B34-0923B88C3E92}"/>
    <cellStyle name="Normal 4 8 2" xfId="1880" xr:uid="{E1C62F45-E024-484F-924A-BA3CBC11DE7B}"/>
    <cellStyle name="Normal 4 9" xfId="2049" xr:uid="{B664B297-EF96-4339-85C4-10D4A2E2C8C4}"/>
    <cellStyle name="Normal 40" xfId="812" xr:uid="{9865D7B2-5250-4FB8-80FC-117B8CA57AD5}"/>
    <cellStyle name="Normal 41" xfId="813" xr:uid="{DCF5E292-7C0C-4EF7-A553-CAA9D263C0C5}"/>
    <cellStyle name="Normal 42" xfId="814" xr:uid="{3EBA76DC-F17E-46E3-BC52-33C9C48C4F53}"/>
    <cellStyle name="Normal 43" xfId="815" xr:uid="{FAFEAD83-C7F6-49E1-9887-24C64210F801}"/>
    <cellStyle name="Normal 44" xfId="816" xr:uid="{9B548103-28AB-4D22-A098-DE61EA983E72}"/>
    <cellStyle name="Normal 45" xfId="817" xr:uid="{B979C77B-FDC9-429A-9F53-ECD585BD6BD1}"/>
    <cellStyle name="Normal 46" xfId="818" xr:uid="{F16BE0B8-2213-4CBB-B5CE-91C49BB78F6B}"/>
    <cellStyle name="Normal 47" xfId="819" xr:uid="{5A8FAD22-53EF-4214-B4D0-57A1CF30DF8D}"/>
    <cellStyle name="Normal 48" xfId="820" xr:uid="{D0B09646-30D3-49E3-83E9-3EF12B3C73A8}"/>
    <cellStyle name="Normal 49" xfId="821" xr:uid="{9D7B422A-AE9D-4E33-B3C5-BAB974DF13DF}"/>
    <cellStyle name="Normal 5" xfId="73" xr:uid="{CCA3A7CC-D24E-4007-82AA-075BC29355A9}"/>
    <cellStyle name="Normal 5 2" xfId="241" xr:uid="{38BE468D-FE37-4711-87FC-101D6784606E}"/>
    <cellStyle name="Normal 5 2 2" xfId="267" xr:uid="{4EC87657-E358-4879-802A-C75EC4C8831A}"/>
    <cellStyle name="Normal 5 2 2 2" xfId="359" xr:uid="{DDCF3DFD-B732-4A9F-8819-C141EF0000A0}"/>
    <cellStyle name="Normal 5 2 2 2 2" xfId="388" xr:uid="{84B219CF-E3AD-45EB-9635-3C06AE9F7575}"/>
    <cellStyle name="Normal 5 2 2 2 3" xfId="475" xr:uid="{2596CA00-73FD-457F-9833-8DF1D42053DD}"/>
    <cellStyle name="Normal 5 2 2 2 3 2" xfId="694" xr:uid="{161651CE-A141-4DF9-834E-9B046C9E5129}"/>
    <cellStyle name="Normal 5 2 2 2 4" xfId="584" xr:uid="{7E080626-82DF-415B-B8F9-BCF90639A734}"/>
    <cellStyle name="Normal 5 2 2 3" xfId="962" xr:uid="{3947335B-7157-48D5-A509-0190A15E738E}"/>
    <cellStyle name="Normal 5 2 3" xfId="380" xr:uid="{8522B613-95E8-4D40-90DD-69B96DFDD018}"/>
    <cellStyle name="Normal 5 2 3 2" xfId="494" xr:uid="{7947F834-DF9F-44E6-94DA-554CF3A4BE73}"/>
    <cellStyle name="Normal 5 2 3 2 2" xfId="713" xr:uid="{3F8B1588-00AF-477A-BD01-A73F9D80040E}"/>
    <cellStyle name="Normal 5 2 3 2 3" xfId="1014" xr:uid="{F0740D89-499E-421E-956E-9EBEB24C24EB}"/>
    <cellStyle name="Normal 5 2 3 3" xfId="603" xr:uid="{27DA5779-ABDA-444D-A5AF-2B043889970A}"/>
    <cellStyle name="Normal 5 2 3 4" xfId="986" xr:uid="{F81ED930-45FF-438C-8679-8ACD711037A4}"/>
    <cellStyle name="Normal 5 2 4" xfId="340" xr:uid="{6D490404-9D3C-47D5-BE87-2750C5BF841C}"/>
    <cellStyle name="Normal 5 2 4 2" xfId="456" xr:uid="{C1C7C1AF-F224-44C9-BADE-02E398FE858D}"/>
    <cellStyle name="Normal 5 2 4 2 2" xfId="675" xr:uid="{C82DA3A1-523F-4C2D-BB8A-010A744842A1}"/>
    <cellStyle name="Normal 5 2 4 3" xfId="565" xr:uid="{7A6BEFC0-29AD-495C-B866-525C9F9CDA45}"/>
    <cellStyle name="Normal 5 2 4 4" xfId="1797" xr:uid="{5CA7FD12-6AD5-4134-8541-0702A74447A2}"/>
    <cellStyle name="Normal 5 2 5" xfId="410" xr:uid="{957E4201-4B18-4DB5-A11A-9E6845C84B05}"/>
    <cellStyle name="Normal 5 2 5 2" xfId="629" xr:uid="{ADBD9CE8-A14C-4D7A-A9B7-C89C4DE3449A}"/>
    <cellStyle name="Normal 5 2 5 3" xfId="1762" xr:uid="{7E2BDAD5-1FAF-443E-BFBB-AF2681F7CEC4}"/>
    <cellStyle name="Normal 5 2 6" xfId="519" xr:uid="{1A7E4969-FA87-4202-8A92-9790F605A9F9}"/>
    <cellStyle name="Normal 5 2 7" xfId="289" xr:uid="{82B4396D-2FC2-4CEB-A416-C9924DFB302B}"/>
    <cellStyle name="Normal 5 2 8" xfId="961" xr:uid="{8C36B9AD-5561-446D-A6CF-36684B7B7147}"/>
    <cellStyle name="Normal 5 3" xfId="262" xr:uid="{2CDA6280-3E08-4713-940D-E9C936D8DA44}"/>
    <cellStyle name="Normal 5 3 2" xfId="386" xr:uid="{3FBF6F55-CFC9-4B97-A20D-5E6566EF35F7}"/>
    <cellStyle name="Normal 5 3 2 2" xfId="500" xr:uid="{61508CD6-591A-4671-8419-C51C532A45A1}"/>
    <cellStyle name="Normal 5 3 2 2 2" xfId="719" xr:uid="{42733389-030D-46BE-AB92-97DD2023E9E5}"/>
    <cellStyle name="Normal 5 3 2 3" xfId="609" xr:uid="{343DE211-BB4F-49EF-AD34-E41A6E3BFE53}"/>
    <cellStyle name="Normal 5 3 2 4" xfId="1741" xr:uid="{BA4A08F6-14D4-445A-A4CA-201F53CE0829}"/>
    <cellStyle name="Normal 5 3 3" xfId="431" xr:uid="{7269BC85-7CA1-44AD-99BE-5C261BE7B07A}"/>
    <cellStyle name="Normal 5 3 3 2" xfId="650" xr:uid="{00F8AE03-C77F-42E3-A77F-AE52B8703940}"/>
    <cellStyle name="Normal 5 3 4" xfId="540" xr:uid="{864994DF-154D-40EA-9F2A-9D65966489F9}"/>
    <cellStyle name="Normal 5 3 5" xfId="310" xr:uid="{20868D90-8022-4C3F-95E4-E3DD223C7A71}"/>
    <cellStyle name="Normal 5 3 6" xfId="960" xr:uid="{4C73F16B-4EAF-4316-B126-E8979C9C7159}"/>
    <cellStyle name="Normal 5 4" xfId="1796" xr:uid="{01F37BE1-ADD1-4C97-B825-3CDBC31F3D0D}"/>
    <cellStyle name="Normal 5 5" xfId="1685" xr:uid="{ADFA39D2-6C7E-4261-A647-DF4E33A3DD02}"/>
    <cellStyle name="Normal 5 6" xfId="822" xr:uid="{806849EE-F63B-4275-B053-0AAD2AA0953D}"/>
    <cellStyle name="Normal 5 7" xfId="225" xr:uid="{59E0B856-22D9-4345-8626-A54279DBB43A}"/>
    <cellStyle name="Normal 50" xfId="823" xr:uid="{32A92B72-A32C-410D-ABBE-11FCF7559CE1}"/>
    <cellStyle name="Normal 51" xfId="824" xr:uid="{10F522BA-FADF-4D60-A3D6-ACA3AA900BA3}"/>
    <cellStyle name="Normal 52" xfId="825" xr:uid="{2A9C4D89-9F83-4042-B15B-13EC5EB382F2}"/>
    <cellStyle name="Normal 53" xfId="826" xr:uid="{9CD53068-8927-4568-95C5-642C65811252}"/>
    <cellStyle name="Normal 54" xfId="827" xr:uid="{B9526394-689E-4A44-9B64-76CD82DDD483}"/>
    <cellStyle name="Normal 55" xfId="828" xr:uid="{F2A99A69-D74E-4538-80B2-F3692B7396DC}"/>
    <cellStyle name="Normal 56" xfId="829" xr:uid="{C6E6A380-762A-4A24-B3F3-9B4EBB177067}"/>
    <cellStyle name="Normal 57" xfId="830" xr:uid="{BB87782A-E54D-452C-8A18-14D031BB566B}"/>
    <cellStyle name="Normal 58" xfId="831" xr:uid="{9E20CE7E-A929-490F-BAAD-D8EB744A8D53}"/>
    <cellStyle name="Normal 59" xfId="832" xr:uid="{B8ABD89C-3C65-4BA5-866E-0E0A0F99E30D}"/>
    <cellStyle name="Normal 6" xfId="112" xr:uid="{F68325D3-5DF7-4E9D-9556-FB6B434821AD}"/>
    <cellStyle name="Normal 6 2" xfId="382" xr:uid="{07241E5C-B025-4B87-9B1E-FA4EC76F9390}"/>
    <cellStyle name="Normal 6 2 2" xfId="496" xr:uid="{0F0937AF-B3D5-47C2-9754-A7F320337B4E}"/>
    <cellStyle name="Normal 6 2 2 2" xfId="715" xr:uid="{9EC77D13-5A67-4DC3-9549-0E9A50692E65}"/>
    <cellStyle name="Normal 6 2 2 3" xfId="1755" xr:uid="{6DE8E17B-3C87-4BA6-80CA-774EC668B9E2}"/>
    <cellStyle name="Normal 6 2 3" xfId="605" xr:uid="{D1D31788-213A-490F-97CE-48CBFED7FDF7}"/>
    <cellStyle name="Normal 6 2 4" xfId="963" xr:uid="{6F9ABE26-F721-461D-A7F2-6D8400A3B46C}"/>
    <cellStyle name="Normal 6 3" xfId="412" xr:uid="{7CB4EC8C-0060-4F94-BE28-8E6014924492}"/>
    <cellStyle name="Normal 6 3 2" xfId="631" xr:uid="{B9261FFE-FF8F-4901-BC93-998EB257642D}"/>
    <cellStyle name="Normal 6 3 3" xfId="1734" xr:uid="{234107AA-4A73-4CC6-ABD7-483EA071AC64}"/>
    <cellStyle name="Normal 6 4" xfId="521" xr:uid="{864BA774-F8D6-4F25-A7C8-0F14792F015B}"/>
    <cellStyle name="Normal 6 4 2" xfId="1798" xr:uid="{FDDD0CE6-9DE5-4FBA-A048-F876597ED93F}"/>
    <cellStyle name="Normal 6 5" xfId="291" xr:uid="{F1BE11FB-A9A3-4563-8750-1E42B6812B47}"/>
    <cellStyle name="Normal 6 6" xfId="833" xr:uid="{1235855D-F147-48BD-A7ED-5D59C1BCB51C}"/>
    <cellStyle name="Normal 6 7" xfId="243" xr:uid="{980486F8-7F08-4111-B1A2-769BE36DB1C9}"/>
    <cellStyle name="Normal 60" xfId="834" xr:uid="{BE838DF3-E1A7-4B0E-BFC2-3CE10A5D0EEE}"/>
    <cellStyle name="Normal 61" xfId="835" xr:uid="{C0FD6753-CC08-4CB2-BD1D-FF26929CDEE3}"/>
    <cellStyle name="Normal 62" xfId="836" xr:uid="{4CCE051F-3326-431F-BAC1-AD2FA4093D10}"/>
    <cellStyle name="Normal 63" xfId="837" xr:uid="{13FEE20A-C5DA-4719-8BE8-2CE5F26A1C6F}"/>
    <cellStyle name="Normal 64" xfId="838" xr:uid="{D4045526-4F27-4B97-8E42-8074B692DB5A}"/>
    <cellStyle name="Normal 65" xfId="839" xr:uid="{FC3621EA-46C2-4855-89AE-E58C20D10430}"/>
    <cellStyle name="Normal 66" xfId="840" xr:uid="{0F902C22-23BE-4C41-9864-ED908930B749}"/>
    <cellStyle name="Normal 67" xfId="841" xr:uid="{A40DDD13-2912-409F-A749-922E4E253B2A}"/>
    <cellStyle name="Normal 68" xfId="842" xr:uid="{D6FC4C8A-167A-4C42-8EEF-D6A5CD54BB3B}"/>
    <cellStyle name="Normal 69" xfId="843" xr:uid="{AEF07AFB-B2D4-4C7C-9416-9E7D77029561}"/>
    <cellStyle name="Normal 7" xfId="50" xr:uid="{00764F0A-6FB9-48E9-823B-48FD9870F2A3}"/>
    <cellStyle name="Normal 7 2" xfId="964" xr:uid="{CD3714B2-F2E5-429A-BC14-544CCAE975D5}"/>
    <cellStyle name="Normal 7 3" xfId="844" xr:uid="{109FFA6E-BB8E-4C33-9A03-50964FC5F84D}"/>
    <cellStyle name="Normal 7 4" xfId="282" xr:uid="{7528D300-8427-45ED-B784-A6EFE88DAB6D}"/>
    <cellStyle name="Normal 70" xfId="845" xr:uid="{AA597B44-2049-4D1F-B3A1-667A58115EDF}"/>
    <cellStyle name="Normal 71" xfId="846" xr:uid="{BE2F5CA5-8D32-4089-A2CB-920605B4072D}"/>
    <cellStyle name="Normal 72" xfId="847" xr:uid="{DA8D01D0-7196-404A-B6F2-18033FBD874A}"/>
    <cellStyle name="Normal 73" xfId="848" xr:uid="{A07720E7-4F5D-4B94-B06A-CC561EFBDAC3}"/>
    <cellStyle name="Normal 74" xfId="919" xr:uid="{0893C3E5-4F21-4427-9EBA-169245FF238E}"/>
    <cellStyle name="Normal 75" xfId="921" xr:uid="{74C836CC-C7CD-4BC5-B036-2DEF8430C77A}"/>
    <cellStyle name="Normal 76" xfId="922" xr:uid="{00671723-9D4A-447C-BA21-AB35916AE026}"/>
    <cellStyle name="Normal 77" xfId="923" xr:uid="{C9A9CE6B-2DF3-419F-8109-3B62F3BEA279}"/>
    <cellStyle name="Normal 78" xfId="924" xr:uid="{EFDB9F05-6292-4C64-BAC2-135E02074FAC}"/>
    <cellStyle name="Normal 79" xfId="928" xr:uid="{01D8F8E8-5983-4E7F-B734-E3C75EF70560}"/>
    <cellStyle name="Normal 8" xfId="44" xr:uid="{64471CA6-68EC-4943-B28A-5CA0C84633BF}"/>
    <cellStyle name="Normal 8 2" xfId="966" xr:uid="{DE7F7717-0009-49A7-8D28-D52A10C3989D}"/>
    <cellStyle name="Normal 8 3" xfId="967" xr:uid="{D457DDC1-8ED9-4BC8-94D1-09EC2EFDE6E0}"/>
    <cellStyle name="Normal 8 3 2" xfId="968" xr:uid="{3311ADE5-422C-4644-978C-A27BB2FFE411}"/>
    <cellStyle name="Normal 8 4" xfId="965" xr:uid="{24BBABFF-7584-4C77-BB0C-56731FAD90D5}"/>
    <cellStyle name="Normal 8 5" xfId="1706" xr:uid="{DD501ED0-A8AE-4367-A5D4-234180F0E7BF}"/>
    <cellStyle name="Normal 8 6" xfId="849" xr:uid="{89C90338-65E4-4D5E-A08E-5731C89442EA}"/>
    <cellStyle name="Normal 8 7" xfId="404" xr:uid="{596241F6-2DB8-482C-A9CA-61300F4CF581}"/>
    <cellStyle name="Normal 80" xfId="929" xr:uid="{92779457-E506-4E9F-A6CB-6CE72C5A6D1B}"/>
    <cellStyle name="Normal 81" xfId="735" xr:uid="{0434F269-7E7F-4707-9933-FC9B7CB84438}"/>
    <cellStyle name="Normal 82" xfId="721" xr:uid="{D8F863BC-9F3C-4046-9801-374DEFBC5E80}"/>
    <cellStyle name="Normal 83" xfId="144" xr:uid="{558D92C2-7AFD-4234-BC76-353025D58726}"/>
    <cellStyle name="Normal 84" xfId="149" xr:uid="{3CD3B047-B842-4E95-8856-F39F5D2A1FE7}"/>
    <cellStyle name="Normal 85" xfId="4687" xr:uid="{862A89A7-2CC1-4D5B-8D85-A1256F640DE0}"/>
    <cellStyle name="Normal 86" xfId="4753" xr:uid="{F91B75BD-5B04-4FBC-9CE5-0B1BE02BD364}"/>
    <cellStyle name="Normal 87" xfId="4669" xr:uid="{FEC8552C-1056-4B0D-B702-75115FBCE19E}"/>
    <cellStyle name="Normal 88" xfId="4697" xr:uid="{F5890D8C-B5D1-4D30-92DD-ECD02AC396CC}"/>
    <cellStyle name="Normal 89" xfId="4705" xr:uid="{2C240059-0934-411E-BDB1-123DB5A6FFCB}"/>
    <cellStyle name="Normal 9" xfId="391" xr:uid="{40AEF6FF-BC81-4CBB-B552-EE79B04C2B06}"/>
    <cellStyle name="Normal 9 2" xfId="611" xr:uid="{B6B7785F-4C46-4DD9-A921-01DCF772288F}"/>
    <cellStyle name="Normal 9 2 2" xfId="970" xr:uid="{5CFD8733-3486-47A2-8764-6D1B6BAC41FD}"/>
    <cellStyle name="Normal 9 3" xfId="969" xr:uid="{A220F8CD-11BA-47DA-97AC-EEC801AD8D87}"/>
    <cellStyle name="Normal 9 4" xfId="1644" xr:uid="{2DBA6E17-B94C-4623-9637-917D0DC44FA2}"/>
    <cellStyle name="Normal 9 5" xfId="850" xr:uid="{DAE91C77-4AD2-48D6-9698-DA5CD48BD89A}"/>
    <cellStyle name="Normal 90" xfId="4677" xr:uid="{9C6A3EA9-63AE-4402-9886-A19F3640940F}"/>
    <cellStyle name="Normal 91" xfId="4672" xr:uid="{B7EC3325-0555-4D79-B4AE-25C544583AD9}"/>
    <cellStyle name="Normal 92" xfId="4662" xr:uid="{97A2C06A-1BC8-44B9-8952-80D7A5B5CECE}"/>
    <cellStyle name="Normal 93" xfId="4723" xr:uid="{CD645780-EA2C-4234-8984-E6D628C71639}"/>
    <cellStyle name="Normal 94" xfId="4754" xr:uid="{5C551ECB-3953-4659-9A09-274540AD9688}"/>
    <cellStyle name="Normal 95" xfId="4675" xr:uid="{68AEFF6A-2F74-472F-8353-20B452E3A0E8}"/>
    <cellStyle name="Normal 96" xfId="4695" xr:uid="{22BD0286-B9E8-4BF5-A43C-910B581419B7}"/>
    <cellStyle name="Normal 97" xfId="4685" xr:uid="{A1135354-E201-4AFE-84E6-99B0192901C8}"/>
    <cellStyle name="Normal 98" xfId="4757" xr:uid="{D9C68F29-4D33-4F03-934D-B71EA37956DF}"/>
    <cellStyle name="Normal 99" xfId="4744" xr:uid="{FA54BCC9-AFC7-4969-9EDA-F7DFC946B83F}"/>
    <cellStyle name="Note 2" xfId="67" xr:uid="{239D3EA6-B5C9-47B3-9C90-1ABAE7D57E14}"/>
    <cellStyle name="Note 2 10" xfId="2701" xr:uid="{CBFD29D5-4AFD-4688-AC9E-096A4A88F202}"/>
    <cellStyle name="Note 2 11" xfId="3355" xr:uid="{66F560DF-A566-44EF-AF69-A031BFA50495}"/>
    <cellStyle name="Note 2 12" xfId="4020" xr:uid="{7A8B3377-FD56-4500-802D-5F824412F7B2}"/>
    <cellStyle name="Note 2 13" xfId="851" xr:uid="{333BD1D0-CF1B-4AD9-93F6-078826379E8A}"/>
    <cellStyle name="Note 2 14" xfId="226" xr:uid="{A5D657AF-E693-44BA-84CA-AE76F9FB679D}"/>
    <cellStyle name="Note 2 2" xfId="227" xr:uid="{A05E3D40-2C40-4725-8790-A45FFD0BE4FF}"/>
    <cellStyle name="Note 2 2 10" xfId="4036" xr:uid="{45249B73-B413-452B-8D16-A4DD58282303}"/>
    <cellStyle name="Note 2 2 11" xfId="987" xr:uid="{E733F438-4198-444C-8A58-BB8F47E79DC0}"/>
    <cellStyle name="Note 2 2 2" xfId="1052" xr:uid="{24E74212-E942-46A8-8BCA-11C8B46DC76C}"/>
    <cellStyle name="Note 2 2 2 2" xfId="1159" xr:uid="{9370D3FD-E059-4427-A978-90DCE90CD32E}"/>
    <cellStyle name="Note 2 2 2 2 2" xfId="1496" xr:uid="{3123E523-C00F-4B88-A028-280261200305}"/>
    <cellStyle name="Note 2 2 2 2 2 2" xfId="2555" xr:uid="{E4EFEBAC-276C-4141-B742-8597694F6777}"/>
    <cellStyle name="Note 2 2 2 2 2 3" xfId="3206" xr:uid="{D3A5B498-6C6D-43E1-959B-972367833C2B}"/>
    <cellStyle name="Note 2 2 2 2 2 4" xfId="3862" xr:uid="{5D67FEC4-D7D1-44B5-9925-E96E5E415B67}"/>
    <cellStyle name="Note 2 2 2 2 2 5" xfId="4525" xr:uid="{1F4F4C8E-B706-404D-8615-70006FDFD3A1}"/>
    <cellStyle name="Note 2 2 2 2 3" xfId="1933" xr:uid="{F5DFF1C4-D6F5-4E50-A07B-E4F0803CFD79}"/>
    <cellStyle name="Note 2 2 2 2 4" xfId="2228" xr:uid="{E5DB5A74-1DDA-4B8F-B12F-F8BEAA4CF041}"/>
    <cellStyle name="Note 2 2 2 2 5" xfId="2879" xr:uid="{03349E7D-C67B-49C9-8718-42686AA284F6}"/>
    <cellStyle name="Note 2 2 2 2 6" xfId="3535" xr:uid="{E9746AC2-FDF0-4023-AFDC-114F2486A1B4}"/>
    <cellStyle name="Note 2 2 2 2 7" xfId="4198" xr:uid="{6152AE12-F2A6-4637-8505-BD79A69D16D9}"/>
    <cellStyle name="Note 2 2 2 3" xfId="1273" xr:uid="{6483774A-907C-44D7-9D7A-2710CC32B74A}"/>
    <cellStyle name="Note 2 2 2 3 2" xfId="1604" xr:uid="{5B3A509F-1634-42F7-90FD-EBB1A1F4D0BC}"/>
    <cellStyle name="Note 2 2 2 3 2 2" xfId="2663" xr:uid="{46A1298F-2A1D-49CD-BE8A-D283DE33C6FC}"/>
    <cellStyle name="Note 2 2 2 3 2 3" xfId="3314" xr:uid="{967147C0-81E9-4EEE-8289-69F6F4CFE014}"/>
    <cellStyle name="Note 2 2 2 3 2 4" xfId="3970" xr:uid="{FAED3F5D-CDB5-49B3-815C-4768BE0C01F0}"/>
    <cellStyle name="Note 2 2 2 3 2 5" xfId="4633" xr:uid="{6CFC5988-7793-4EA3-B88E-F6FB1E686042}"/>
    <cellStyle name="Note 2 2 2 3 3" xfId="2336" xr:uid="{E25852E5-6F63-410D-A71B-944FE05DD099}"/>
    <cellStyle name="Note 2 2 2 3 4" xfId="2987" xr:uid="{7CCF9279-2F9B-430B-BE7C-07308CE8CA3F}"/>
    <cellStyle name="Note 2 2 2 3 5" xfId="3643" xr:uid="{D0A6D885-8290-4CEF-8272-D4CF00D845AF}"/>
    <cellStyle name="Note 2 2 2 3 6" xfId="4306" xr:uid="{1C4FD680-0D08-4911-AF08-B41AC3B6572E}"/>
    <cellStyle name="Note 2 2 2 4" xfId="1388" xr:uid="{FDFB1A21-4566-4BD1-A1F3-DE4E91B35512}"/>
    <cellStyle name="Note 2 2 2 4 2" xfId="2447" xr:uid="{66718CFA-561A-4413-B37C-E96E2A8A7086}"/>
    <cellStyle name="Note 2 2 2 4 3" xfId="3098" xr:uid="{27EC150B-5E95-4690-A386-0F2471D5E898}"/>
    <cellStyle name="Note 2 2 2 4 4" xfId="3754" xr:uid="{B04E46E2-65ED-4AB5-89E7-FB892613DC6F}"/>
    <cellStyle name="Note 2 2 2 4 5" xfId="4417" xr:uid="{F552C646-53DA-44B5-92D8-8E41CD510F55}"/>
    <cellStyle name="Note 2 2 2 5" xfId="2011" xr:uid="{12E9FAE1-2D09-4AE0-8067-311601D923C3}"/>
    <cellStyle name="Note 2 2 2 6" xfId="2120" xr:uid="{17C91B2C-EA85-4294-807D-139EF8EE39D6}"/>
    <cellStyle name="Note 2 2 2 7" xfId="2771" xr:uid="{7677E2A2-323F-4CC0-9FBF-19BF3E7D752A}"/>
    <cellStyle name="Note 2 2 2 8" xfId="3427" xr:uid="{A0524F0A-F86D-4346-86BF-4BD0A1DA5CFC}"/>
    <cellStyle name="Note 2 2 2 9" xfId="4090" xr:uid="{B7D49C2A-D5E8-4EEE-A73B-C77270146B7C}"/>
    <cellStyle name="Note 2 2 3" xfId="1105" xr:uid="{012AE4F9-BD9B-4BE0-801F-35BB063EBAA3}"/>
    <cellStyle name="Note 2 2 3 2" xfId="1442" xr:uid="{D7A43B25-C6D4-4DF0-9190-6387DBCF67C4}"/>
    <cellStyle name="Note 2 2 3 2 2" xfId="2501" xr:uid="{A3E45100-FB7A-4977-86BE-76C9DE2EE80B}"/>
    <cellStyle name="Note 2 2 3 2 3" xfId="3152" xr:uid="{7451FE35-CC2F-4AB3-B385-8EF91269DD86}"/>
    <cellStyle name="Note 2 2 3 2 4" xfId="3808" xr:uid="{B49DDEC3-9A3A-40FA-B5AD-CB735E6C732F}"/>
    <cellStyle name="Note 2 2 3 2 5" xfId="4471" xr:uid="{64305203-21AF-44DE-B29A-108906A98864}"/>
    <cellStyle name="Note 2 2 3 3" xfId="1966" xr:uid="{004CF1AB-DE0B-441C-BAF7-E908EB598C9F}"/>
    <cellStyle name="Note 2 2 3 4" xfId="2174" xr:uid="{7690E05D-AE60-4802-A91F-5A17707A1AE2}"/>
    <cellStyle name="Note 2 2 3 5" xfId="2825" xr:uid="{97ECDBAA-F004-4CAE-BBFE-A3A0C102BD1C}"/>
    <cellStyle name="Note 2 2 3 6" xfId="3481" xr:uid="{76AC44F9-108C-4138-9030-E415F4836175}"/>
    <cellStyle name="Note 2 2 3 7" xfId="4144" xr:uid="{99DCC1A4-3D60-40DF-826B-B7AD9E327C86}"/>
    <cellStyle name="Note 2 2 4" xfId="1219" xr:uid="{0217BADE-B614-4147-8040-50035BC487D4}"/>
    <cellStyle name="Note 2 2 4 2" xfId="1550" xr:uid="{2E83205E-56FD-4C48-951A-E6931926E31D}"/>
    <cellStyle name="Note 2 2 4 2 2" xfId="2609" xr:uid="{ECCA331F-11DC-484E-A621-CD39EF458446}"/>
    <cellStyle name="Note 2 2 4 2 3" xfId="3260" xr:uid="{91A636E3-065D-4EB8-85E2-2DE7626AAF9E}"/>
    <cellStyle name="Note 2 2 4 2 4" xfId="3916" xr:uid="{6FFAF00A-04DE-4411-BE37-7280462458B4}"/>
    <cellStyle name="Note 2 2 4 2 5" xfId="4579" xr:uid="{B78C2D12-45F0-4D9E-AFBA-4FC4DD681E73}"/>
    <cellStyle name="Note 2 2 4 3" xfId="2282" xr:uid="{E1280767-FCFA-446A-8240-EFAFA43E25B6}"/>
    <cellStyle name="Note 2 2 4 4" xfId="2933" xr:uid="{0F280F2A-5F83-4C7F-BE69-77C3801B0D1D}"/>
    <cellStyle name="Note 2 2 4 5" xfId="3589" xr:uid="{5D690A53-B290-4615-AA73-09C9524FF78D}"/>
    <cellStyle name="Note 2 2 4 6" xfId="4252" xr:uid="{2322CB44-E2F0-41F1-AE80-71481A86D1D0}"/>
    <cellStyle name="Note 2 2 5" xfId="1334" xr:uid="{182A49FA-FA7E-4CE6-8AC8-0AEF1CD9E645}"/>
    <cellStyle name="Note 2 2 5 2" xfId="2393" xr:uid="{2CD2D781-BCCA-4E21-B573-4C3F77FE23FF}"/>
    <cellStyle name="Note 2 2 5 3" xfId="3044" xr:uid="{6C6A0378-C303-48A6-9FB7-13732DD3CEAC}"/>
    <cellStyle name="Note 2 2 5 4" xfId="3700" xr:uid="{D7E8EDE9-02DB-4FA0-8526-6FE667193A33}"/>
    <cellStyle name="Note 2 2 5 5" xfId="4363" xr:uid="{6533FA0C-3795-4A38-B28A-2A2B236561CE}"/>
    <cellStyle name="Note 2 2 6" xfId="1995" xr:uid="{357D8296-E3FF-42B5-9F42-43CE193B9A01}"/>
    <cellStyle name="Note 2 2 7" xfId="2066" xr:uid="{48665A54-93CD-4DC9-9CF6-BC77A3030F8E}"/>
    <cellStyle name="Note 2 2 8" xfId="2717" xr:uid="{7C6EB57E-45F0-4B12-934D-DC126DEBF3B4}"/>
    <cellStyle name="Note 2 2 9" xfId="3372" xr:uid="{21BE9382-71DF-48F1-8352-1E88EB6AAD58}"/>
    <cellStyle name="Note 2 3" xfId="228" xr:uid="{261B3298-E706-4E97-8C1C-6666D39AFCE8}"/>
    <cellStyle name="Note 2 3 10" xfId="4053" xr:uid="{41EC0F2D-11B4-4A2B-A061-A107DEC5814E}"/>
    <cellStyle name="Note 2 3 11" xfId="1008" xr:uid="{9AEDB35F-783C-4C01-95E6-193B63BF9E1A}"/>
    <cellStyle name="Note 2 3 2" xfId="239" xr:uid="{5589721A-EC3B-4450-9E9A-64E062296BBE}"/>
    <cellStyle name="Note 2 3 2 10" xfId="1069" xr:uid="{35DCFEB3-5C91-4814-A001-0F6715A76287}"/>
    <cellStyle name="Note 2 3 2 2" xfId="1176" xr:uid="{1C9D0074-D29E-4BF3-AEF4-CE6C770CF670}"/>
    <cellStyle name="Note 2 3 2 2 2" xfId="1513" xr:uid="{EDA90BFC-9242-49E2-9F40-1A423B7D3F62}"/>
    <cellStyle name="Note 2 3 2 2 2 2" xfId="2572" xr:uid="{207A68E1-CDA6-4CE7-A663-58447E08FCF7}"/>
    <cellStyle name="Note 2 3 2 2 2 3" xfId="3223" xr:uid="{8C1DCFFF-DD53-4369-8D13-1EC6D58E0E75}"/>
    <cellStyle name="Note 2 3 2 2 2 4" xfId="3879" xr:uid="{A072BE4E-BCFA-466D-8F42-F56F0DE94C53}"/>
    <cellStyle name="Note 2 3 2 2 2 5" xfId="4542" xr:uid="{3D8E162D-9EC0-44D7-960E-47A46753E825}"/>
    <cellStyle name="Note 2 3 2 2 3" xfId="2033" xr:uid="{E55E4916-DE82-4304-88B5-063638431DDA}"/>
    <cellStyle name="Note 2 3 2 2 4" xfId="2245" xr:uid="{AAE884D7-8C52-4808-B672-3C0B388C37DB}"/>
    <cellStyle name="Note 2 3 2 2 5" xfId="2896" xr:uid="{B2EEF332-94A9-4342-B931-AAA105C1594A}"/>
    <cellStyle name="Note 2 3 2 2 6" xfId="3552" xr:uid="{4B0C0C63-2E33-4F1A-94CB-76ED75D907E2}"/>
    <cellStyle name="Note 2 3 2 2 7" xfId="4215" xr:uid="{1C636D79-707E-4A69-A6C4-8A1ABD32D1AE}"/>
    <cellStyle name="Note 2 3 2 3" xfId="1290" xr:uid="{8B119E8A-5D5F-4935-A55E-7F90D58C6E46}"/>
    <cellStyle name="Note 2 3 2 3 2" xfId="1621" xr:uid="{8BDED78B-B46B-4BC9-8D65-06A77AE2A5EC}"/>
    <cellStyle name="Note 2 3 2 3 2 2" xfId="2680" xr:uid="{963C5D1C-BB46-44CB-8C68-5B683624C743}"/>
    <cellStyle name="Note 2 3 2 3 2 3" xfId="3331" xr:uid="{CAED1722-251A-41B1-9458-8C7738A59774}"/>
    <cellStyle name="Note 2 3 2 3 2 4" xfId="3987" xr:uid="{5A5066B7-F6A9-4CCC-8F8A-9BA80883FFEB}"/>
    <cellStyle name="Note 2 3 2 3 2 5" xfId="4650" xr:uid="{D6DF5C3E-8AF3-4F95-9073-17D616A3A491}"/>
    <cellStyle name="Note 2 3 2 3 3" xfId="2353" xr:uid="{4CDB9656-B82B-477B-82CA-F7899F5DFC3D}"/>
    <cellStyle name="Note 2 3 2 3 4" xfId="3004" xr:uid="{94CDCE88-9698-41D3-94BC-3CDAABAA146B}"/>
    <cellStyle name="Note 2 3 2 3 5" xfId="3660" xr:uid="{4A77BA79-24AB-469D-A009-AB30FE900364}"/>
    <cellStyle name="Note 2 3 2 3 6" xfId="4323" xr:uid="{418671B4-16E3-47F7-84DD-7EC507FDB6DA}"/>
    <cellStyle name="Note 2 3 2 4" xfId="1405" xr:uid="{FE967087-94F6-4669-8FC5-F0DBF744AF80}"/>
    <cellStyle name="Note 2 3 2 4 2" xfId="2464" xr:uid="{23D7520F-8515-4416-BFF2-4121F798F25A}"/>
    <cellStyle name="Note 2 3 2 4 3" xfId="3115" xr:uid="{C6719A18-A654-4AD7-ACCF-5C3D2000E6AC}"/>
    <cellStyle name="Note 2 3 2 4 4" xfId="3771" xr:uid="{97689D97-0702-405B-B421-3430EC1BD26D}"/>
    <cellStyle name="Note 2 3 2 4 5" xfId="4434" xr:uid="{ADB8AE2D-96CE-4002-8AC0-86FE35E3C7D3}"/>
    <cellStyle name="Note 2 3 2 5" xfId="1827" xr:uid="{B3D8457B-721E-49D0-A69C-B4D91EBD8204}"/>
    <cellStyle name="Note 2 3 2 6" xfId="2137" xr:uid="{7D034955-F924-4D37-A844-D0B049AB387D}"/>
    <cellStyle name="Note 2 3 2 7" xfId="2788" xr:uid="{35650881-831A-42D8-A996-0E30C7E807A3}"/>
    <cellStyle name="Note 2 3 2 8" xfId="3444" xr:uid="{17AA6AE5-C08B-4F7B-8AF1-B790A7FB8EA5}"/>
    <cellStyle name="Note 2 3 2 9" xfId="4107" xr:uid="{003A80EE-BC8D-4FB2-895F-9AD626252D67}"/>
    <cellStyle name="Note 2 3 3" xfId="335" xr:uid="{E01D5D8E-3ACB-45F9-AC89-A2786ED8FEAC}"/>
    <cellStyle name="Note 2 3 3 2" xfId="1459" xr:uid="{D566F697-B379-4A5C-A6D6-56198107369F}"/>
    <cellStyle name="Note 2 3 3 2 2" xfId="2518" xr:uid="{B055F87A-605E-4CD8-A67B-E8852FBB4AF3}"/>
    <cellStyle name="Note 2 3 3 2 3" xfId="3169" xr:uid="{26FB2D7E-B695-43A4-8620-706F58B7FCFA}"/>
    <cellStyle name="Note 2 3 3 2 4" xfId="3825" xr:uid="{54EA02F5-F1A7-4E21-8B23-69E23E0FFEBB}"/>
    <cellStyle name="Note 2 3 3 2 5" xfId="4488" xr:uid="{484C0E1D-F92C-4613-A542-4C9F96176866}"/>
    <cellStyle name="Note 2 3 3 3" xfId="1932" xr:uid="{90210C4E-C3E0-411B-94CC-967B1F50A8BB}"/>
    <cellStyle name="Note 2 3 3 4" xfId="2191" xr:uid="{5E4BCC11-2D4A-4B8D-B254-FEC0BFAB5232}"/>
    <cellStyle name="Note 2 3 3 5" xfId="2842" xr:uid="{0C92D507-DE75-490E-8573-5B571089204B}"/>
    <cellStyle name="Note 2 3 3 6" xfId="3498" xr:uid="{F03DD079-F7C0-4BD8-B3B7-88BB50A45724}"/>
    <cellStyle name="Note 2 3 3 7" xfId="4161" xr:uid="{DECC47B5-2BD8-48DA-8AB3-DD64EFCBEAFA}"/>
    <cellStyle name="Note 2 3 3 8" xfId="1122" xr:uid="{2D566C48-BB49-4252-9A17-31DA84FA8962}"/>
    <cellStyle name="Note 2 3 4" xfId="1236" xr:uid="{3EA820E5-116D-4E45-8E6A-7647C3F01250}"/>
    <cellStyle name="Note 2 3 4 2" xfId="1567" xr:uid="{F27D1B00-FB14-4DC2-99BA-725D0547096C}"/>
    <cellStyle name="Note 2 3 4 2 2" xfId="2626" xr:uid="{832CDC69-D21F-412F-A40B-918C335A4A92}"/>
    <cellStyle name="Note 2 3 4 2 3" xfId="3277" xr:uid="{A1AD41B8-601A-48A5-9554-F72F7C213FCF}"/>
    <cellStyle name="Note 2 3 4 2 4" xfId="3933" xr:uid="{3BC6F6E5-7755-415A-8EB2-41390EB316B2}"/>
    <cellStyle name="Note 2 3 4 2 5" xfId="4596" xr:uid="{210E2468-BDF3-45E2-A68F-07D2E480F9EB}"/>
    <cellStyle name="Note 2 3 4 3" xfId="2299" xr:uid="{C929C019-DF5A-4AC1-A82E-0DBD3B388E4A}"/>
    <cellStyle name="Note 2 3 4 4" xfId="2950" xr:uid="{52846899-9A6A-4A71-9C1F-75B384745DDB}"/>
    <cellStyle name="Note 2 3 4 5" xfId="3606" xr:uid="{4DB5F8B6-8777-4505-BDBA-B8FABA8E0967}"/>
    <cellStyle name="Note 2 3 4 6" xfId="4269" xr:uid="{3A729721-F63F-4740-B3C0-CE08E82AD604}"/>
    <cellStyle name="Note 2 3 5" xfId="1351" xr:uid="{ADF7531D-0F2D-4259-8739-FA2603838C1C}"/>
    <cellStyle name="Note 2 3 5 2" xfId="2410" xr:uid="{7720C420-BA29-46A2-B3D0-042DCBF1F682}"/>
    <cellStyle name="Note 2 3 5 3" xfId="3061" xr:uid="{2E337A01-74E1-4F9F-A5DA-D4BA30ECC00D}"/>
    <cellStyle name="Note 2 3 5 4" xfId="3717" xr:uid="{B787CB95-B906-4182-BD7C-C7965BE41380}"/>
    <cellStyle name="Note 2 3 5 5" xfId="4380" xr:uid="{42C0EC57-DCCF-48FA-AF39-B5EB917EACA1}"/>
    <cellStyle name="Note 2 3 6" xfId="1948" xr:uid="{FFEC3492-113A-4BE5-979C-665DF80B95C1}"/>
    <cellStyle name="Note 2 3 7" xfId="2083" xr:uid="{1211E93E-1185-4624-B05B-7EBF8C813D87}"/>
    <cellStyle name="Note 2 3 8" xfId="2734" xr:uid="{47163D83-7BAF-4634-807C-A0B93C4D83A2}"/>
    <cellStyle name="Note 2 3 9" xfId="3390" xr:uid="{E18F271D-F346-48A8-82DE-06A932BA92ED}"/>
    <cellStyle name="Note 2 4" xfId="268" xr:uid="{955D13BB-0ADC-4AD6-9EB8-78D8AED802CD}"/>
    <cellStyle name="Note 2 4 10" xfId="1036" xr:uid="{ECBBF83E-77A1-4BE0-BA95-4E11B705C7F3}"/>
    <cellStyle name="Note 2 4 2" xfId="1143" xr:uid="{A8A2609F-AA2F-43B4-9790-088754A64E6F}"/>
    <cellStyle name="Note 2 4 2 2" xfId="1480" xr:uid="{0773A7D2-C6C3-43C5-A496-BFD9FE102335}"/>
    <cellStyle name="Note 2 4 2 2 2" xfId="2539" xr:uid="{845A027F-1129-438F-9BA6-BD69574BE642}"/>
    <cellStyle name="Note 2 4 2 2 3" xfId="3190" xr:uid="{81B73537-9BEC-4E1E-A9B4-46C6C0CA5DEC}"/>
    <cellStyle name="Note 2 4 2 2 4" xfId="3846" xr:uid="{F3A96D80-A770-43A6-9910-A90BABE44CC5}"/>
    <cellStyle name="Note 2 4 2 2 5" xfId="4509" xr:uid="{5D4E6FC7-AE05-4F9A-96F3-7BD1F1AF0DCE}"/>
    <cellStyle name="Note 2 4 2 3" xfId="1925" xr:uid="{E650DC9D-4886-4F00-973B-6AA86A4E36ED}"/>
    <cellStyle name="Note 2 4 2 4" xfId="2212" xr:uid="{FBFC6FF5-0CAA-4B51-98CF-E116F87FE847}"/>
    <cellStyle name="Note 2 4 2 5" xfId="2863" xr:uid="{DA694164-56BD-4176-8BAE-4EC7F299D0B5}"/>
    <cellStyle name="Note 2 4 2 6" xfId="3519" xr:uid="{19C41AB2-92AE-4A36-9A8B-E03263E25485}"/>
    <cellStyle name="Note 2 4 2 7" xfId="4182" xr:uid="{117D2B29-87D2-4239-86BB-95E809F9D6B5}"/>
    <cellStyle name="Note 2 4 3" xfId="1257" xr:uid="{BB90C319-EB67-4CBF-BA99-E4EAF1CB282F}"/>
    <cellStyle name="Note 2 4 3 2" xfId="1588" xr:uid="{6A952105-8AEB-4079-A1B7-3DCE775FD173}"/>
    <cellStyle name="Note 2 4 3 2 2" xfId="2647" xr:uid="{47CBBD83-3F33-493E-AE1E-0668430CD10A}"/>
    <cellStyle name="Note 2 4 3 2 3" xfId="3298" xr:uid="{225AFB3F-DED2-49BF-8968-41F777908AA1}"/>
    <cellStyle name="Note 2 4 3 2 4" xfId="3954" xr:uid="{13E62D5A-3DF1-44DF-A780-9C46E0826164}"/>
    <cellStyle name="Note 2 4 3 2 5" xfId="4617" xr:uid="{1DEA291B-441C-4510-A265-7D337711F243}"/>
    <cellStyle name="Note 2 4 3 3" xfId="2320" xr:uid="{D0AE8C9E-F4D0-4015-BDC8-2AAF281B8507}"/>
    <cellStyle name="Note 2 4 3 4" xfId="2971" xr:uid="{DBC19878-F4E1-41A6-83CB-04245EC271D9}"/>
    <cellStyle name="Note 2 4 3 5" xfId="3627" xr:uid="{E6AAD454-15F4-4F65-AA41-819D00BC1ACB}"/>
    <cellStyle name="Note 2 4 3 6" xfId="4290" xr:uid="{7721F79B-497C-4E66-8F52-6D15AA02EB3D}"/>
    <cellStyle name="Note 2 4 4" xfId="1372" xr:uid="{3ADCD847-48B1-41A5-B46B-752BD2BC1040}"/>
    <cellStyle name="Note 2 4 4 2" xfId="2431" xr:uid="{2316B178-2612-4D97-B5F8-7B175F804B10}"/>
    <cellStyle name="Note 2 4 4 3" xfId="3082" xr:uid="{20039831-8E15-4AD3-A314-A55A596C3D5E}"/>
    <cellStyle name="Note 2 4 4 4" xfId="3738" xr:uid="{FC4EEDBE-8584-4D2C-813B-7488A0143CF3}"/>
    <cellStyle name="Note 2 4 4 5" xfId="4401" xr:uid="{D407646A-8EBE-4840-BD70-FF3B1438CA64}"/>
    <cellStyle name="Note 2 4 5" xfId="1905" xr:uid="{88AB8DD5-0606-4CC9-8CE7-5282870091B1}"/>
    <cellStyle name="Note 2 4 6" xfId="2104" xr:uid="{C625C1F9-CE4F-4DB0-A695-16A625BC0EFD}"/>
    <cellStyle name="Note 2 4 7" xfId="2755" xr:uid="{F89E4509-6D87-422C-A8CC-14B93EEB06FE}"/>
    <cellStyle name="Note 2 4 8" xfId="3411" xr:uid="{7A7C8A02-3EA0-4A8D-877E-ACBC5FB7A051}"/>
    <cellStyle name="Note 2 4 9" xfId="4074" xr:uid="{08F5A137-596F-4AB6-B007-4F1DB1F97862}"/>
    <cellStyle name="Note 2 5" xfId="1089" xr:uid="{D7F57A78-8FAB-4E7F-80FE-FB877F007194}"/>
    <cellStyle name="Note 2 5 2" xfId="1426" xr:uid="{0DA89489-869E-48D0-97C8-2614A6C4F0B9}"/>
    <cellStyle name="Note 2 5 2 2" xfId="2485" xr:uid="{BC60E6A2-A5CB-413F-8762-9E20FAF80381}"/>
    <cellStyle name="Note 2 5 2 3" xfId="3136" xr:uid="{83035068-660B-43A7-B4D6-E0DBC061454C}"/>
    <cellStyle name="Note 2 5 2 4" xfId="3792" xr:uid="{A0D01CCA-1E80-46E2-AE04-8B3DE5FC8C66}"/>
    <cellStyle name="Note 2 5 2 5" xfId="4455" xr:uid="{4B1FB810-97D9-4598-8E9C-471D250C5569}"/>
    <cellStyle name="Note 2 5 3" xfId="1900" xr:uid="{EBFDA50B-8FC8-4DF3-AB3B-91BF36C32A93}"/>
    <cellStyle name="Note 2 5 4" xfId="2158" xr:uid="{7F63DE6B-E345-442D-97BC-C37450A162A1}"/>
    <cellStyle name="Note 2 5 5" xfId="2809" xr:uid="{232943E0-5AD3-43B5-BAF8-5CD8B2564A2A}"/>
    <cellStyle name="Note 2 5 6" xfId="3465" xr:uid="{47AC2F69-47B1-4C64-8E93-9C5317DE11B8}"/>
    <cellStyle name="Note 2 5 7" xfId="4128" xr:uid="{A1C4D63D-44FC-4CCE-BB65-F41E1C4E43C8}"/>
    <cellStyle name="Note 2 6" xfId="1203" xr:uid="{CEC98740-DF3D-4274-B778-FAF2A9967F59}"/>
    <cellStyle name="Note 2 6 2" xfId="1534" xr:uid="{B8C9D9F2-1571-4171-AFD4-76FFBAF3389E}"/>
    <cellStyle name="Note 2 6 2 2" xfId="2593" xr:uid="{DA342612-2CBE-4C6C-B9C6-A49D95BA65F6}"/>
    <cellStyle name="Note 2 6 2 3" xfId="3244" xr:uid="{B665CB7F-CF5D-406A-B875-D3F0D7099E41}"/>
    <cellStyle name="Note 2 6 2 4" xfId="3900" xr:uid="{36DEFB0C-6FD8-498D-B09D-C01C37C2ABE1}"/>
    <cellStyle name="Note 2 6 2 5" xfId="4563" xr:uid="{C58AE3B1-F8A4-473E-8467-5EC427593973}"/>
    <cellStyle name="Note 2 6 3" xfId="2266" xr:uid="{C5A98225-DAA0-446C-ADF5-3D68028CF758}"/>
    <cellStyle name="Note 2 6 4" xfId="2917" xr:uid="{ED44A283-D892-4791-92B0-0AF9A184DC57}"/>
    <cellStyle name="Note 2 6 5" xfId="3573" xr:uid="{484C833F-0172-43B9-8CD8-DD6C71A48D53}"/>
    <cellStyle name="Note 2 6 6" xfId="4236" xr:uid="{C146F2C7-A1F6-4D4D-8D45-A220619B623A}"/>
    <cellStyle name="Note 2 7" xfId="1318" xr:uid="{27C15195-0C2E-4243-B0C9-4CC18558A666}"/>
    <cellStyle name="Note 2 7 2" xfId="2377" xr:uid="{EDB7657E-825E-483B-A534-F979C555CFAE}"/>
    <cellStyle name="Note 2 7 3" xfId="3028" xr:uid="{BFD611B6-7971-4AC0-B2DF-AD822785808F}"/>
    <cellStyle name="Note 2 7 4" xfId="3684" xr:uid="{FD5AA8D0-206C-411D-AFAB-39D5EDBCAF49}"/>
    <cellStyle name="Note 2 7 5" xfId="4347" xr:uid="{92C7411A-48D6-466C-84AE-69373C84F62E}"/>
    <cellStyle name="Note 2 8" xfId="1921" xr:uid="{494C63E5-0F43-403F-A81D-8B9A9025B307}"/>
    <cellStyle name="Note 2 9" xfId="2050" xr:uid="{2296DBC7-4550-45BD-AD98-B853AFF6D208}"/>
    <cellStyle name="Note 3" xfId="108" xr:uid="{05339B77-917F-40E9-A883-F5B0E58062BE}"/>
    <cellStyle name="Note 3 10" xfId="229" xr:uid="{8374025C-6AB6-44EF-8D50-FF4A92D532D4}"/>
    <cellStyle name="Note 3 2" xfId="260" xr:uid="{5ED39156-28C8-4041-B52D-5C434D765CB3}"/>
    <cellStyle name="Note 3 2 2" xfId="357" xr:uid="{1CB9ACA7-0F22-483C-A294-1F27D58E1214}"/>
    <cellStyle name="Note 3 2 2 2" xfId="473" xr:uid="{DA2F18DC-0C82-459C-BF2B-F22CA64C8B6C}"/>
    <cellStyle name="Note 3 2 2 2 2" xfId="692" xr:uid="{A149B965-AFB4-4453-823C-7EF0B2402A20}"/>
    <cellStyle name="Note 3 2 2 3" xfId="582" xr:uid="{E15DB239-D029-4B27-8070-D974811C8422}"/>
    <cellStyle name="Note 3 2 3" xfId="429" xr:uid="{0E0F99A9-6033-4FCC-B8EC-2B018DF0403D}"/>
    <cellStyle name="Note 3 2 3 2" xfId="648" xr:uid="{266EC230-F409-4AF8-A2B9-1D82ACE4CE60}"/>
    <cellStyle name="Note 3 2 4" xfId="538" xr:uid="{73012BAB-C6EE-4AA7-91CF-76AC076234FC}"/>
    <cellStyle name="Note 3 2 5" xfId="308" xr:uid="{EAE78DE3-24B8-4255-B838-FB87F6080294}"/>
    <cellStyle name="Note 3 2 6" xfId="1742" xr:uid="{63282999-3516-47BD-993C-5E25C0DDD330}"/>
    <cellStyle name="Note 3 3" xfId="378" xr:uid="{85B615D6-F62E-4F92-90B9-E21AD4E95206}"/>
    <cellStyle name="Note 3 3 2" xfId="492" xr:uid="{0AE1DDE1-730E-40B8-80C3-D639EA1BC099}"/>
    <cellStyle name="Note 3 3 2 2" xfId="711" xr:uid="{B822EC0E-F3AB-4E82-8F09-52440ED7EBE0}"/>
    <cellStyle name="Note 3 3 3" xfId="601" xr:uid="{99CC6D91-AB2F-46F4-A5F1-E08FECCDA1E3}"/>
    <cellStyle name="Note 3 4" xfId="336" xr:uid="{5AC31EBE-C1B9-4ACC-9BB3-07169D21B8BC}"/>
    <cellStyle name="Note 3 4 2" xfId="454" xr:uid="{8A35031D-BABE-40A9-9F4C-519351518260}"/>
    <cellStyle name="Note 3 4 2 2" xfId="673" xr:uid="{353C7F06-4DE2-436C-967A-E2A2280CEBE0}"/>
    <cellStyle name="Note 3 4 3" xfId="563" xr:uid="{E848591A-E7B5-40C4-83CD-C8B2ADFA9701}"/>
    <cellStyle name="Note 3 5" xfId="316" xr:uid="{9F5E5565-067A-48A5-A7A3-718259FCABD7}"/>
    <cellStyle name="Note 3 5 2" xfId="437" xr:uid="{E9406452-F1CC-4540-88C4-80AC7C76BF69}"/>
    <cellStyle name="Note 3 5 2 2" xfId="656" xr:uid="{0B5A4850-97AF-44E3-A2CA-E87A5664DF56}"/>
    <cellStyle name="Note 3 5 3" xfId="546" xr:uid="{9E74ADD9-3E5E-4C57-859C-FE02375CDFD6}"/>
    <cellStyle name="Note 3 6" xfId="408" xr:uid="{C741CEFE-03A2-469C-9EF0-F3A159E1BC84}"/>
    <cellStyle name="Note 3 6 2" xfId="627" xr:uid="{C7B950AC-2E79-4104-8CD3-5B2DA1C508AE}"/>
    <cellStyle name="Note 3 7" xfId="517" xr:uid="{01FF853C-8457-4A58-B266-2EFCD827ECE9}"/>
    <cellStyle name="Note 3 8" xfId="287" xr:uid="{5B73016C-C1B6-4CBD-B17E-57C296345A03}"/>
    <cellStyle name="Note 3 9" xfId="852" xr:uid="{158492A8-C055-4343-B497-B8FBC398D16D}"/>
    <cellStyle name="Note 4" xfId="47" xr:uid="{C4AF62AF-15A1-4DCA-87AF-2C7BCD760082}"/>
    <cellStyle name="Note 4 2" xfId="384" xr:uid="{A1A3771F-25D0-4496-9696-3F04FBD4D7BC}"/>
    <cellStyle name="Note 4 2 2" xfId="498" xr:uid="{9994786C-7788-40DC-B08B-6702F3AF4AB9}"/>
    <cellStyle name="Note 4 2 2 2" xfId="717" xr:uid="{2E692C12-74BB-44CE-AC56-0270D61FC8B3}"/>
    <cellStyle name="Note 4 2 3" xfId="607" xr:uid="{EC624480-3083-4DC9-B170-273746918A6A}"/>
    <cellStyle name="Note 4 3" xfId="414" xr:uid="{21EDC7A4-FBD6-4400-A668-533689A368CD}"/>
    <cellStyle name="Note 4 3 2" xfId="633" xr:uid="{2DE2E46B-A22F-4F17-87CF-E79E7091669F}"/>
    <cellStyle name="Note 4 4" xfId="523" xr:uid="{23690FB3-2925-4664-A97C-2EE52456D7E4}"/>
    <cellStyle name="Note 4 5" xfId="293" xr:uid="{5AF7C509-C69B-4A12-A691-D320BBEB9E3A}"/>
    <cellStyle name="Note 4 6" xfId="1733" xr:uid="{01BFE955-1A13-4F50-9B70-2551D103B131}"/>
    <cellStyle name="Note 4 7" xfId="245" xr:uid="{E00AB780-50CC-4E1D-91BC-BAB4918ABDC0}"/>
    <cellStyle name="Note 5" xfId="1655" xr:uid="{3FDA8A24-2C9C-458C-8C4C-BD12B46C40C5}"/>
    <cellStyle name="Note 6" xfId="1637" xr:uid="{941496D4-55D2-4FA2-A360-3527A55DD85B}"/>
    <cellStyle name="Numbers - size 10" xfId="853" xr:uid="{1AB426E3-9307-4CE6-BD11-A70930616230}"/>
    <cellStyle name="Numbers - size 11" xfId="854" xr:uid="{4F0EEF6A-E792-4443-B100-D17070B62E4C}"/>
    <cellStyle name="Numbers - size 8" xfId="855" xr:uid="{278A1416-2884-4B72-AFC1-4EA0A913765E}"/>
    <cellStyle name="Numbers - size 9" xfId="856" xr:uid="{C59101B5-CAE8-4281-B6C3-5A258A189043}"/>
    <cellStyle name="Output" xfId="13" builtinId="21" customBuiltin="1"/>
    <cellStyle name="Output 2" xfId="109" xr:uid="{66CF85EE-2514-4DC8-965B-61572E64DB18}"/>
    <cellStyle name="Output 2 2" xfId="1690" xr:uid="{7400BB4D-10BB-4231-A84A-B9C2746ECE19}"/>
    <cellStyle name="Output 2 3" xfId="230" xr:uid="{991AF736-56F8-4072-9BA5-031A8E9515C3}"/>
    <cellStyle name="Output 3" xfId="1726" xr:uid="{DA6B19E3-AE3C-41E5-8AE1-41D2EC0016C0}"/>
    <cellStyle name="Output 4" xfId="1650" xr:uid="{11A5FA72-C76B-4C93-99E0-F8B33CB50748}"/>
    <cellStyle name="Page Headings" xfId="857" xr:uid="{D70DC1FA-6C6C-454A-8C4A-EA2619B53137}"/>
    <cellStyle name="Percent" xfId="3" builtinId="5"/>
    <cellStyle name="Percent - size 10 - 1 place" xfId="859" xr:uid="{3F15F03F-F076-4BFA-AB1E-557EAC8AFBF7}"/>
    <cellStyle name="Percent - size 10 - 2 places" xfId="860" xr:uid="{542CEF0A-B463-42D7-8876-DB5A441A20BD}"/>
    <cellStyle name="Percent - size 11 - 1 place" xfId="861" xr:uid="{8C0D4F59-E5D4-442D-9E1C-F0363781E824}"/>
    <cellStyle name="Percent - size 11 - 1 place 2" xfId="862" xr:uid="{3F984890-1B67-40D5-B018-E8ACA5497B72}"/>
    <cellStyle name="Percent - size 11 - 2 places" xfId="863" xr:uid="{1B06C03C-C21D-47BB-ADBA-D776D134928E}"/>
    <cellStyle name="Percent - size 8 - 1 place" xfId="864" xr:uid="{72A76F8E-7D90-47CC-9CA7-39A14C9C7F2F}"/>
    <cellStyle name="Percent - size 8 - 2 places" xfId="865" xr:uid="{71201B43-05EA-4AEF-89CD-ECFA4B01730A}"/>
    <cellStyle name="Percent - size 9 - 1 place" xfId="866" xr:uid="{CDA0C4FD-EFE6-4E6E-95BC-7B58623F7624}"/>
    <cellStyle name="Percent - size 9 - 2 places" xfId="867" xr:uid="{CD7D6255-5CEF-488B-9E00-AACEEEE98E71}"/>
    <cellStyle name="Percent 10" xfId="868" xr:uid="{90F1246E-7D03-4469-AA8B-26AAEBFC811E}"/>
    <cellStyle name="Percent 10 2" xfId="981" xr:uid="{ADB33E76-C819-48F8-A829-B67BBBA924FD}"/>
    <cellStyle name="Percent 11" xfId="869" xr:uid="{D25A270A-20EE-42D5-99B2-3C08B89176DB}"/>
    <cellStyle name="Percent 11 2" xfId="939" xr:uid="{BD657AC5-A6D4-4D58-A6F0-E27C7B82FAB6}"/>
    <cellStyle name="Percent 12" xfId="870" xr:uid="{A001D88A-4EBF-40F0-AB8F-8F5C098AEE16}"/>
    <cellStyle name="Percent 12 2" xfId="1126" xr:uid="{F1530784-DF7C-4705-8B0D-E40EB46A5921}"/>
    <cellStyle name="Percent 12 2 2" xfId="1463" xr:uid="{58F541AA-DC7E-4849-97F1-3A5129D86FBA}"/>
    <cellStyle name="Percent 12 2 2 2" xfId="2522" xr:uid="{EA3BA7B0-14FF-4440-9767-4C52167E3F77}"/>
    <cellStyle name="Percent 12 2 2 3" xfId="3173" xr:uid="{C80BE4D7-3F24-450F-A514-2B32145B3C65}"/>
    <cellStyle name="Percent 12 2 2 4" xfId="3829" xr:uid="{0698AFD5-1933-49A6-9DB2-22D84C90EB10}"/>
    <cellStyle name="Percent 12 2 2 5" xfId="4492" xr:uid="{E39914D5-3A29-43CA-8FA9-77BEBEA6E4FA}"/>
    <cellStyle name="Percent 12 2 3" xfId="1914" xr:uid="{B4AD53C2-143F-460E-9199-AB0C66F1FAB5}"/>
    <cellStyle name="Percent 12 2 4" xfId="2195" xr:uid="{6E3BE519-76A6-4D79-A9A8-C153F8FF4CD5}"/>
    <cellStyle name="Percent 12 2 5" xfId="2846" xr:uid="{7A710383-C00A-4AD1-A480-FE666E36ACE7}"/>
    <cellStyle name="Percent 12 2 6" xfId="3502" xr:uid="{654289CA-9D42-4D2A-96B7-434090ED1588}"/>
    <cellStyle name="Percent 12 2 7" xfId="4165" xr:uid="{3F376198-95C7-408A-AD6C-A15986311FF8}"/>
    <cellStyle name="Percent 12 3" xfId="1240" xr:uid="{5486B9DE-9DCE-485E-8DA7-95CDE9140DEA}"/>
    <cellStyle name="Percent 12 3 2" xfId="1571" xr:uid="{79F1A9ED-4A06-4A12-B5D7-27140B4F622D}"/>
    <cellStyle name="Percent 12 3 2 2" xfId="2630" xr:uid="{31DC525B-7017-44FF-929B-A13C8096FC87}"/>
    <cellStyle name="Percent 12 3 2 3" xfId="3281" xr:uid="{ABE2A5D3-23E4-4E9C-B606-B60A274AE1A1}"/>
    <cellStyle name="Percent 12 3 2 4" xfId="3937" xr:uid="{0836DEC9-C959-4A6C-A475-DEC5FE8EDF4A}"/>
    <cellStyle name="Percent 12 3 2 5" xfId="4600" xr:uid="{F6348AE6-2C84-4F9B-83FA-4971FB75CA30}"/>
    <cellStyle name="Percent 12 3 3" xfId="2303" xr:uid="{F69B4EAB-7138-45C9-AFB9-EA33751065F8}"/>
    <cellStyle name="Percent 12 3 4" xfId="2954" xr:uid="{2C9974ED-2CA7-4E1A-A582-A29CC5DBF072}"/>
    <cellStyle name="Percent 12 3 5" xfId="3610" xr:uid="{6D44EDC8-A678-4EC6-B8F1-27AD4F249D01}"/>
    <cellStyle name="Percent 12 3 6" xfId="4273" xr:uid="{B97EE8B6-8F2D-4867-80B9-EE7B769AD8DA}"/>
    <cellStyle name="Percent 12 4" xfId="1355" xr:uid="{4AA16C1C-A46D-4CEE-8338-C3F6327E16D9}"/>
    <cellStyle name="Percent 12 4 2" xfId="2414" xr:uid="{925882BD-3C52-40B6-85D8-1E08F10BCB9B}"/>
    <cellStyle name="Percent 12 4 3" xfId="3065" xr:uid="{CC946F22-A2E1-4F3D-8899-908FA4BC536A}"/>
    <cellStyle name="Percent 12 4 4" xfId="3721" xr:uid="{2960C222-77A1-4BB3-BC45-C211DD6DD87D}"/>
    <cellStyle name="Percent 12 4 5" xfId="4384" xr:uid="{E19B4F16-8A5C-4766-B3CC-49847463CD77}"/>
    <cellStyle name="Percent 12 5" xfId="1853" xr:uid="{B64EE184-0583-4193-944A-A96FD81E8563}"/>
    <cellStyle name="Percent 12 6" xfId="2087" xr:uid="{C6C82B08-8BC7-4F49-A876-911C652FEAA3}"/>
    <cellStyle name="Percent 12 7" xfId="2738" xr:uid="{7A82FC67-A20D-434B-ADD8-291010EB564F}"/>
    <cellStyle name="Percent 12 8" xfId="3394" xr:uid="{9E04DB4B-A25A-415F-BC4D-9C433378C60D}"/>
    <cellStyle name="Percent 12 9" xfId="4057" xr:uid="{714A86C4-4B2F-497D-8082-07892F35FF11}"/>
    <cellStyle name="Percent 13" xfId="871" xr:uid="{27BED43A-2FE6-4BF3-B055-B8B017307F15}"/>
    <cellStyle name="Percent 13 2" xfId="1180" xr:uid="{3339F769-2DCF-466E-A92E-9FE6C0071527}"/>
    <cellStyle name="Percent 13 2 2" xfId="1517" xr:uid="{277A3BBE-2127-4077-B1BD-5B295FA4562F}"/>
    <cellStyle name="Percent 13 2 2 2" xfId="2576" xr:uid="{065C844A-CDF6-41C4-B82D-EE69FC1C1910}"/>
    <cellStyle name="Percent 13 2 2 3" xfId="3227" xr:uid="{857B06D9-CBF0-47FF-993B-E48A86F2F8F3}"/>
    <cellStyle name="Percent 13 2 2 4" xfId="3883" xr:uid="{7850D773-CE78-4563-8444-C49A57647B6E}"/>
    <cellStyle name="Percent 13 2 2 5" xfId="4546" xr:uid="{9E0C6BB3-454D-474A-9D6D-08DCB0FA4D44}"/>
    <cellStyle name="Percent 13 2 3" xfId="1962" xr:uid="{9C5AC97D-EE40-42E5-92C2-54E8D4518000}"/>
    <cellStyle name="Percent 13 2 4" xfId="2249" xr:uid="{A7208B00-B4F8-4C42-B24A-DDF96FB7B270}"/>
    <cellStyle name="Percent 13 2 5" xfId="2900" xr:uid="{1AD0A9FE-2795-4357-88FC-FE429E0E0ED8}"/>
    <cellStyle name="Percent 13 2 6" xfId="3556" xr:uid="{501147BF-1A63-433E-83AA-6EF99C9DD9A2}"/>
    <cellStyle name="Percent 13 2 7" xfId="4219" xr:uid="{EFC842B5-481A-4728-ACDE-BA9F6BFDE34D}"/>
    <cellStyle name="Percent 13 3" xfId="1294" xr:uid="{10FF351F-8A3D-41B5-A80D-6DDDF1CA373F}"/>
    <cellStyle name="Percent 13 3 2" xfId="1625" xr:uid="{6CC79873-C76E-4931-947A-82D40F6D392B}"/>
    <cellStyle name="Percent 13 3 2 2" xfId="2684" xr:uid="{0201E16E-213A-42FF-85EC-5908F873FB67}"/>
    <cellStyle name="Percent 13 3 2 3" xfId="3335" xr:uid="{E7F7F94B-72FB-4883-900B-1DB65A0EA53A}"/>
    <cellStyle name="Percent 13 3 2 4" xfId="3991" xr:uid="{573ECC30-DA2A-4BCF-9F8B-7C8F496077BD}"/>
    <cellStyle name="Percent 13 3 2 5" xfId="4654" xr:uid="{C5129385-6CB8-4F2B-8555-C3EC732CD25F}"/>
    <cellStyle name="Percent 13 3 3" xfId="2357" xr:uid="{ECAEC641-8A4F-4C06-A821-8FF371AAC7E2}"/>
    <cellStyle name="Percent 13 3 4" xfId="3008" xr:uid="{754FDE72-F024-4AE5-A654-7566F0390B4B}"/>
    <cellStyle name="Percent 13 3 5" xfId="3664" xr:uid="{7EF844BA-E423-4F3D-8689-FB86FDAAE5CB}"/>
    <cellStyle name="Percent 13 3 6" xfId="4327" xr:uid="{0735EED9-1D9F-4EDE-860D-A3E09C4D9D39}"/>
    <cellStyle name="Percent 13 4" xfId="1409" xr:uid="{6EB851B2-5317-4A4A-8A76-AD27A500629C}"/>
    <cellStyle name="Percent 13 4 2" xfId="2468" xr:uid="{848A65DC-F2DA-41CF-A10F-8CE612A74DD5}"/>
    <cellStyle name="Percent 13 4 3" xfId="3119" xr:uid="{DFCF01AD-242D-4469-9EEB-0EC4D2474846}"/>
    <cellStyle name="Percent 13 4 4" xfId="3775" xr:uid="{D49B1DD4-F4A5-4DCD-AC81-1DBE8D893A94}"/>
    <cellStyle name="Percent 13 4 5" xfId="4438" xr:uid="{99F644AA-2A17-4230-AAED-A48A41C7D0E7}"/>
    <cellStyle name="Percent 13 5" xfId="1830" xr:uid="{6D446DF6-E908-47FB-AD45-D86008326DAF}"/>
    <cellStyle name="Percent 13 6" xfId="2141" xr:uid="{87DA9C42-02C1-4A0C-8AE4-2CE412EB304A}"/>
    <cellStyle name="Percent 13 7" xfId="2792" xr:uid="{2F96D779-B95E-4ABB-97A6-225B0148415D}"/>
    <cellStyle name="Percent 13 8" xfId="3448" xr:uid="{021FB2AB-AAA0-451B-AD12-1DE70C8B4777}"/>
    <cellStyle name="Percent 13 9" xfId="4111" xr:uid="{532A9448-0CAF-42D1-AC4D-0B3D1F5F7B43}"/>
    <cellStyle name="Percent 14" xfId="872" xr:uid="{C0617903-AFF4-4BDB-B0F8-059928A3C08C}"/>
    <cellStyle name="Percent 14 2" xfId="1182" xr:uid="{BE7C574F-4844-4EAC-B4CF-EDE1376CDEBC}"/>
    <cellStyle name="Percent 15" xfId="873" xr:uid="{964A967E-3734-4C89-8C3C-8BC384EE4B95}"/>
    <cellStyle name="Percent 15 2" xfId="1311" xr:uid="{C22A9A7D-7084-4F3A-A594-BC63A64266C5}"/>
    <cellStyle name="Percent 16" xfId="874" xr:uid="{215F643A-3869-4E1B-BE77-3ACCFED6B092}"/>
    <cellStyle name="Percent 16 2" xfId="934" xr:uid="{FDBB9A2C-17B1-45B9-A651-14CE86F49C94}"/>
    <cellStyle name="Percent 17" xfId="875" xr:uid="{57409713-BCC7-4C88-9392-D47C4D3FBCE1}"/>
    <cellStyle name="Percent 17 2" xfId="4658" xr:uid="{BF39F053-A4DE-4CED-AAE6-BAB5F5A0F5A9}"/>
    <cellStyle name="Percent 17 3" xfId="3336" xr:uid="{351AEE0C-70FF-4EE7-AF66-AF9D3236C17F}"/>
    <cellStyle name="Percent 18" xfId="876" xr:uid="{54A90A01-39B7-4E3C-810A-463F277C11DE}"/>
    <cellStyle name="Percent 19" xfId="877" xr:uid="{31D5D620-7BBD-40D0-85B6-ABCF32A0E693}"/>
    <cellStyle name="Percent 2" xfId="117" xr:uid="{E3C456C5-80D3-4519-98AA-D4BF85CFC616}"/>
    <cellStyle name="Percent 2 10" xfId="2702" xr:uid="{F582022D-E0F4-41E9-8CE7-7A72EE63D24B}"/>
    <cellStyle name="Percent 2 11" xfId="3356" xr:uid="{228A3048-6610-4185-88E0-E281E6142DA8}"/>
    <cellStyle name="Percent 2 12" xfId="4021" xr:uid="{D08F7EA8-5AFF-4B99-AB95-414D7916F2CF}"/>
    <cellStyle name="Percent 2 13" xfId="1799" xr:uid="{A0365DC9-1A88-406A-8D68-8A7DA070C5DB}"/>
    <cellStyle name="Percent 2 14" xfId="1686" xr:uid="{FEA0978F-638E-41EE-9825-DBC7DD6439F3}"/>
    <cellStyle name="Percent 2 15" xfId="878" xr:uid="{79B650C5-22A1-4A62-B79F-88D9A86FD274}"/>
    <cellStyle name="Percent 2 2" xfId="231" xr:uid="{F26A230E-1E33-45F9-B49D-1EDA22417961}"/>
    <cellStyle name="Percent 2 2 10" xfId="4037" xr:uid="{6BFEC7B7-0BD5-4975-98A5-5F24EAA52199}"/>
    <cellStyle name="Percent 2 2 11" xfId="989" xr:uid="{65BDCEFA-C6E8-4E1D-982C-184451D547B4}"/>
    <cellStyle name="Percent 2 2 2" xfId="358" xr:uid="{A35FDAD7-158F-4241-9D9B-73C4A7DF7079}"/>
    <cellStyle name="Percent 2 2 2 10" xfId="1053" xr:uid="{84075AF6-650A-425C-AF75-77EE820DCBF0}"/>
    <cellStyle name="Percent 2 2 2 2" xfId="474" xr:uid="{266B5021-CAE3-49D4-8E7D-789055B42D85}"/>
    <cellStyle name="Percent 2 2 2 2 2" xfId="693" xr:uid="{F85C1D38-8B12-4CEB-9C9C-C39D7A2D51EB}"/>
    <cellStyle name="Percent 2 2 2 2 2 2" xfId="2556" xr:uid="{C96576ED-99E6-4E21-87C8-A66063000DEC}"/>
    <cellStyle name="Percent 2 2 2 2 2 3" xfId="3207" xr:uid="{8E250678-27C1-4191-97F1-C1050F6BDBE2}"/>
    <cellStyle name="Percent 2 2 2 2 2 4" xfId="3863" xr:uid="{75903712-6AFB-46BF-BA6B-FD944268F463}"/>
    <cellStyle name="Percent 2 2 2 2 2 5" xfId="4526" xr:uid="{FB683A68-8D00-411D-9371-6D7F16CD6A09}"/>
    <cellStyle name="Percent 2 2 2 2 2 6" xfId="1497" xr:uid="{8B82F712-51D4-4A7A-96D4-18E36B6C2F7F}"/>
    <cellStyle name="Percent 2 2 2 2 3" xfId="1862" xr:uid="{0596C16D-47E6-455D-9FF8-C5D433E3A4FD}"/>
    <cellStyle name="Percent 2 2 2 2 4" xfId="2229" xr:uid="{DF2F4345-168E-4EA0-A3DF-826F533C80F4}"/>
    <cellStyle name="Percent 2 2 2 2 5" xfId="2880" xr:uid="{B4EFDACE-7B10-4CC5-A947-B3EC2896F99F}"/>
    <cellStyle name="Percent 2 2 2 2 6" xfId="3536" xr:uid="{45CADC47-AB91-4268-B9D6-066D01FB3A43}"/>
    <cellStyle name="Percent 2 2 2 2 7" xfId="4199" xr:uid="{32CDD51F-936B-4A2A-B59F-B750E5959B08}"/>
    <cellStyle name="Percent 2 2 2 2 8" xfId="1160" xr:uid="{9A7CCA2C-81FE-481C-A978-ED281917DB00}"/>
    <cellStyle name="Percent 2 2 2 3" xfId="583" xr:uid="{96C522E0-3849-4E85-8953-E75E9B65F053}"/>
    <cellStyle name="Percent 2 2 2 3 2" xfId="1605" xr:uid="{4582B15B-BC5C-42F4-AB82-01AD571915A0}"/>
    <cellStyle name="Percent 2 2 2 3 2 2" xfId="2664" xr:uid="{32A99D9E-F3E1-460B-A8BE-7C1E2E71CA44}"/>
    <cellStyle name="Percent 2 2 2 3 2 3" xfId="3315" xr:uid="{2EB722EA-956C-4C39-A15A-48D5E6E7FDF1}"/>
    <cellStyle name="Percent 2 2 2 3 2 4" xfId="3971" xr:uid="{355EE662-BD4A-463E-83C3-1F549F227459}"/>
    <cellStyle name="Percent 2 2 2 3 2 5" xfId="4634" xr:uid="{3AB9F9DA-6F70-4749-BDAC-56FC85BFA891}"/>
    <cellStyle name="Percent 2 2 2 3 3" xfId="2337" xr:uid="{031A4A36-4490-4403-83A5-B03691FF24D3}"/>
    <cellStyle name="Percent 2 2 2 3 4" xfId="2988" xr:uid="{F1B503F7-5B2F-475A-9936-D06973A5B2D2}"/>
    <cellStyle name="Percent 2 2 2 3 5" xfId="3644" xr:uid="{CEE8995D-6886-45EC-8E30-8B0962FB79EC}"/>
    <cellStyle name="Percent 2 2 2 3 6" xfId="4307" xr:uid="{03DC6556-8913-4898-9465-10C12B3E21BD}"/>
    <cellStyle name="Percent 2 2 2 3 7" xfId="1274" xr:uid="{162A8A0F-B621-4AF3-9841-E5A13587FC39}"/>
    <cellStyle name="Percent 2 2 2 4" xfId="1389" xr:uid="{3A2A5C84-F5D6-4BAB-9CA9-3AF43E7519FD}"/>
    <cellStyle name="Percent 2 2 2 4 2" xfId="2448" xr:uid="{BF39678F-0CE5-4F02-9EAE-83AF7142AE31}"/>
    <cellStyle name="Percent 2 2 2 4 3" xfId="3099" xr:uid="{4F425C9F-6306-4E70-A57C-A3E104645535}"/>
    <cellStyle name="Percent 2 2 2 4 4" xfId="3755" xr:uid="{A0CAEC9A-44D6-42EF-AA73-5DA2D4207932}"/>
    <cellStyle name="Percent 2 2 2 4 5" xfId="4418" xr:uid="{FB52D67E-5646-4D4A-B258-3AB5F431D59F}"/>
    <cellStyle name="Percent 2 2 2 5" xfId="1844" xr:uid="{AA48DB9C-A3F2-4D52-B0F2-3A3ACA636FDC}"/>
    <cellStyle name="Percent 2 2 2 6" xfId="2121" xr:uid="{70CBFC52-0AEB-4D4E-8783-F3CCED906833}"/>
    <cellStyle name="Percent 2 2 2 7" xfId="2772" xr:uid="{0D98BB5C-A585-4D39-9634-426DCBCA68E2}"/>
    <cellStyle name="Percent 2 2 2 8" xfId="3428" xr:uid="{03B746F2-815B-4F30-A6C0-ED1ABE742EF5}"/>
    <cellStyle name="Percent 2 2 2 9" xfId="4091" xr:uid="{A3469141-63B3-4B52-A60D-F0E2DE46FE91}"/>
    <cellStyle name="Percent 2 2 3" xfId="379" xr:uid="{2B5BB607-A7D9-45A4-806F-C07F27841EB7}"/>
    <cellStyle name="Percent 2 2 3 2" xfId="493" xr:uid="{196A2284-0E5B-4214-80A7-234D2CFD9B09}"/>
    <cellStyle name="Percent 2 2 3 2 2" xfId="712" xr:uid="{91D695CB-6F04-4338-B53E-D9ADB0D15C97}"/>
    <cellStyle name="Percent 2 2 3 2 2 2" xfId="2502" xr:uid="{36B13A31-9D40-476C-B4C8-0C3F39BD17EC}"/>
    <cellStyle name="Percent 2 2 3 2 3" xfId="3153" xr:uid="{AE90C5BE-050D-45BD-A308-8C013A448349}"/>
    <cellStyle name="Percent 2 2 3 2 4" xfId="3809" xr:uid="{5CEA3F58-BE2C-4A7E-81FC-835F833122F3}"/>
    <cellStyle name="Percent 2 2 3 2 5" xfId="4472" xr:uid="{91480AA0-6AF0-4058-ACD0-D56C9F7039C8}"/>
    <cellStyle name="Percent 2 2 3 2 6" xfId="1443" xr:uid="{E51A39D8-D806-446B-89FE-ADD02EC5E8C3}"/>
    <cellStyle name="Percent 2 2 3 3" xfId="602" xr:uid="{AF27622E-DEE3-47F0-B84E-94A783A08C18}"/>
    <cellStyle name="Percent 2 2 3 3 2" xfId="1937" xr:uid="{B38E1304-F7AB-4E37-8724-4518CA8B941F}"/>
    <cellStyle name="Percent 2 2 3 4" xfId="2175" xr:uid="{024F1280-C5D6-49CF-B8F5-626FB2E73582}"/>
    <cellStyle name="Percent 2 2 3 5" xfId="2826" xr:uid="{58C87E55-A58E-4748-91FC-467E1FCC16B1}"/>
    <cellStyle name="Percent 2 2 3 6" xfId="3482" xr:uid="{4DC87783-F713-4A45-8E94-A4DAA67554EE}"/>
    <cellStyle name="Percent 2 2 3 7" xfId="4145" xr:uid="{780DCF1C-0E51-42D2-9264-E1846EC1C555}"/>
    <cellStyle name="Percent 2 2 3 8" xfId="1106" xr:uid="{B379CD4B-BF25-412C-9DDF-A61B6944C8CA}"/>
    <cellStyle name="Percent 2 2 4" xfId="337" xr:uid="{AE25C86B-B719-47B8-808A-964453E45B60}"/>
    <cellStyle name="Percent 2 2 4 2" xfId="455" xr:uid="{56B290A3-74A4-4638-B313-FFD22528B5DC}"/>
    <cellStyle name="Percent 2 2 4 2 2" xfId="674" xr:uid="{1C8072F3-3E91-4A6D-9D2D-28F1932A91EC}"/>
    <cellStyle name="Percent 2 2 4 2 2 2" xfId="2610" xr:uid="{CDFEFFE8-E859-4152-8750-5C60CD9D2CDA}"/>
    <cellStyle name="Percent 2 2 4 2 3" xfId="3261" xr:uid="{4668072E-2FF1-44EA-8E80-8A49925A7002}"/>
    <cellStyle name="Percent 2 2 4 2 4" xfId="3917" xr:uid="{7EA94778-641B-422F-978E-E5D702F14335}"/>
    <cellStyle name="Percent 2 2 4 2 5" xfId="4580" xr:uid="{A5ECD2BD-7556-4005-BCE3-168AA4AC1189}"/>
    <cellStyle name="Percent 2 2 4 2 6" xfId="1551" xr:uid="{D76097C8-3024-43B9-8893-B24757E6873A}"/>
    <cellStyle name="Percent 2 2 4 3" xfId="564" xr:uid="{D27E8A70-FC1A-4A1B-9E35-DABA237AC256}"/>
    <cellStyle name="Percent 2 2 4 3 2" xfId="2283" xr:uid="{574C019D-4197-4B41-8D2E-DB95BF2B61B3}"/>
    <cellStyle name="Percent 2 2 4 4" xfId="2934" xr:uid="{E2DD9718-8199-471B-8761-621E8E09781F}"/>
    <cellStyle name="Percent 2 2 4 5" xfId="3590" xr:uid="{365B7F15-F023-40FA-BAB3-2685959E7C92}"/>
    <cellStyle name="Percent 2 2 4 6" xfId="4253" xr:uid="{68475347-993A-46BE-8316-6786D10617D6}"/>
    <cellStyle name="Percent 2 2 4 7" xfId="1220" xr:uid="{FC2FAABD-AC64-40FE-8126-15BBB51B8CDE}"/>
    <cellStyle name="Percent 2 2 5" xfId="409" xr:uid="{CA0EB3F3-7935-4A55-ABA5-FB5E270456A6}"/>
    <cellStyle name="Percent 2 2 5 2" xfId="628" xr:uid="{2D2E8978-3DE0-473B-8103-8E670F2F851C}"/>
    <cellStyle name="Percent 2 2 5 2 2" xfId="2394" xr:uid="{D6E310F6-DDF2-4E28-BF7B-DF44111757EE}"/>
    <cellStyle name="Percent 2 2 5 3" xfId="3045" xr:uid="{EC793709-7B33-4D2E-A233-58136661D707}"/>
    <cellStyle name="Percent 2 2 5 4" xfId="3701" xr:uid="{A61BE67A-7EF7-499C-9757-A795877A0CB8}"/>
    <cellStyle name="Percent 2 2 5 5" xfId="4364" xr:uid="{513989C3-1DFA-4933-967B-61E58DB0479A}"/>
    <cellStyle name="Percent 2 2 5 6" xfId="1335" xr:uid="{6C34B6C4-D97A-41B9-86ED-72593E21D705}"/>
    <cellStyle name="Percent 2 2 6" xfId="518" xr:uid="{E67B47BF-78AA-4E0F-B206-3AB0D116F311}"/>
    <cellStyle name="Percent 2 2 6 2" xfId="2012" xr:uid="{4BE5B630-0CF7-429C-958A-0A7E660EB9E0}"/>
    <cellStyle name="Percent 2 2 7" xfId="288" xr:uid="{736A5C5F-9069-4304-88B4-47A845ACA93E}"/>
    <cellStyle name="Percent 2 2 7 2" xfId="2067" xr:uid="{2864C994-5EAA-4527-831F-7309667E6008}"/>
    <cellStyle name="Percent 2 2 8" xfId="2718" xr:uid="{0A5D31C8-64F1-405C-9A0A-721F5E4F1938}"/>
    <cellStyle name="Percent 2 2 9" xfId="3373" xr:uid="{84872AE7-13A3-4CD0-A871-227ABC47C829}"/>
    <cellStyle name="Percent 2 3" xfId="261" xr:uid="{D1FCE401-8CDA-4A29-9FE3-0AEAFB2D4CC8}"/>
    <cellStyle name="Percent 2 3 10" xfId="4054" xr:uid="{EFB36A49-9B51-4E0B-9766-49127CB69D6D}"/>
    <cellStyle name="Percent 2 3 11" xfId="1010" xr:uid="{670831EC-F468-44CB-98F5-01E89929AFB0}"/>
    <cellStyle name="Percent 2 3 2" xfId="331" xr:uid="{3A8B8B03-D580-43D3-8515-9BE43A61B1D7}"/>
    <cellStyle name="Percent 2 3 2 10" xfId="1070" xr:uid="{9AB08162-3256-4743-B404-43714B871474}"/>
    <cellStyle name="Percent 2 3 2 2" xfId="1177" xr:uid="{20977D71-C0BD-4A3A-B590-9893A544061F}"/>
    <cellStyle name="Percent 2 3 2 2 2" xfId="1514" xr:uid="{A17ED381-BB71-4520-A2A0-0E795934AB07}"/>
    <cellStyle name="Percent 2 3 2 2 2 2" xfId="2573" xr:uid="{69D0C694-F038-480D-AEF9-AF415E9E7B4A}"/>
    <cellStyle name="Percent 2 3 2 2 2 3" xfId="3224" xr:uid="{6C8F3029-D974-4E06-AF94-974F79384C30}"/>
    <cellStyle name="Percent 2 3 2 2 2 4" xfId="3880" xr:uid="{B1876B78-DA8A-4842-A464-4314607300CA}"/>
    <cellStyle name="Percent 2 3 2 2 2 5" xfId="4543" xr:uid="{B1958C96-9A4C-4E45-B9F4-6910C1881AEE}"/>
    <cellStyle name="Percent 2 3 2 2 3" xfId="2015" xr:uid="{66D4508C-7D60-4C9A-8562-1B9178A555DF}"/>
    <cellStyle name="Percent 2 3 2 2 4" xfId="2246" xr:uid="{5F61D1A8-1BA9-4986-9149-27FCDBC08650}"/>
    <cellStyle name="Percent 2 3 2 2 5" xfId="2897" xr:uid="{6FDB8794-CA81-42BE-87E0-055859C2922E}"/>
    <cellStyle name="Percent 2 3 2 2 6" xfId="3553" xr:uid="{983A8FBC-63B8-4AE1-B9E6-351979B38401}"/>
    <cellStyle name="Percent 2 3 2 2 7" xfId="4216" xr:uid="{6D754114-A510-45E0-BD4B-72C2B76CB563}"/>
    <cellStyle name="Percent 2 3 2 3" xfId="1291" xr:uid="{EED0DDC4-9D50-40B0-B9B7-1556B7456E62}"/>
    <cellStyle name="Percent 2 3 2 3 2" xfId="1622" xr:uid="{E647DECC-E4FB-4576-BFCF-7941D801A1C2}"/>
    <cellStyle name="Percent 2 3 2 3 2 2" xfId="2681" xr:uid="{15CA84BF-6A31-4364-9020-F3A887186ADF}"/>
    <cellStyle name="Percent 2 3 2 3 2 3" xfId="3332" xr:uid="{E6D66503-518C-4D72-B389-C6814D142C2A}"/>
    <cellStyle name="Percent 2 3 2 3 2 4" xfId="3988" xr:uid="{41B19C08-DB46-418D-8FFE-9BCAE02E6288}"/>
    <cellStyle name="Percent 2 3 2 3 2 5" xfId="4651" xr:uid="{5B1C92DA-652F-42BE-948D-5CC846EE6C81}"/>
    <cellStyle name="Percent 2 3 2 3 3" xfId="2354" xr:uid="{51936C2C-7148-46FF-97AB-172749EB0E5A}"/>
    <cellStyle name="Percent 2 3 2 3 4" xfId="3005" xr:uid="{D1EC9984-8421-4308-B559-C48A8BED3711}"/>
    <cellStyle name="Percent 2 3 2 3 5" xfId="3661" xr:uid="{D8311CD7-F7EA-4E7F-BBC7-273D0E246081}"/>
    <cellStyle name="Percent 2 3 2 3 6" xfId="4324" xr:uid="{917B3B8B-7FDF-4A9F-9B80-730A3176A957}"/>
    <cellStyle name="Percent 2 3 2 4" xfId="1406" xr:uid="{312098DF-7D31-406F-A44C-B71750AC220D}"/>
    <cellStyle name="Percent 2 3 2 4 2" xfId="2465" xr:uid="{47F46D8A-9F6B-4C20-8EEA-E0881F38D58B}"/>
    <cellStyle name="Percent 2 3 2 4 3" xfId="3116" xr:uid="{C924FEBD-A077-407B-9921-E15F04CD4AEA}"/>
    <cellStyle name="Percent 2 3 2 4 4" xfId="3772" xr:uid="{6E7FAA70-DF72-41D8-A7B0-5529707550FD}"/>
    <cellStyle name="Percent 2 3 2 4 5" xfId="4435" xr:uid="{E6D7141B-5BF2-4877-BF23-19B8DC5CA5EE}"/>
    <cellStyle name="Percent 2 3 2 5" xfId="1955" xr:uid="{75A1B3C9-30D0-4DC7-B78C-D5A73F4BA8AA}"/>
    <cellStyle name="Percent 2 3 2 6" xfId="2138" xr:uid="{3A6C3FF1-EAEE-4858-9EF0-18636651C0E7}"/>
    <cellStyle name="Percent 2 3 2 7" xfId="2789" xr:uid="{E127E751-2625-446E-B4DC-C1B71B0F8139}"/>
    <cellStyle name="Percent 2 3 2 8" xfId="3445" xr:uid="{7E576FA3-C41E-4C19-BCAB-87E97C70AC3E}"/>
    <cellStyle name="Percent 2 3 2 9" xfId="4108" xr:uid="{62170A7F-EFE5-41EF-A4B4-6AE5339DD02A}"/>
    <cellStyle name="Percent 2 3 3" xfId="385" xr:uid="{A76E4EFB-650B-4F37-A411-8736AD63EB77}"/>
    <cellStyle name="Percent 2 3 3 2" xfId="499" xr:uid="{AB49A73E-08F4-4695-A623-2DF67E9E79A3}"/>
    <cellStyle name="Percent 2 3 3 2 2" xfId="718" xr:uid="{967919AE-6870-46AC-AD14-D96810FC1BCA}"/>
    <cellStyle name="Percent 2 3 3 2 2 2" xfId="2519" xr:uid="{2D1B838C-6486-4724-87EA-3829A1643E2E}"/>
    <cellStyle name="Percent 2 3 3 2 3" xfId="3170" xr:uid="{844A0260-7A77-4C93-B84A-9F324FF7FBE8}"/>
    <cellStyle name="Percent 2 3 3 2 4" xfId="3826" xr:uid="{32B37A1F-F2B5-4E11-B655-350488781027}"/>
    <cellStyle name="Percent 2 3 3 2 5" xfId="4489" xr:uid="{B6E4A8CC-9B1D-4346-B322-89C7D5ABB798}"/>
    <cellStyle name="Percent 2 3 3 2 6" xfId="1460" xr:uid="{A84391EF-EA90-4F84-83C6-9FC6080A9791}"/>
    <cellStyle name="Percent 2 3 3 3" xfId="608" xr:uid="{8B1147E0-E97A-4FE7-BC6B-613EC13D6732}"/>
    <cellStyle name="Percent 2 3 3 3 2" xfId="1901" xr:uid="{016C60F7-3F27-4E21-8704-ABFAA5670E18}"/>
    <cellStyle name="Percent 2 3 3 4" xfId="2192" xr:uid="{AA2029C0-E6FE-48D8-BF55-D3FC82AE2E9E}"/>
    <cellStyle name="Percent 2 3 3 5" xfId="2843" xr:uid="{22996E0C-5648-4BC8-80E6-0B96227BC1C0}"/>
    <cellStyle name="Percent 2 3 3 6" xfId="3499" xr:uid="{CEC9C506-E592-48D4-A82C-EB51FE136C5A}"/>
    <cellStyle name="Percent 2 3 3 7" xfId="4162" xr:uid="{43F8933D-89EC-4132-A77F-F697CBA8A11A}"/>
    <cellStyle name="Percent 2 3 3 8" xfId="1123" xr:uid="{8BBFA5D0-41BC-46EE-9992-E522A41A2848}"/>
    <cellStyle name="Percent 2 3 4" xfId="430" xr:uid="{DB31EB04-CB96-4DC2-91B6-083013AAAC2A}"/>
    <cellStyle name="Percent 2 3 4 2" xfId="649" xr:uid="{DBCE2A46-40FD-4A56-9BFE-8A67F33787CC}"/>
    <cellStyle name="Percent 2 3 4 2 2" xfId="2627" xr:uid="{E5CAD4BB-5DC9-460D-8F77-F3A7F4D2B64B}"/>
    <cellStyle name="Percent 2 3 4 2 3" xfId="3278" xr:uid="{3FA71D80-522E-40AA-9CA5-B77042C8FA24}"/>
    <cellStyle name="Percent 2 3 4 2 4" xfId="3934" xr:uid="{59923376-9094-42FE-B957-FE15CB9700BB}"/>
    <cellStyle name="Percent 2 3 4 2 5" xfId="4597" xr:uid="{FA27B50F-DE28-4203-AAF7-D2B9D658D84D}"/>
    <cellStyle name="Percent 2 3 4 2 6" xfId="1568" xr:uid="{BEE56DEE-6D80-4F61-8CF9-D09ABC96DF88}"/>
    <cellStyle name="Percent 2 3 4 3" xfId="2300" xr:uid="{A919D87C-8E03-489D-ACB3-86C68CD72649}"/>
    <cellStyle name="Percent 2 3 4 4" xfId="2951" xr:uid="{124D6D71-C7CB-4EE5-B42D-F709DDC4348E}"/>
    <cellStyle name="Percent 2 3 4 5" xfId="3607" xr:uid="{44E99CC2-1CF1-4EE0-82DE-72256073D1AA}"/>
    <cellStyle name="Percent 2 3 4 6" xfId="4270" xr:uid="{679CB20F-2790-4616-BFCA-4685A59A780B}"/>
    <cellStyle name="Percent 2 3 4 7" xfId="1237" xr:uid="{39C391BE-9E49-48C2-BA28-FD8D8B89E0E1}"/>
    <cellStyle name="Percent 2 3 5" xfId="539" xr:uid="{2093F7D6-4E17-431F-8160-3CF952EC664A}"/>
    <cellStyle name="Percent 2 3 5 2" xfId="2411" xr:uid="{1F184C32-F9F0-43E3-AB17-2BB82766BC8A}"/>
    <cellStyle name="Percent 2 3 5 3" xfId="3062" xr:uid="{5B3AA7A0-15E9-4D59-BF61-F05D8E332FFD}"/>
    <cellStyle name="Percent 2 3 5 4" xfId="3718" xr:uid="{7BF7C72A-F8EB-4621-B593-1E443EBFB09B}"/>
    <cellStyle name="Percent 2 3 5 5" xfId="4381" xr:uid="{F83076B5-BD9F-456E-AA6A-B946675E7A17}"/>
    <cellStyle name="Percent 2 3 5 6" xfId="1352" xr:uid="{EA467689-CDCA-4F2E-921A-18F46997E7BB}"/>
    <cellStyle name="Percent 2 3 6" xfId="309" xr:uid="{69121304-9425-42BB-81B5-E012E527C7AD}"/>
    <cellStyle name="Percent 2 3 6 2" xfId="1918" xr:uid="{68E56CC4-1D91-4C06-AA15-3220943F5378}"/>
    <cellStyle name="Percent 2 3 7" xfId="2084" xr:uid="{368F26D2-D691-43C5-918B-FD68F5F91811}"/>
    <cellStyle name="Percent 2 3 8" xfId="2735" xr:uid="{F05E1E33-EA25-447D-9F5B-5C3E5A10952C}"/>
    <cellStyle name="Percent 2 3 9" xfId="3391" xr:uid="{E8CDE108-974A-4CBC-AEB9-57F46766D8EB}"/>
    <cellStyle name="Percent 2 4" xfId="317" xr:uid="{FEFABA33-4402-4383-884B-3DA895F3F75A}"/>
    <cellStyle name="Percent 2 4 10" xfId="1037" xr:uid="{07AD1B5D-3762-49D5-8409-6E9DB2781E8D}"/>
    <cellStyle name="Percent 2 4 2" xfId="438" xr:uid="{F0E70D5D-13C9-4A79-A1CD-4040AD2D595A}"/>
    <cellStyle name="Percent 2 4 2 2" xfId="657" xr:uid="{79E82DC9-8579-42AA-8285-C1110988F054}"/>
    <cellStyle name="Percent 2 4 2 2 2" xfId="2540" xr:uid="{42D6FDDF-F263-4811-AD9B-2D67E99B904A}"/>
    <cellStyle name="Percent 2 4 2 2 3" xfId="3191" xr:uid="{96AD5A69-4200-49A8-B46F-80E667C76343}"/>
    <cellStyle name="Percent 2 4 2 2 4" xfId="3847" xr:uid="{C731BFAD-D4BA-4CB8-8561-7E14895F5C86}"/>
    <cellStyle name="Percent 2 4 2 2 5" xfId="4510" xr:uid="{0E370182-5367-46CA-B204-257D8599688C}"/>
    <cellStyle name="Percent 2 4 2 2 6" xfId="1481" xr:uid="{33391432-AC07-4F02-AC9F-7993D6CC64FE}"/>
    <cellStyle name="Percent 2 4 2 3" xfId="1959" xr:uid="{E5337BA0-C963-4912-A2C9-8E44FB8A00D7}"/>
    <cellStyle name="Percent 2 4 2 4" xfId="2213" xr:uid="{EB6834E0-7FBD-40F0-85F4-77F66D736B36}"/>
    <cellStyle name="Percent 2 4 2 5" xfId="2864" xr:uid="{92696C30-AB51-4885-A29C-8C00686A711D}"/>
    <cellStyle name="Percent 2 4 2 6" xfId="3520" xr:uid="{1E4C4188-89EF-47DB-A41C-112AE2829D81}"/>
    <cellStyle name="Percent 2 4 2 7" xfId="4183" xr:uid="{D09885EE-C346-43FE-876C-9AD29FF25024}"/>
    <cellStyle name="Percent 2 4 2 8" xfId="1144" xr:uid="{60BA6CAE-201C-4314-9C89-CC9F90F34656}"/>
    <cellStyle name="Percent 2 4 3" xfId="547" xr:uid="{3870D7C5-AE98-406F-BCBF-E0D9A1003993}"/>
    <cellStyle name="Percent 2 4 3 2" xfId="1589" xr:uid="{7C387CC5-6AE0-4024-A73D-A71E93E5D36B}"/>
    <cellStyle name="Percent 2 4 3 2 2" xfId="2648" xr:uid="{6B6CDF65-1DF0-4D31-9426-14DCD274FA9C}"/>
    <cellStyle name="Percent 2 4 3 2 3" xfId="3299" xr:uid="{29D442D2-A2DF-4170-B9CA-4258BF592CA2}"/>
    <cellStyle name="Percent 2 4 3 2 4" xfId="3955" xr:uid="{FCA3C807-7484-45F6-9D91-4F237EFF2136}"/>
    <cellStyle name="Percent 2 4 3 2 5" xfId="4618" xr:uid="{90161881-A740-4A1F-865E-7DCA7904BBF0}"/>
    <cellStyle name="Percent 2 4 3 3" xfId="2321" xr:uid="{BD55C4A0-F7D3-42BA-85C9-FFD68D131B84}"/>
    <cellStyle name="Percent 2 4 3 4" xfId="2972" xr:uid="{077D4E68-27EE-4AFF-9B7C-A6D2D66C4693}"/>
    <cellStyle name="Percent 2 4 3 5" xfId="3628" xr:uid="{B285E81C-0AB5-45C3-8371-1BDE57F9687F}"/>
    <cellStyle name="Percent 2 4 3 6" xfId="4291" xr:uid="{0E46E799-1228-47E6-834E-E4846FAACB3A}"/>
    <cellStyle name="Percent 2 4 3 7" xfId="1258" xr:uid="{E4A5F57F-AD02-42A1-952E-0BB3519692B1}"/>
    <cellStyle name="Percent 2 4 4" xfId="1373" xr:uid="{83936D7A-8EEB-4C07-AF6B-F0D7FB9380A5}"/>
    <cellStyle name="Percent 2 4 4 2" xfId="2432" xr:uid="{74F2FD59-0FAC-4BA5-9250-C2C2A4141F79}"/>
    <cellStyle name="Percent 2 4 4 3" xfId="3083" xr:uid="{3961347F-CEB8-49AC-B595-5AB3604E0605}"/>
    <cellStyle name="Percent 2 4 4 4" xfId="3739" xr:uid="{3B27D2E2-0055-4798-BD68-CE4CDF357F86}"/>
    <cellStyle name="Percent 2 4 4 5" xfId="4402" xr:uid="{3AF854D3-0CC1-4E5A-955E-46CF33310609}"/>
    <cellStyle name="Percent 2 4 5" xfId="1998" xr:uid="{B5522A92-7DEB-4880-80A4-74806AF34C8D}"/>
    <cellStyle name="Percent 2 4 6" xfId="2105" xr:uid="{4D8A6BEE-3E5E-4FB3-B34D-27ACB602E937}"/>
    <cellStyle name="Percent 2 4 7" xfId="2756" xr:uid="{C05208CE-86FB-4197-90CC-959E80B179BC}"/>
    <cellStyle name="Percent 2 4 8" xfId="3412" xr:uid="{CD1D5223-CD9F-4F0C-B736-435434D600FA}"/>
    <cellStyle name="Percent 2 4 9" xfId="4075" xr:uid="{CD0D1E01-FF2A-46AA-BCB8-B59BB4B1FD5B}"/>
    <cellStyle name="Percent 2 5" xfId="1090" xr:uid="{FFA4F6C8-C1F1-483E-BF81-3258E12C1940}"/>
    <cellStyle name="Percent 2 5 2" xfId="1427" xr:uid="{4089813C-CD87-4C68-82B2-37E236BA7A8E}"/>
    <cellStyle name="Percent 2 5 2 2" xfId="2486" xr:uid="{15222E63-8BD2-402A-BF53-F24997E38044}"/>
    <cellStyle name="Percent 2 5 2 3" xfId="3137" xr:uid="{8AE0E2B2-97D4-4092-BB38-7488A189D33C}"/>
    <cellStyle name="Percent 2 5 2 4" xfId="3793" xr:uid="{48525295-142F-43FB-95D7-006C3110F187}"/>
    <cellStyle name="Percent 2 5 2 5" xfId="4456" xr:uid="{5778CAF7-DE8C-4EB4-8393-568AA81D64FC}"/>
    <cellStyle name="Percent 2 5 3" xfId="1943" xr:uid="{0FCE6B85-018F-4D2B-877A-C11BFD998BDB}"/>
    <cellStyle name="Percent 2 5 4" xfId="2159" xr:uid="{53BB9A7E-8B4E-46C1-92AF-809EC27F3211}"/>
    <cellStyle name="Percent 2 5 5" xfId="2810" xr:uid="{CA67500C-311C-481A-9F2D-43A0F2CFEFB8}"/>
    <cellStyle name="Percent 2 5 6" xfId="3466" xr:uid="{00322E54-C1C8-4B39-B176-9A5A0198FB86}"/>
    <cellStyle name="Percent 2 5 7" xfId="4129" xr:uid="{F49ACBB4-91B3-418C-821E-BE8F608EBA3D}"/>
    <cellStyle name="Percent 2 6" xfId="1204" xr:uid="{D5672939-903D-493A-8032-C742DD773E51}"/>
    <cellStyle name="Percent 2 6 2" xfId="1535" xr:uid="{C3355396-49AE-40E3-A890-F310751C47EE}"/>
    <cellStyle name="Percent 2 6 2 2" xfId="2594" xr:uid="{4F4393C6-D835-4A35-A5BD-21CD28586BFB}"/>
    <cellStyle name="Percent 2 6 2 3" xfId="3245" xr:uid="{403E5DCE-0F60-4A5A-8757-AECB9ABD709F}"/>
    <cellStyle name="Percent 2 6 2 4" xfId="3901" xr:uid="{4E9598E6-C652-4DAD-BD8A-425BD108771F}"/>
    <cellStyle name="Percent 2 6 2 5" xfId="4564" xr:uid="{B0D72450-4FE3-4A1C-BFA7-B8A473488B91}"/>
    <cellStyle name="Percent 2 6 3" xfId="2267" xr:uid="{1AC10C1C-40A6-4A1E-8870-8B78D4289B82}"/>
    <cellStyle name="Percent 2 6 4" xfId="2918" xr:uid="{2A073AA3-11E1-46B8-B796-6B5022EB87F8}"/>
    <cellStyle name="Percent 2 6 5" xfId="3574" xr:uid="{D9A6A703-1827-4824-AF80-97E072B9E97B}"/>
    <cellStyle name="Percent 2 6 6" xfId="4237" xr:uid="{DCDE1DB2-6FCF-458A-8529-56381ED7728F}"/>
    <cellStyle name="Percent 2 7" xfId="1319" xr:uid="{1C406F55-F6F8-4754-9E89-2B25595CE728}"/>
    <cellStyle name="Percent 2 7 2" xfId="2378" xr:uid="{6484D0FD-8BB6-4B5E-B5C6-02C20801E1F3}"/>
    <cellStyle name="Percent 2 7 3" xfId="3029" xr:uid="{A3BFF78E-DDC9-4F74-99A0-754CE3FD07E5}"/>
    <cellStyle name="Percent 2 7 4" xfId="3685" xr:uid="{C3C723B9-D554-4803-A5AE-5D152A7A7D7E}"/>
    <cellStyle name="Percent 2 7 5" xfId="4348" xr:uid="{0B705D0B-E3DD-4C40-A558-D14329C04165}"/>
    <cellStyle name="Percent 2 8" xfId="1895" xr:uid="{6ADF9A90-5B8A-47C2-8802-591046CBA9DD}"/>
    <cellStyle name="Percent 2 9" xfId="2051" xr:uid="{12B8B728-5150-43FD-9A8D-1195351DED42}"/>
    <cellStyle name="Percent 20" xfId="879" xr:uid="{87E0BE0F-0661-4F4E-9CAC-C2B34411BDA6}"/>
    <cellStyle name="Percent 21" xfId="880" xr:uid="{0F219F2B-10C0-4A75-B244-6AAED3C195B1}"/>
    <cellStyle name="Percent 21 2" xfId="881" xr:uid="{593AD6C6-2594-48EB-94CD-C717AC5FADAD}"/>
    <cellStyle name="Percent 22" xfId="882" xr:uid="{3617A2DA-5704-4EB0-9CEE-F9FE36157B9C}"/>
    <cellStyle name="Percent 22 2" xfId="883" xr:uid="{E3A3FEF1-5B38-46AB-90D4-0459227D0CDD}"/>
    <cellStyle name="Percent 23" xfId="884" xr:uid="{EFC7A4BF-7B7D-4A28-ACAC-EAAEFE571F8D}"/>
    <cellStyle name="Percent 23 2" xfId="885" xr:uid="{CE348E0F-4F9E-4B12-BA56-8DD5B5F8D09E}"/>
    <cellStyle name="Percent 24" xfId="886" xr:uid="{E8DADC7E-6ED7-4718-8718-5408D1DAEF87}"/>
    <cellStyle name="Percent 24 2" xfId="887" xr:uid="{F0B71007-0A7E-4E27-ABE5-904832ECFDE3}"/>
    <cellStyle name="Percent 25" xfId="888" xr:uid="{44B41BBD-0763-4EFE-BBD5-782A54356A0C}"/>
    <cellStyle name="Percent 25 2" xfId="889" xr:uid="{8373890B-F469-4D1F-BAE3-E296C8112D82}"/>
    <cellStyle name="Percent 26" xfId="890" xr:uid="{FF1A965B-F1C7-473D-903C-9FE66EC3ED40}"/>
    <cellStyle name="Percent 26 2" xfId="891" xr:uid="{B7E2521C-6B79-41DF-89B5-65EBC0EA55B1}"/>
    <cellStyle name="Percent 27" xfId="892" xr:uid="{F90E7DE5-1F27-47AB-BE94-A5F08F92C3B6}"/>
    <cellStyle name="Percent 27 2" xfId="893" xr:uid="{9ABB695A-8088-4044-A136-17C6FF700F2C}"/>
    <cellStyle name="Percent 28" xfId="894" xr:uid="{A31B0061-CB99-4C6A-B0BA-F56966088356}"/>
    <cellStyle name="Percent 29" xfId="895" xr:uid="{660C912A-82FD-45EE-B18B-6BB3D86D3A78}"/>
    <cellStyle name="Percent 3" xfId="126" xr:uid="{2A770839-CF45-4A63-855F-68651D711067}"/>
    <cellStyle name="Percent 3 2" xfId="338" xr:uid="{D12B5852-1F3B-448D-90CC-29E39DF73004}"/>
    <cellStyle name="Percent 3 2 2" xfId="973" xr:uid="{6665782D-681F-43A8-9602-BB35F4EBC4F0}"/>
    <cellStyle name="Percent 3 2 3" xfId="990" xr:uid="{41D54E7C-7AC6-4239-BB08-4DAFBBD04F6A}"/>
    <cellStyle name="Percent 3 2 3 2" xfId="1016" xr:uid="{262434FE-AC7D-422E-BAA7-E6DBC0B873CB}"/>
    <cellStyle name="Percent 3 2 4" xfId="972" xr:uid="{639EC674-7E4D-41F0-96C9-73D15F745899}"/>
    <cellStyle name="Percent 3 3" xfId="971" xr:uid="{6437EA68-211E-4B2B-A4EC-C7ACCFFAF1EC}"/>
    <cellStyle name="Percent 3 4" xfId="896" xr:uid="{4BA41DE2-E8EA-4910-BC9C-613A8ED0BBEB}"/>
    <cellStyle name="Percent 30" xfId="897" xr:uid="{639FF163-9A9F-40DD-B5B9-3AFED4E5A316}"/>
    <cellStyle name="Percent 31" xfId="898" xr:uid="{8E34DA99-6EC2-4A68-B4DA-A4CFABB710A0}"/>
    <cellStyle name="Percent 32" xfId="899" xr:uid="{357353EF-D609-45F4-885E-F188BB7AFD12}"/>
    <cellStyle name="Percent 33" xfId="900" xr:uid="{88642FE4-4C2D-49E5-868E-ADB270DA3892}"/>
    <cellStyle name="Percent 34" xfId="901" xr:uid="{F5F196F3-EF00-4A7C-BA4D-F553161ADEBF}"/>
    <cellStyle name="Percent 34 2" xfId="902" xr:uid="{F62712CE-F32C-481E-94A7-FC510853500A}"/>
    <cellStyle name="Percent 35" xfId="903" xr:uid="{E725D96B-D846-4168-BB4C-9FBAE777239D}"/>
    <cellStyle name="Percent 36" xfId="904" xr:uid="{1FDDBF97-4FA7-4095-A703-C7AE1A6C789D}"/>
    <cellStyle name="Percent 37" xfId="905" xr:uid="{612E9699-D307-4A7D-A56E-5E785C1488A5}"/>
    <cellStyle name="Percent 38" xfId="906" xr:uid="{8B446E99-359E-4413-8EBC-722C9762E59D}"/>
    <cellStyle name="Percent 39" xfId="907" xr:uid="{7D06CA41-D0E0-4131-86EA-BEEFEC25AD9E}"/>
    <cellStyle name="Percent 4" xfId="113" xr:uid="{C1D09CEF-503A-4DB0-B825-ADE4505AF120}"/>
    <cellStyle name="Percent 4 2" xfId="974" xr:uid="{411E9369-FCE7-4190-9823-9CB8222F05BB}"/>
    <cellStyle name="Percent 4 3" xfId="908" xr:uid="{ACE2E32C-7936-4182-9D44-0C352250B034}"/>
    <cellStyle name="Percent 40" xfId="909" xr:uid="{64C0C235-AD01-4B2B-A8B7-C6AB7E377AF6}"/>
    <cellStyle name="Percent 41" xfId="910" xr:uid="{AA1448A0-0C08-45A5-A30E-620C07FAF419}"/>
    <cellStyle name="Percent 42" xfId="911" xr:uid="{8F535A6E-2764-43BA-A00A-30735586DE20}"/>
    <cellStyle name="Percent 43" xfId="927" xr:uid="{3C937B2C-3B6F-40FB-9C52-C1E33B4B8C0C}"/>
    <cellStyle name="Percent 44" xfId="930" xr:uid="{E24F8A23-474C-4FA4-A473-9BB734466C9B}"/>
    <cellStyle name="Percent 45" xfId="931" xr:uid="{3822FA3D-78F3-43E3-9759-1F1C56B97311}"/>
    <cellStyle name="Percent 46" xfId="858" xr:uid="{2309DF05-248F-4B4F-A0D1-119551E9291A}"/>
    <cellStyle name="Percent 47" xfId="1634" xr:uid="{A3D10FE0-80E4-443E-A1CE-C3FCCB7F2D59}"/>
    <cellStyle name="Percent 48" xfId="146" xr:uid="{4A93D68E-A993-4D06-AAFE-9ED7CA94819A}"/>
    <cellStyle name="Percent 49" xfId="147" xr:uid="{549ACD92-AA0A-4883-A157-53406808F057}"/>
    <cellStyle name="Percent 5" xfId="912" xr:uid="{0881EC0B-FC1C-4410-99BD-9DFF80AEABAB}"/>
    <cellStyle name="Percent 5 2" xfId="975" xr:uid="{880C6E38-9DEB-4EC4-B34B-73E3704A7F35}"/>
    <cellStyle name="Percent 50" xfId="4690" xr:uid="{AC0FD8DB-8B4D-4A0C-B2E3-BCB603E2C8EB}"/>
    <cellStyle name="Percent 51" xfId="4700" xr:uid="{BF23C043-7E44-4DE0-81FB-536FEE0CEDDE}"/>
    <cellStyle name="Percent 52" xfId="4671" xr:uid="{4B588F1C-AA63-4B26-AF9B-5EB0AFD432AE}"/>
    <cellStyle name="Percent 53" xfId="4741" xr:uid="{CAE88548-B62D-4BB8-8BE8-C33F329876A2}"/>
    <cellStyle name="Percent 54" xfId="4733" xr:uid="{7912EE3B-66A3-458B-AB0A-9DC09BA1E195}"/>
    <cellStyle name="Percent 55" xfId="4674" xr:uid="{7530C663-E9AE-4C3A-9EDD-278CCF0766D0}"/>
    <cellStyle name="Percent 56" xfId="4676" xr:uid="{44F176FA-DC12-46FB-9BA5-B5087430B16B}"/>
    <cellStyle name="Percent 57" xfId="4726" xr:uid="{931495F8-33B9-4246-B7D0-E70125AA6341}"/>
    <cellStyle name="Percent 58" xfId="4759" xr:uid="{28B860A1-9502-4E1C-8290-FFE4310A66CB}"/>
    <cellStyle name="Percent 59" xfId="4678" xr:uid="{749694E7-DB4F-4D20-871A-D26EF1C7CEC1}"/>
    <cellStyle name="Percent 6" xfId="913" xr:uid="{D5D47283-7B0E-43D6-8477-F0CC912DB077}"/>
    <cellStyle name="Percent 6 2" xfId="977" xr:uid="{1EBE992A-60DB-4EA1-8836-2B049387E792}"/>
    <cellStyle name="Percent 6 3" xfId="976" xr:uid="{F4C47AFD-E948-4A61-8F1B-80C84FCBF33C}"/>
    <cellStyle name="Percent 60" xfId="148" xr:uid="{EB302F26-5739-4825-930F-2DCFBBD9DC93}"/>
    <cellStyle name="Percent 61" xfId="4659" xr:uid="{36CE394A-68C5-428F-BDE2-755A1ACD1963}"/>
    <cellStyle name="Percent 62" xfId="4750" xr:uid="{CFD689D8-EF05-4C04-917B-9BF05CD29B3E}"/>
    <cellStyle name="Percent 63" xfId="4752" xr:uid="{3C3B74F9-38A9-474F-94D6-D33B5456FE2C}"/>
    <cellStyle name="Percent 64" xfId="4718" xr:uid="{A9811103-B7FF-4DA8-9591-025F6FF0CDF3}"/>
    <cellStyle name="Percent 65" xfId="4707" xr:uid="{1F9D503C-02BC-4873-BA55-C090449DEE1D}"/>
    <cellStyle name="Percent 66" xfId="4747" xr:uid="{8A84431C-7FBB-4569-94B5-4E8C125D7418}"/>
    <cellStyle name="Percent 67" xfId="4746" xr:uid="{28140131-6B8D-41EC-990D-ED9E6268CD17}"/>
    <cellStyle name="Percent 68" xfId="4711" xr:uid="{A3175824-EDA9-4718-A119-A1B36755FB0E}"/>
    <cellStyle name="Percent 69" xfId="4740" xr:uid="{E3119CAB-DF53-4CEE-9A29-A479CF387165}"/>
    <cellStyle name="Percent 7" xfId="914" xr:uid="{53E2BF85-490A-4C75-A4D5-1578DE72E91F}"/>
    <cellStyle name="Percent 7 2" xfId="979" xr:uid="{CF7DFEFB-5B92-4A92-9111-599940731E3F}"/>
    <cellStyle name="Percent 7 3" xfId="978" xr:uid="{6191A111-47F0-473F-B3B6-A258E295946D}"/>
    <cellStyle name="Percent 70" xfId="4758" xr:uid="{5949FD49-378A-40B5-8CD4-2531B1B8E59D}"/>
    <cellStyle name="Percent 71" xfId="4751" xr:uid="{C03488A0-4647-40FA-8D4F-71B7B93E1540}"/>
    <cellStyle name="Percent 72" xfId="4731" xr:uid="{215A176E-3EF0-4CAA-8ED3-B194E1CF2221}"/>
    <cellStyle name="Percent 73" xfId="4728" xr:uid="{A1BAAE93-A35C-4B04-AB40-0A8CDE9ABAA8}"/>
    <cellStyle name="Percent 74" xfId="4706" xr:uid="{79040FDD-045D-4BFE-99D1-3682C8C9F1EC}"/>
    <cellStyle name="Percent 75" xfId="4717" xr:uid="{009DD79B-4F52-401F-A17F-FFF2F6BD387A}"/>
    <cellStyle name="Percent 76" xfId="4729" xr:uid="{D696A3AB-6365-4B8E-B9D7-D870C9DE5855}"/>
    <cellStyle name="Percent 77" xfId="4713" xr:uid="{68092BB1-3050-4181-93BA-0EA66A0BA5A6}"/>
    <cellStyle name="Percent 78" xfId="4703" xr:uid="{08D9959E-B163-4A68-8D0E-62F129ED7D6E}"/>
    <cellStyle name="Percent 79" xfId="4660" xr:uid="{D1E3287D-1C2F-4F90-B43B-067593008B15}"/>
    <cellStyle name="Percent 8" xfId="915" xr:uid="{9FF7D738-FB4F-46C2-9616-BA3911FC351F}"/>
    <cellStyle name="Percent 8 2" xfId="1009" xr:uid="{BD787CBF-2D1A-4D77-AD3E-C310849B3590}"/>
    <cellStyle name="Percent 8 2 2" xfId="1020" xr:uid="{4CA95B2A-1045-495F-BB75-3B0C088C4905}"/>
    <cellStyle name="Percent 8 3" xfId="980" xr:uid="{64CBEC67-AAC0-434D-B7C4-D7DE1A7EF7F7}"/>
    <cellStyle name="Percent 80" xfId="4668" xr:uid="{290E144D-A165-4B16-9646-8FD69AB9A850}"/>
    <cellStyle name="Percent 81" xfId="4722" xr:uid="{BE031B3E-70F1-42A0-833C-BF12981B1CF0}"/>
    <cellStyle name="Percent 82" xfId="4681" xr:uid="{02628120-F541-4222-AE47-11AD41A83F08}"/>
    <cellStyle name="Percent 83" xfId="4701" xr:uid="{8C3682E1-C601-4238-8D23-8DEA26F1EADE}"/>
    <cellStyle name="Percent 9" xfId="916" xr:uid="{797D75E5-6C86-4EC7-B452-880224377B12}"/>
    <cellStyle name="Percent 9 2" xfId="1015" xr:uid="{7B8D57D8-44DF-45A9-A947-86E5A626EB3D}"/>
    <cellStyle name="Percent 9 3" xfId="988" xr:uid="{04A5DD87-FEC9-4611-A3BD-BBD06896FBB9}"/>
    <cellStyle name="Subheads" xfId="917" xr:uid="{CE882A22-307A-41EB-9747-5172FC11101F}"/>
    <cellStyle name="Title" xfId="4" builtinId="15" customBuiltin="1"/>
    <cellStyle name="Title 2" xfId="110" xr:uid="{939699D0-8326-4399-871D-0842D82E75D1}"/>
    <cellStyle name="Title 2 2" xfId="139" xr:uid="{DDF9BABC-F253-41C3-91D0-BECA657371F4}"/>
    <cellStyle name="Title 2 2 2" xfId="1744" xr:uid="{C42E1ECA-A548-4293-9BD5-BCA24ADA4012}"/>
    <cellStyle name="Title 2 3" xfId="1736" xr:uid="{48C60ECC-3EF5-46AA-8093-665C20BE8C36}"/>
    <cellStyle name="Title 2 4" xfId="918" xr:uid="{ED8211C2-14C3-43D0-BC9A-4E5A6FE979B8}"/>
    <cellStyle name="Title 2 5" xfId="232" xr:uid="{78CE7BDF-691A-4054-B677-1AF949CCCCD1}"/>
    <cellStyle name="Title 3" xfId="53" xr:uid="{152A7F8B-B008-4DFF-B9C8-BBAD5EDFBA62}"/>
    <cellStyle name="Title 3 2" xfId="1771" xr:uid="{6F99074D-F7A6-4D9E-9D6F-0FA52D5B4440}"/>
    <cellStyle name="Title 3 3" xfId="1645" xr:uid="{14762A18-FE21-4020-B801-55735A188697}"/>
    <cellStyle name="Title 4" xfId="1635" xr:uid="{CAC1305E-4E98-4498-BA6B-CDEE83D3BEED}"/>
    <cellStyle name="Total" xfId="19" builtinId="25" customBuiltin="1"/>
    <cellStyle name="Total 2" xfId="111" xr:uid="{516397B6-84FF-429F-A356-AE0494C5D9C6}"/>
    <cellStyle name="Total 2 2" xfId="234" xr:uid="{9EB14E39-734B-45FC-B567-61F76B81B69A}"/>
    <cellStyle name="Total 2 3" xfId="269" xr:uid="{F3EF5160-6813-4949-8525-BFDCE143EA7B}"/>
    <cellStyle name="Total 2 4" xfId="1696" xr:uid="{F8337236-34BB-445E-BC99-AF9E04C33BC2}"/>
    <cellStyle name="Total 2 5" xfId="233" xr:uid="{555A756E-A53F-476F-BDAA-6569CC2B0C88}"/>
    <cellStyle name="Total 3" xfId="235" xr:uid="{EE3A9837-4EF6-41AA-8B1E-5F1990A79157}"/>
    <cellStyle name="Total 3 2" xfId="236" xr:uid="{9B8BEE36-9A52-4612-BF89-4F8B4847A61E}"/>
    <cellStyle name="Total 3 3" xfId="1725" xr:uid="{9E8E61FC-2F9F-465A-A57F-CDB6705AB79B}"/>
    <cellStyle name="Total 4" xfId="1657" xr:uid="{A4B93128-A382-498B-B3DD-E83F9711718F}"/>
    <cellStyle name="Warning Text" xfId="17" builtinId="11" customBuiltin="1"/>
    <cellStyle name="Warning Text 2" xfId="237" xr:uid="{50276CE7-F826-4A5B-BE62-1F9307D875B6}"/>
    <cellStyle name="Warning Text 2 2" xfId="1694" xr:uid="{48256DA2-290B-4B02-8F23-CCEB22DDD8C8}"/>
    <cellStyle name="Warning Text 3" xfId="1710" xr:uid="{8847699E-CE4C-4756-8DA4-A1AA27F99632}"/>
    <cellStyle name="Warning Text 4" xfId="1654" xr:uid="{FE4994C4-788C-4254-BA63-32293B63123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XBF303\AppData\Local\Microsoft\Windows\INetCache\Content.Outlook\J477W6MR\YE085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263</v>
          </cell>
          <cell r="E59">
            <v>3864</v>
          </cell>
          <cell r="J59">
            <v>238</v>
          </cell>
          <cell r="L59">
            <v>188</v>
          </cell>
          <cell r="O59">
            <v>112</v>
          </cell>
          <cell r="P59">
            <v>174972</v>
          </cell>
          <cell r="Q59">
            <v>37402</v>
          </cell>
          <cell r="R59">
            <v>173729</v>
          </cell>
          <cell r="U59">
            <v>221752</v>
          </cell>
          <cell r="V59">
            <v>1223</v>
          </cell>
          <cell r="W59">
            <v>2246</v>
          </cell>
          <cell r="X59">
            <v>5720</v>
          </cell>
          <cell r="Y59">
            <v>17752</v>
          </cell>
          <cell r="AA59">
            <v>436</v>
          </cell>
          <cell r="AC59">
            <v>42603</v>
          </cell>
          <cell r="AE59">
            <v>98895</v>
          </cell>
          <cell r="AG59">
            <v>12684</v>
          </cell>
          <cell r="AI59">
            <v>17642</v>
          </cell>
          <cell r="AJ59">
            <v>102544</v>
          </cell>
          <cell r="AR59">
            <v>17968</v>
          </cell>
          <cell r="AY59">
            <v>15632</v>
          </cell>
          <cell r="BE59">
            <v>228101</v>
          </cell>
        </row>
        <row r="71">
          <cell r="C71">
            <v>1602597</v>
          </cell>
          <cell r="D71">
            <v>0</v>
          </cell>
          <cell r="E71">
            <v>4120145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1797</v>
          </cell>
          <cell r="K71">
            <v>0</v>
          </cell>
          <cell r="L71">
            <v>45870</v>
          </cell>
          <cell r="M71">
            <v>0</v>
          </cell>
          <cell r="N71">
            <v>2336577</v>
          </cell>
          <cell r="O71">
            <v>1523217</v>
          </cell>
          <cell r="P71">
            <v>4117300</v>
          </cell>
          <cell r="Q71">
            <v>66165</v>
          </cell>
          <cell r="R71">
            <v>1509489</v>
          </cell>
          <cell r="S71">
            <v>1927429</v>
          </cell>
          <cell r="T71">
            <v>0</v>
          </cell>
          <cell r="U71">
            <v>4880091</v>
          </cell>
          <cell r="V71">
            <v>0</v>
          </cell>
          <cell r="W71">
            <v>622375</v>
          </cell>
          <cell r="X71">
            <v>435563</v>
          </cell>
          <cell r="Y71">
            <v>2702972</v>
          </cell>
          <cell r="Z71">
            <v>0</v>
          </cell>
          <cell r="AA71">
            <v>287027</v>
          </cell>
          <cell r="AB71">
            <v>16135833</v>
          </cell>
          <cell r="AC71">
            <v>1083157</v>
          </cell>
          <cell r="AD71">
            <v>0</v>
          </cell>
          <cell r="AE71">
            <v>3899632</v>
          </cell>
          <cell r="AF71">
            <v>0</v>
          </cell>
          <cell r="AG71">
            <v>5782429</v>
          </cell>
          <cell r="AH71">
            <v>0</v>
          </cell>
          <cell r="AI71">
            <v>3988961</v>
          </cell>
          <cell r="AJ71">
            <v>26878314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5111999</v>
          </cell>
          <cell r="AS71">
            <v>0</v>
          </cell>
          <cell r="AT71">
            <v>0</v>
          </cell>
          <cell r="AU71">
            <v>0</v>
          </cell>
          <cell r="AV71">
            <v>2372548</v>
          </cell>
          <cell r="AW71">
            <v>0</v>
          </cell>
          <cell r="AX71">
            <v>0</v>
          </cell>
          <cell r="AY71">
            <v>664586</v>
          </cell>
          <cell r="AZ71">
            <v>0</v>
          </cell>
          <cell r="BA71">
            <v>355959</v>
          </cell>
          <cell r="BB71">
            <v>1610</v>
          </cell>
          <cell r="BC71">
            <v>0</v>
          </cell>
          <cell r="BD71">
            <v>721398</v>
          </cell>
          <cell r="BE71">
            <v>3953863</v>
          </cell>
          <cell r="BF71">
            <v>1552512</v>
          </cell>
          <cell r="BG71">
            <v>252910</v>
          </cell>
          <cell r="BH71">
            <v>3829356</v>
          </cell>
          <cell r="BI71">
            <v>0</v>
          </cell>
          <cell r="BJ71">
            <v>1098511</v>
          </cell>
          <cell r="BK71">
            <v>1430940</v>
          </cell>
          <cell r="BL71">
            <v>915973</v>
          </cell>
          <cell r="BM71">
            <v>481741</v>
          </cell>
          <cell r="BN71">
            <v>2414602</v>
          </cell>
          <cell r="BO71">
            <v>85308</v>
          </cell>
          <cell r="BP71">
            <v>387033</v>
          </cell>
          <cell r="BQ71">
            <v>0</v>
          </cell>
          <cell r="BR71">
            <v>1195135</v>
          </cell>
          <cell r="BS71">
            <v>108255</v>
          </cell>
          <cell r="BT71">
            <v>0</v>
          </cell>
          <cell r="BU71">
            <v>0</v>
          </cell>
          <cell r="BV71">
            <v>894369</v>
          </cell>
          <cell r="BW71">
            <v>908498</v>
          </cell>
          <cell r="BX71">
            <v>538096</v>
          </cell>
          <cell r="BY71">
            <v>1425827</v>
          </cell>
          <cell r="BZ71">
            <v>0</v>
          </cell>
          <cell r="CA71">
            <v>0</v>
          </cell>
          <cell r="CB71">
            <v>103848</v>
          </cell>
          <cell r="CC71">
            <v>2277279</v>
          </cell>
          <cell r="CD71">
            <v>-1333823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8" transitionEvaluation="1" transitionEntry="1" codeName="Sheet1">
    <pageSetUpPr autoPageBreaks="0" fitToPage="1"/>
  </sheetPr>
  <dimension ref="A1:CF817"/>
  <sheetViews>
    <sheetView showGridLines="0" tabSelected="1" topLeftCell="A8" zoomScale="95" zoomScaleNormal="95" workbookViewId="0">
      <selection activeCell="CE75" sqref="CE75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1231</v>
      </c>
    </row>
    <row r="2" spans="1:6" ht="12.75" customHeight="1" x14ac:dyDescent="0.3">
      <c r="A2" s="1" t="s">
        <v>1232</v>
      </c>
      <c r="C2" s="180"/>
    </row>
    <row r="3" spans="1:6" ht="12.75" customHeight="1" x14ac:dyDescent="0.3">
      <c r="A3" s="150"/>
      <c r="C3" s="180"/>
    </row>
    <row r="4" spans="1:6" ht="12.75" customHeight="1" x14ac:dyDescent="0.3">
      <c r="C4" s="180"/>
    </row>
    <row r="5" spans="1:6" ht="12.75" customHeight="1" x14ac:dyDescent="0.3">
      <c r="A5" s="150" t="s">
        <v>1257</v>
      </c>
      <c r="C5" s="180"/>
    </row>
    <row r="6" spans="1:6" ht="12.75" customHeight="1" x14ac:dyDescent="0.3">
      <c r="A6" s="150" t="s">
        <v>0</v>
      </c>
      <c r="C6" s="180"/>
    </row>
    <row r="7" spans="1:6" ht="12.75" customHeight="1" x14ac:dyDescent="0.3">
      <c r="A7" s="150" t="s">
        <v>1</v>
      </c>
      <c r="C7" s="180"/>
    </row>
    <row r="8" spans="1:6" ht="12.75" customHeight="1" x14ac:dyDescent="0.3">
      <c r="C8" s="180"/>
    </row>
    <row r="9" spans="1:6" ht="12.75" customHeight="1" x14ac:dyDescent="0.3">
      <c r="C9" s="180"/>
    </row>
    <row r="10" spans="1:6" ht="12.75" customHeight="1" x14ac:dyDescent="0.3">
      <c r="A10" s="149" t="s">
        <v>1228</v>
      </c>
      <c r="C10" s="180"/>
    </row>
    <row r="11" spans="1:6" ht="12.75" customHeight="1" x14ac:dyDescent="0.3">
      <c r="A11" s="149" t="s">
        <v>1230</v>
      </c>
      <c r="C11" s="180"/>
    </row>
    <row r="12" spans="1:6" ht="12.75" customHeight="1" x14ac:dyDescent="0.3">
      <c r="C12" s="180"/>
    </row>
    <row r="13" spans="1:6" ht="12.75" customHeight="1" x14ac:dyDescent="0.3">
      <c r="C13" s="180"/>
    </row>
    <row r="14" spans="1:6" ht="12.75" customHeight="1" x14ac:dyDescent="0.3">
      <c r="A14" s="150" t="s">
        <v>2</v>
      </c>
      <c r="C14" s="180"/>
    </row>
    <row r="15" spans="1:6" ht="12.75" customHeight="1" x14ac:dyDescent="0.3">
      <c r="A15" s="230"/>
      <c r="C15" s="180"/>
    </row>
    <row r="16" spans="1:6" ht="12.75" customHeight="1" x14ac:dyDescent="0.3">
      <c r="A16" s="231" t="s">
        <v>1266</v>
      </c>
      <c r="C16" s="180"/>
      <c r="F16" s="224"/>
    </row>
    <row r="17" spans="1:6" ht="12.75" customHeight="1" x14ac:dyDescent="0.3">
      <c r="A17" s="231" t="s">
        <v>1264</v>
      </c>
      <c r="C17" s="224"/>
    </row>
    <row r="18" spans="1:6" ht="12.75" customHeight="1" x14ac:dyDescent="0.3">
      <c r="A18" s="175"/>
      <c r="C18" s="180"/>
    </row>
    <row r="19" spans="1:6" ht="12.75" customHeight="1" x14ac:dyDescent="0.3">
      <c r="C19" s="180"/>
    </row>
    <row r="20" spans="1:6" ht="12.75" customHeight="1" x14ac:dyDescent="0.3">
      <c r="A20" s="211" t="s">
        <v>1233</v>
      </c>
      <c r="B20" s="211"/>
      <c r="C20" s="225"/>
      <c r="D20" s="211"/>
      <c r="E20" s="211"/>
      <c r="F20" s="211"/>
    </row>
    <row r="21" spans="1:6" ht="22.5" customHeight="1" x14ac:dyDescent="0.3">
      <c r="A21" s="150"/>
      <c r="C21" s="180"/>
    </row>
    <row r="22" spans="1:6" ht="12.65" customHeight="1" x14ac:dyDescent="0.3">
      <c r="A22" s="182" t="s">
        <v>1253</v>
      </c>
      <c r="B22" s="183"/>
      <c r="C22" s="184"/>
      <c r="D22" s="182"/>
      <c r="E22" s="182"/>
    </row>
    <row r="23" spans="1:6" ht="12.65" customHeight="1" x14ac:dyDescent="0.3">
      <c r="B23" s="150"/>
      <c r="C23" s="180"/>
    </row>
    <row r="24" spans="1:6" ht="12.65" customHeight="1" x14ac:dyDescent="0.3">
      <c r="A24" s="185" t="s">
        <v>3</v>
      </c>
      <c r="C24" s="180"/>
    </row>
    <row r="25" spans="1:6" ht="12.65" customHeight="1" x14ac:dyDescent="0.3">
      <c r="A25" s="149" t="s">
        <v>1234</v>
      </c>
      <c r="C25" s="180"/>
    </row>
    <row r="26" spans="1:6" ht="12.65" customHeight="1" x14ac:dyDescent="0.3">
      <c r="A26" s="150" t="s">
        <v>4</v>
      </c>
      <c r="C26" s="180"/>
    </row>
    <row r="27" spans="1:6" ht="12.65" customHeight="1" x14ac:dyDescent="0.3">
      <c r="A27" s="149" t="s">
        <v>1235</v>
      </c>
      <c r="C27" s="180"/>
    </row>
    <row r="28" spans="1:6" ht="12.65" customHeight="1" x14ac:dyDescent="0.3">
      <c r="A28" s="150" t="s">
        <v>5</v>
      </c>
      <c r="C28" s="180"/>
    </row>
    <row r="29" spans="1:6" ht="12.65" customHeight="1" x14ac:dyDescent="0.3">
      <c r="A29" s="149"/>
      <c r="C29" s="180"/>
    </row>
    <row r="30" spans="1:6" ht="12.65" customHeight="1" x14ac:dyDescent="0.3">
      <c r="A30" s="1" t="s">
        <v>6</v>
      </c>
      <c r="C30" s="180"/>
    </row>
    <row r="31" spans="1:6" ht="12.65" customHeight="1" x14ac:dyDescent="0.3">
      <c r="A31" s="150" t="s">
        <v>7</v>
      </c>
      <c r="C31" s="180"/>
    </row>
    <row r="32" spans="1:6" ht="12.65" customHeight="1" x14ac:dyDescent="0.3">
      <c r="A32" s="150" t="s">
        <v>8</v>
      </c>
      <c r="C32" s="180"/>
    </row>
    <row r="33" spans="1:83" ht="12.65" customHeight="1" x14ac:dyDescent="0.3">
      <c r="A33" s="149" t="s">
        <v>1236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1237</v>
      </c>
      <c r="C36" s="180"/>
    </row>
    <row r="37" spans="1:83" ht="12.65" customHeight="1" x14ac:dyDescent="0.3">
      <c r="A37" s="150" t="s">
        <v>1229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205</v>
      </c>
      <c r="B48" s="136">
        <v>15917306</v>
      </c>
      <c r="C48" s="132">
        <f>ROUND(((B48/CE61)*C61),0)</f>
        <v>225657</v>
      </c>
      <c r="D48" s="132">
        <f>ROUND(((B48/CE61)*D61),0)</f>
        <v>0</v>
      </c>
      <c r="E48" s="129">
        <f>ROUND(((B48/CE61)*E61),0)</f>
        <v>1289503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57851</v>
      </c>
      <c r="K48" s="129">
        <f>ROUND(((B48/CE61)*K61),0)</f>
        <v>0</v>
      </c>
      <c r="L48" s="129">
        <f>ROUND(((B48/CE61)*L61),0)</f>
        <v>45352</v>
      </c>
      <c r="M48" s="129">
        <f>ROUND(((B48/CE61)*M61),0)</f>
        <v>286995</v>
      </c>
      <c r="N48" s="129">
        <f>ROUND(((B48/CE61)*N61),0)</f>
        <v>0</v>
      </c>
      <c r="O48" s="129">
        <f>ROUND(((B48/CE61)*O61),0)</f>
        <v>31068</v>
      </c>
      <c r="P48" s="129">
        <f>ROUND(((B48/CE61)*P61),0)</f>
        <v>345056</v>
      </c>
      <c r="Q48" s="129">
        <f>ROUND(((B48/CE61)*Q61),0)</f>
        <v>151006</v>
      </c>
      <c r="R48" s="129">
        <f>ROUND(((B48/CE61)*R61),0)</f>
        <v>282284</v>
      </c>
      <c r="S48" s="129">
        <f>ROUND(((B48/CE61)*S61),0)</f>
        <v>32129</v>
      </c>
      <c r="T48" s="129">
        <f>ROUND(((B48/CE61)*T61),0)</f>
        <v>0</v>
      </c>
      <c r="U48" s="129">
        <f>ROUND(((B48/CE61)*U61),0)</f>
        <v>410724</v>
      </c>
      <c r="V48" s="129">
        <f>ROUND(((B48/CE61)*V61),0)</f>
        <v>0</v>
      </c>
      <c r="W48" s="129">
        <f>ROUND(((B48/CE61)*W61),0)</f>
        <v>32197</v>
      </c>
      <c r="X48" s="129">
        <f>ROUND(((B48/CE61)*X61),0)</f>
        <v>89702</v>
      </c>
      <c r="Y48" s="129">
        <f>ROUND(((B48/CE61)*Y61),0)</f>
        <v>359092</v>
      </c>
      <c r="Z48" s="129">
        <f>ROUND(((B48/CE61)*Z61),0)</f>
        <v>0</v>
      </c>
      <c r="AA48" s="129">
        <f>ROUND(((B48/CE61)*AA61),0)</f>
        <v>7524</v>
      </c>
      <c r="AB48" s="129">
        <f>ROUND(((B48/CE61)*AB61),0)</f>
        <v>286300</v>
      </c>
      <c r="AC48" s="129">
        <f>ROUND(((B48/CE61)*AC61),0)</f>
        <v>280382</v>
      </c>
      <c r="AD48" s="129">
        <f>ROUND(((B48/CE61)*AD61),0)</f>
        <v>0</v>
      </c>
      <c r="AE48" s="129">
        <f>ROUND(((B48/CE61)*AE61),0)</f>
        <v>676964</v>
      </c>
      <c r="AF48" s="129">
        <f>ROUND(((B48/CE61)*AF61),0)</f>
        <v>0</v>
      </c>
      <c r="AG48" s="129">
        <f>ROUND(((B48/CE61)*AG61),0)</f>
        <v>1056898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5457781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121415</v>
      </c>
      <c r="AP48" s="129">
        <f>ROUND(((B48/CE61)*AP61),0)</f>
        <v>61177</v>
      </c>
      <c r="AQ48" s="129">
        <f>ROUND(((B48/CE61)*AQ61),0)</f>
        <v>0</v>
      </c>
      <c r="AR48" s="129">
        <f>ROUND(((B48/CE61)*AR61),0)</f>
        <v>458603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476772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182639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78590</v>
      </c>
      <c r="BE48" s="129">
        <f>ROUND(((B48/CE61)*BE61),0)</f>
        <v>246333</v>
      </c>
      <c r="BF48" s="129">
        <f>ROUND(((B48/CE61)*BF61),0)</f>
        <v>235106</v>
      </c>
      <c r="BG48" s="129">
        <f>ROUND(((B48/CE61)*BG61),0)</f>
        <v>0</v>
      </c>
      <c r="BH48" s="129">
        <f>ROUND(((B48/CE61)*BH61),0)</f>
        <v>309374</v>
      </c>
      <c r="BI48" s="129">
        <f>ROUND(((B48/CE61)*BI61),0)</f>
        <v>0</v>
      </c>
      <c r="BJ48" s="129">
        <f>ROUND(((B48/CE61)*BJ61),0)</f>
        <v>0</v>
      </c>
      <c r="BK48" s="129">
        <f>ROUND(((B48/CE61)*BK61),0)</f>
        <v>267196</v>
      </c>
      <c r="BL48" s="129">
        <f>ROUND(((B48/CE61)*BL61),0)</f>
        <v>163403</v>
      </c>
      <c r="BM48" s="129">
        <f>ROUND(((B48/CE61)*BM61),0)</f>
        <v>0</v>
      </c>
      <c r="BN48" s="129">
        <f>ROUND(((B48/CE61)*BN61),0)</f>
        <v>0</v>
      </c>
      <c r="BO48" s="129">
        <f>ROUND(((B48/CE61)*BO61),0)</f>
        <v>4944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220438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124967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439275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1122612</v>
      </c>
      <c r="CD48" s="129"/>
      <c r="CE48" s="129">
        <f>SUM(C48:CD48)</f>
        <v>15917309</v>
      </c>
    </row>
    <row r="49" spans="1:83" ht="12.65" customHeight="1" x14ac:dyDescent="0.3">
      <c r="A49" s="129" t="s">
        <v>206</v>
      </c>
      <c r="B49" s="129">
        <f>B47+B48</f>
        <v>15917306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208</v>
      </c>
      <c r="B52" s="137">
        <v>4376458</v>
      </c>
      <c r="C52" s="129">
        <f>ROUND((B52/(CE76+CF76)*C76),0)</f>
        <v>81240</v>
      </c>
      <c r="D52" s="129">
        <f>ROUND((B52/(CE76+CF76)*D76),0)</f>
        <v>0</v>
      </c>
      <c r="E52" s="129">
        <f>ROUND((B52/(CE76+CF76)*E76),0)</f>
        <v>293244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13161</v>
      </c>
      <c r="K52" s="129">
        <f>ROUND((B52/(CE76+CF76)*K76),0)</f>
        <v>0</v>
      </c>
      <c r="L52" s="129">
        <f>ROUND((B52/(CE76+CF76)*L76),0)</f>
        <v>10323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7079</v>
      </c>
      <c r="P52" s="129">
        <f>ROUND((B52/(CE76+CF76)*P76),0)</f>
        <v>372738</v>
      </c>
      <c r="Q52" s="129">
        <f>ROUND((B52/(CE76+CF76)*Q76),0)</f>
        <v>18369</v>
      </c>
      <c r="R52" s="129">
        <f>ROUND((B52/(CE76+CF76)*R76),0)</f>
        <v>4241</v>
      </c>
      <c r="S52" s="129">
        <f>ROUND((B52/(CE76+CF76)*S76),0)</f>
        <v>99203</v>
      </c>
      <c r="T52" s="129">
        <f>ROUND((B52/(CE76+CF76)*T76),0)</f>
        <v>0</v>
      </c>
      <c r="U52" s="129">
        <f>ROUND((B52/(CE76+CF76)*U76),0)</f>
        <v>122281</v>
      </c>
      <c r="V52" s="129">
        <f>ROUND((B52/(CE76+CF76)*V76),0)</f>
        <v>0</v>
      </c>
      <c r="W52" s="129">
        <f>ROUND((B52/(CE76+CF76)*W76),0)</f>
        <v>13566</v>
      </c>
      <c r="X52" s="129">
        <f>ROUND((B52/(CE76+CF76)*X76),0)</f>
        <v>37829</v>
      </c>
      <c r="Y52" s="129">
        <f>ROUND((B52/(CE76+CF76)*Y76),0)</f>
        <v>151409</v>
      </c>
      <c r="Z52" s="129">
        <f>ROUND((B52/(CE76+CF76)*Z76),0)</f>
        <v>0</v>
      </c>
      <c r="AA52" s="129">
        <f>ROUND((B52/(CE76+CF76)*AA76),0)</f>
        <v>3181</v>
      </c>
      <c r="AB52" s="129">
        <f>ROUND((B52/(CE76+CF76)*AB76),0)</f>
        <v>46998</v>
      </c>
      <c r="AC52" s="129">
        <f>ROUND((B52/(CE76+CF76)*AC76),0)</f>
        <v>119131</v>
      </c>
      <c r="AD52" s="129">
        <f>ROUND((B52/(CE76+CF76)*AD76),0)</f>
        <v>0</v>
      </c>
      <c r="AE52" s="129">
        <f>ROUND((B52/(CE76+CF76)*AE76),0)</f>
        <v>202336</v>
      </c>
      <c r="AF52" s="129">
        <f>ROUND((B52/(CE76+CF76)*AF76),0)</f>
        <v>0</v>
      </c>
      <c r="AG52" s="129">
        <f>ROUND((B52/(CE76+CF76)*AG76),0)</f>
        <v>198033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973135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27600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121190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121252</v>
      </c>
      <c r="AZ52" s="129">
        <f>ROUND((B52/(CE76+CF76)*AZ76),0)</f>
        <v>0</v>
      </c>
      <c r="BA52" s="129">
        <f>ROUND((B52/(CE76+CF76)*BA76),0)</f>
        <v>0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356209</v>
      </c>
      <c r="BF52" s="129">
        <f>ROUND((B52/(CE76+CF76)*BF76),0)</f>
        <v>97270</v>
      </c>
      <c r="BG52" s="129">
        <f>ROUND((B52/(CE76+CF76)*BG76),0)</f>
        <v>0</v>
      </c>
      <c r="BH52" s="129">
        <f>ROUND((B52/(CE76+CF76)*BH76),0)</f>
        <v>203677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51270</v>
      </c>
      <c r="BL52" s="129">
        <f>ROUND((B52/(CE76+CF76)*BL76),0)</f>
        <v>61780</v>
      </c>
      <c r="BM52" s="129">
        <f>ROUND((B52/(CE76+CF76)*BM76),0)</f>
        <v>0</v>
      </c>
      <c r="BN52" s="129">
        <f>ROUND((B52/(CE76+CF76)*BN76),0)</f>
        <v>0</v>
      </c>
      <c r="BO52" s="129">
        <f>ROUND((B52/(CE76+CF76)*BO76),0)</f>
        <v>7578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49867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0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53983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457409</v>
      </c>
      <c r="CD52" s="129"/>
      <c r="CE52" s="129">
        <f>SUM(C52:CD52)</f>
        <v>4376582</v>
      </c>
    </row>
    <row r="53" spans="1:83" ht="12.65" customHeight="1" x14ac:dyDescent="0.3">
      <c r="A53" s="129" t="s">
        <v>206</v>
      </c>
      <c r="B53" s="129">
        <f>B51+B52</f>
        <v>4376458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>
        <v>320</v>
      </c>
      <c r="D59" s="137"/>
      <c r="E59" s="137">
        <v>3611</v>
      </c>
      <c r="F59" s="137"/>
      <c r="G59" s="137"/>
      <c r="H59" s="137"/>
      <c r="I59" s="137"/>
      <c r="J59" s="137">
        <v>162</v>
      </c>
      <c r="K59" s="137"/>
      <c r="L59" s="249">
        <v>127</v>
      </c>
      <c r="M59" s="137">
        <v>16183</v>
      </c>
      <c r="N59" s="137"/>
      <c r="O59" s="256">
        <v>87</v>
      </c>
      <c r="P59" s="138">
        <v>202480</v>
      </c>
      <c r="Q59" s="138">
        <v>42396</v>
      </c>
      <c r="R59" s="138">
        <v>201254</v>
      </c>
      <c r="S59" s="192"/>
      <c r="T59" s="192"/>
      <c r="U59" s="172">
        <v>275292</v>
      </c>
      <c r="V59" s="138"/>
      <c r="W59" s="138">
        <v>2482</v>
      </c>
      <c r="X59" s="138">
        <v>6915</v>
      </c>
      <c r="Y59" s="138">
        <v>27682</v>
      </c>
      <c r="Z59" s="138"/>
      <c r="AA59" s="138">
        <v>580</v>
      </c>
      <c r="AB59" s="192"/>
      <c r="AC59" s="138">
        <v>38682</v>
      </c>
      <c r="AD59" s="138"/>
      <c r="AE59" s="138">
        <f>86984+11867+3289</f>
        <v>102140</v>
      </c>
      <c r="AF59" s="138"/>
      <c r="AG59" s="138">
        <v>12074</v>
      </c>
      <c r="AH59" s="138"/>
      <c r="AI59" s="138"/>
      <c r="AJ59" s="138">
        <v>96734</v>
      </c>
      <c r="AK59" s="138"/>
      <c r="AL59" s="138"/>
      <c r="AM59" s="138"/>
      <c r="AN59" s="138"/>
      <c r="AO59" s="263">
        <v>8160</v>
      </c>
      <c r="AP59" s="138">
        <v>2051</v>
      </c>
      <c r="AQ59" s="138"/>
      <c r="AR59" s="138">
        <v>7790</v>
      </c>
      <c r="AS59" s="138"/>
      <c r="AT59" s="138"/>
      <c r="AU59" s="138"/>
      <c r="AV59" s="192"/>
      <c r="AW59" s="192"/>
      <c r="AX59" s="192"/>
      <c r="AY59" s="138">
        <v>15221</v>
      </c>
      <c r="AZ59" s="138"/>
      <c r="BA59" s="192"/>
      <c r="BB59" s="192"/>
      <c r="BC59" s="192"/>
      <c r="BD59" s="192"/>
      <c r="BE59" s="138">
        <v>140333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139">
        <v>8.7799999999999994</v>
      </c>
      <c r="D60" s="140"/>
      <c r="E60" s="235">
        <v>41.384213080656345</v>
      </c>
      <c r="F60" s="171"/>
      <c r="G60" s="140"/>
      <c r="H60" s="140"/>
      <c r="I60" s="140"/>
      <c r="J60" s="236">
        <v>1.8566165934827823</v>
      </c>
      <c r="K60" s="140"/>
      <c r="L60" s="250">
        <v>1.4554957245204527</v>
      </c>
      <c r="M60" s="140">
        <v>9.1300000000000008</v>
      </c>
      <c r="N60" s="140"/>
      <c r="O60" s="257">
        <v>0.99707187427779054</v>
      </c>
      <c r="P60" s="169">
        <v>18.940000000000001</v>
      </c>
      <c r="Q60" s="169">
        <v>2.95</v>
      </c>
      <c r="R60" s="169">
        <v>22.13</v>
      </c>
      <c r="S60" s="169">
        <v>3.78</v>
      </c>
      <c r="T60" s="169"/>
      <c r="U60" s="169">
        <v>26.64</v>
      </c>
      <c r="V60" s="169"/>
      <c r="W60" s="169">
        <v>1.65</v>
      </c>
      <c r="X60" s="169">
        <v>4.59</v>
      </c>
      <c r="Y60" s="169">
        <v>18.38</v>
      </c>
      <c r="Z60" s="169"/>
      <c r="AA60" s="169">
        <v>0.39</v>
      </c>
      <c r="AB60" s="169">
        <v>10.86</v>
      </c>
      <c r="AC60" s="169">
        <v>16.579999999999998</v>
      </c>
      <c r="AD60" s="169"/>
      <c r="AE60" s="169">
        <v>33.4</v>
      </c>
      <c r="AF60" s="169"/>
      <c r="AG60" s="169">
        <v>29.81</v>
      </c>
      <c r="AH60" s="169"/>
      <c r="AI60" s="169"/>
      <c r="AJ60" s="169">
        <v>171.77</v>
      </c>
      <c r="AK60" s="169"/>
      <c r="AL60" s="169"/>
      <c r="AM60" s="169"/>
      <c r="AN60" s="169"/>
      <c r="AO60" s="264">
        <v>3.8966027270626293</v>
      </c>
      <c r="AP60" s="169">
        <v>2.98</v>
      </c>
      <c r="AQ60" s="169"/>
      <c r="AR60" s="169">
        <v>25.23</v>
      </c>
      <c r="AS60" s="169"/>
      <c r="AT60" s="169"/>
      <c r="AU60" s="169"/>
      <c r="AV60" s="169">
        <v>3.27</v>
      </c>
      <c r="AW60" s="169"/>
      <c r="AX60" s="169"/>
      <c r="AY60" s="169">
        <v>15.94</v>
      </c>
      <c r="AZ60" s="169"/>
      <c r="BA60" s="169"/>
      <c r="BB60" s="169"/>
      <c r="BC60" s="169"/>
      <c r="BD60" s="169">
        <v>7.23</v>
      </c>
      <c r="BE60" s="169">
        <v>15.47</v>
      </c>
      <c r="BF60" s="169">
        <v>22.78</v>
      </c>
      <c r="BG60" s="169"/>
      <c r="BH60" s="169">
        <v>15.23</v>
      </c>
      <c r="BI60" s="169"/>
      <c r="BJ60" s="169"/>
      <c r="BK60" s="169">
        <v>27.15</v>
      </c>
      <c r="BL60" s="169">
        <v>14.41</v>
      </c>
      <c r="BM60" s="169"/>
      <c r="BN60" s="169"/>
      <c r="BO60" s="169">
        <v>0.3</v>
      </c>
      <c r="BP60" s="169"/>
      <c r="BQ60" s="169"/>
      <c r="BR60" s="169">
        <v>9.3800000000000008</v>
      </c>
      <c r="BS60" s="169"/>
      <c r="BT60" s="169"/>
      <c r="BU60" s="169"/>
      <c r="BV60" s="169">
        <v>11.14</v>
      </c>
      <c r="BW60" s="169"/>
      <c r="BX60" s="169"/>
      <c r="BY60" s="169">
        <v>20.97</v>
      </c>
      <c r="BZ60" s="169"/>
      <c r="CA60" s="169"/>
      <c r="CB60" s="169"/>
      <c r="CC60" s="169">
        <v>31.44</v>
      </c>
      <c r="CD60" s="191" t="s">
        <v>221</v>
      </c>
      <c r="CE60" s="194">
        <f t="shared" ref="CE60:CE70" si="0">SUM(C60:CD60)</f>
        <v>652.29000000000008</v>
      </c>
    </row>
    <row r="61" spans="1:83" ht="12.65" customHeight="1" x14ac:dyDescent="0.3">
      <c r="A61" s="127" t="s">
        <v>235</v>
      </c>
      <c r="B61" s="129"/>
      <c r="C61" s="137">
        <v>1000475</v>
      </c>
      <c r="D61" s="137"/>
      <c r="E61" s="237">
        <v>5717146.0016177492</v>
      </c>
      <c r="F61" s="138"/>
      <c r="G61" s="137"/>
      <c r="H61" s="137"/>
      <c r="I61" s="138"/>
      <c r="J61" s="248">
        <v>256487.85717587243</v>
      </c>
      <c r="K61" s="138"/>
      <c r="L61" s="249">
        <v>201073.81395886294</v>
      </c>
      <c r="M61" s="137">
        <v>1272422</v>
      </c>
      <c r="N61" s="137"/>
      <c r="O61" s="256">
        <v>137743.47885370927</v>
      </c>
      <c r="P61" s="138">
        <v>1529840</v>
      </c>
      <c r="Q61" s="138">
        <v>669501</v>
      </c>
      <c r="R61" s="138">
        <v>1251534</v>
      </c>
      <c r="S61" s="138">
        <v>142447</v>
      </c>
      <c r="T61" s="138"/>
      <c r="U61" s="138">
        <v>1820987</v>
      </c>
      <c r="V61" s="138"/>
      <c r="W61" s="138">
        <v>142747</v>
      </c>
      <c r="X61" s="138">
        <v>397701</v>
      </c>
      <c r="Y61" s="138">
        <v>1592071</v>
      </c>
      <c r="Z61" s="138"/>
      <c r="AA61" s="138">
        <v>33357</v>
      </c>
      <c r="AB61" s="138">
        <v>1269340</v>
      </c>
      <c r="AC61" s="138">
        <v>1243103</v>
      </c>
      <c r="AD61" s="138"/>
      <c r="AE61" s="138">
        <v>3001390</v>
      </c>
      <c r="AF61" s="138"/>
      <c r="AG61" s="138">
        <v>4685867</v>
      </c>
      <c r="AH61" s="138"/>
      <c r="AI61" s="138"/>
      <c r="AJ61" s="138">
        <v>24197638</v>
      </c>
      <c r="AK61" s="138"/>
      <c r="AL61" s="138"/>
      <c r="AM61" s="138"/>
      <c r="AN61" s="138"/>
      <c r="AO61" s="263">
        <v>538307.84839380626</v>
      </c>
      <c r="AP61" s="138">
        <v>271236</v>
      </c>
      <c r="AQ61" s="138"/>
      <c r="AR61" s="138">
        <v>2033262</v>
      </c>
      <c r="AS61" s="138"/>
      <c r="AT61" s="138"/>
      <c r="AU61" s="138"/>
      <c r="AV61" s="138">
        <v>2113818</v>
      </c>
      <c r="AW61" s="138"/>
      <c r="AX61" s="138"/>
      <c r="AY61" s="138">
        <v>809747</v>
      </c>
      <c r="AZ61" s="138"/>
      <c r="BA61" s="138"/>
      <c r="BB61" s="138"/>
      <c r="BC61" s="138"/>
      <c r="BD61" s="138">
        <v>348439</v>
      </c>
      <c r="BE61" s="138">
        <v>1092142</v>
      </c>
      <c r="BF61" s="138">
        <v>1042365</v>
      </c>
      <c r="BG61" s="138"/>
      <c r="BH61" s="138">
        <v>1371642</v>
      </c>
      <c r="BI61" s="138"/>
      <c r="BJ61" s="138"/>
      <c r="BK61" s="138">
        <v>1184640</v>
      </c>
      <c r="BL61" s="138">
        <v>724464</v>
      </c>
      <c r="BM61" s="138"/>
      <c r="BN61" s="138"/>
      <c r="BO61" s="138">
        <v>21920</v>
      </c>
      <c r="BP61" s="138"/>
      <c r="BQ61" s="138"/>
      <c r="BR61" s="138">
        <v>977336</v>
      </c>
      <c r="BS61" s="138"/>
      <c r="BT61" s="138"/>
      <c r="BU61" s="138"/>
      <c r="BV61" s="138">
        <v>554055</v>
      </c>
      <c r="BW61" s="138"/>
      <c r="BX61" s="138"/>
      <c r="BY61" s="138">
        <v>1947570</v>
      </c>
      <c r="BZ61" s="138"/>
      <c r="CA61" s="138"/>
      <c r="CB61" s="138"/>
      <c r="CC61" s="138">
        <v>4977218</v>
      </c>
      <c r="CD61" s="191" t="s">
        <v>221</v>
      </c>
      <c r="CE61" s="129">
        <f t="shared" si="0"/>
        <v>70571033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225657</v>
      </c>
      <c r="D62" s="129">
        <f t="shared" si="1"/>
        <v>0</v>
      </c>
      <c r="E62" s="129">
        <f t="shared" si="1"/>
        <v>1289503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57851</v>
      </c>
      <c r="K62" s="129">
        <f t="shared" si="1"/>
        <v>0</v>
      </c>
      <c r="L62" s="129">
        <f t="shared" si="1"/>
        <v>45352</v>
      </c>
      <c r="M62" s="129">
        <f t="shared" si="1"/>
        <v>286995</v>
      </c>
      <c r="N62" s="129">
        <f t="shared" si="1"/>
        <v>0</v>
      </c>
      <c r="O62" s="129">
        <f t="shared" si="1"/>
        <v>31068</v>
      </c>
      <c r="P62" s="129">
        <f t="shared" si="1"/>
        <v>345056</v>
      </c>
      <c r="Q62" s="129">
        <f t="shared" si="1"/>
        <v>151006</v>
      </c>
      <c r="R62" s="129">
        <f t="shared" si="1"/>
        <v>282284</v>
      </c>
      <c r="S62" s="129">
        <f t="shared" si="1"/>
        <v>32129</v>
      </c>
      <c r="T62" s="129">
        <f t="shared" si="1"/>
        <v>0</v>
      </c>
      <c r="U62" s="129">
        <f t="shared" si="1"/>
        <v>410724</v>
      </c>
      <c r="V62" s="129">
        <f t="shared" si="1"/>
        <v>0</v>
      </c>
      <c r="W62" s="129">
        <f t="shared" si="1"/>
        <v>32197</v>
      </c>
      <c r="X62" s="129">
        <f t="shared" si="1"/>
        <v>89702</v>
      </c>
      <c r="Y62" s="129">
        <f t="shared" si="1"/>
        <v>359092</v>
      </c>
      <c r="Z62" s="129">
        <f t="shared" si="1"/>
        <v>0</v>
      </c>
      <c r="AA62" s="129">
        <f t="shared" si="1"/>
        <v>7524</v>
      </c>
      <c r="AB62" s="129">
        <f t="shared" si="1"/>
        <v>286300</v>
      </c>
      <c r="AC62" s="129">
        <f t="shared" si="1"/>
        <v>280382</v>
      </c>
      <c r="AD62" s="129">
        <f t="shared" si="1"/>
        <v>0</v>
      </c>
      <c r="AE62" s="129">
        <f t="shared" si="1"/>
        <v>676964</v>
      </c>
      <c r="AF62" s="129">
        <f t="shared" si="1"/>
        <v>0</v>
      </c>
      <c r="AG62" s="129">
        <f t="shared" si="1"/>
        <v>1056898</v>
      </c>
      <c r="AH62" s="129">
        <f t="shared" si="1"/>
        <v>0</v>
      </c>
      <c r="AI62" s="129">
        <f t="shared" si="1"/>
        <v>0</v>
      </c>
      <c r="AJ62" s="129">
        <f t="shared" si="1"/>
        <v>5457781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121415</v>
      </c>
      <c r="AP62" s="129">
        <f t="shared" si="1"/>
        <v>61177</v>
      </c>
      <c r="AQ62" s="129">
        <f t="shared" si="1"/>
        <v>0</v>
      </c>
      <c r="AR62" s="129">
        <f t="shared" si="1"/>
        <v>458603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476772</v>
      </c>
      <c r="AW62" s="129">
        <f t="shared" si="1"/>
        <v>0</v>
      </c>
      <c r="AX62" s="129">
        <f t="shared" si="1"/>
        <v>0</v>
      </c>
      <c r="AY62" s="129">
        <f>ROUND(AY47+AY48,0)</f>
        <v>182639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78590</v>
      </c>
      <c r="BE62" s="129">
        <f t="shared" si="1"/>
        <v>246333</v>
      </c>
      <c r="BF62" s="129">
        <f t="shared" si="1"/>
        <v>235106</v>
      </c>
      <c r="BG62" s="129">
        <f t="shared" si="1"/>
        <v>0</v>
      </c>
      <c r="BH62" s="129">
        <f t="shared" si="1"/>
        <v>309374</v>
      </c>
      <c r="BI62" s="129">
        <f t="shared" si="1"/>
        <v>0</v>
      </c>
      <c r="BJ62" s="129">
        <f t="shared" si="1"/>
        <v>0</v>
      </c>
      <c r="BK62" s="129">
        <f t="shared" si="1"/>
        <v>267196</v>
      </c>
      <c r="BL62" s="129">
        <f t="shared" si="1"/>
        <v>163403</v>
      </c>
      <c r="BM62" s="129">
        <f t="shared" si="1"/>
        <v>0</v>
      </c>
      <c r="BN62" s="129">
        <f t="shared" si="1"/>
        <v>0</v>
      </c>
      <c r="BO62" s="129">
        <f t="shared" ref="BO62:CC62" si="2">ROUND(BO47+BO48,0)</f>
        <v>4944</v>
      </c>
      <c r="BP62" s="129">
        <f t="shared" si="2"/>
        <v>0</v>
      </c>
      <c r="BQ62" s="129">
        <f t="shared" si="2"/>
        <v>0</v>
      </c>
      <c r="BR62" s="129">
        <f t="shared" si="2"/>
        <v>220438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124967</v>
      </c>
      <c r="BW62" s="129">
        <f t="shared" si="2"/>
        <v>0</v>
      </c>
      <c r="BX62" s="129">
        <f t="shared" si="2"/>
        <v>0</v>
      </c>
      <c r="BY62" s="129">
        <f t="shared" si="2"/>
        <v>439275</v>
      </c>
      <c r="BZ62" s="129">
        <f t="shared" si="2"/>
        <v>0</v>
      </c>
      <c r="CA62" s="129">
        <f t="shared" si="2"/>
        <v>0</v>
      </c>
      <c r="CB62" s="129">
        <f t="shared" si="2"/>
        <v>0</v>
      </c>
      <c r="CC62" s="129">
        <f t="shared" si="2"/>
        <v>1122612</v>
      </c>
      <c r="CD62" s="191" t="s">
        <v>221</v>
      </c>
      <c r="CE62" s="129">
        <f t="shared" si="0"/>
        <v>15917309</v>
      </c>
    </row>
    <row r="63" spans="1:83" ht="12.65" customHeight="1" x14ac:dyDescent="0.3">
      <c r="A63" s="127" t="s">
        <v>236</v>
      </c>
      <c r="B63" s="129"/>
      <c r="C63" s="137">
        <v>51431</v>
      </c>
      <c r="D63" s="137"/>
      <c r="E63" s="238">
        <v>6258.9553963485096</v>
      </c>
      <c r="F63" s="138"/>
      <c r="G63" s="137"/>
      <c r="H63" s="137"/>
      <c r="I63" s="138"/>
      <c r="J63" s="247">
        <v>280.79500808874508</v>
      </c>
      <c r="K63" s="138"/>
      <c r="L63" s="251">
        <v>220.12941992142362</v>
      </c>
      <c r="M63" s="137"/>
      <c r="N63" s="137"/>
      <c r="O63" s="258">
        <v>150.79731915877051</v>
      </c>
      <c r="P63" s="138">
        <v>1340</v>
      </c>
      <c r="Q63" s="138"/>
      <c r="R63" s="138"/>
      <c r="S63" s="138">
        <v>19912</v>
      </c>
      <c r="T63" s="138"/>
      <c r="U63" s="138">
        <v>372280</v>
      </c>
      <c r="V63" s="138"/>
      <c r="W63" s="138">
        <v>2540</v>
      </c>
      <c r="X63" s="138">
        <v>7077</v>
      </c>
      <c r="Y63" s="138">
        <v>28332</v>
      </c>
      <c r="Z63" s="138"/>
      <c r="AA63" s="138">
        <v>594</v>
      </c>
      <c r="AB63" s="138">
        <v>750975</v>
      </c>
      <c r="AC63" s="138">
        <v>151159</v>
      </c>
      <c r="AD63" s="138"/>
      <c r="AE63" s="138">
        <v>9250</v>
      </c>
      <c r="AF63" s="138"/>
      <c r="AG63" s="138">
        <v>194554</v>
      </c>
      <c r="AH63" s="138"/>
      <c r="AI63" s="138"/>
      <c r="AJ63" s="138">
        <v>460885</v>
      </c>
      <c r="AK63" s="138"/>
      <c r="AL63" s="138"/>
      <c r="AM63" s="138"/>
      <c r="AN63" s="138"/>
      <c r="AO63" s="265">
        <v>589.3228564825514</v>
      </c>
      <c r="AP63" s="138">
        <v>507700</v>
      </c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>
        <v>1216</v>
      </c>
      <c r="BF63" s="138"/>
      <c r="BG63" s="138"/>
      <c r="BH63" s="138"/>
      <c r="BI63" s="138"/>
      <c r="BJ63" s="138"/>
      <c r="BK63" s="138">
        <v>35361</v>
      </c>
      <c r="BL63" s="138"/>
      <c r="BM63" s="138"/>
      <c r="BN63" s="138"/>
      <c r="BO63" s="138"/>
      <c r="BP63" s="138"/>
      <c r="BQ63" s="138"/>
      <c r="BR63" s="138">
        <v>203090</v>
      </c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>
        <v>264390</v>
      </c>
      <c r="CD63" s="191" t="s">
        <v>221</v>
      </c>
      <c r="CE63" s="129">
        <f t="shared" si="0"/>
        <v>3069586</v>
      </c>
    </row>
    <row r="64" spans="1:83" ht="12.65" customHeight="1" x14ac:dyDescent="0.3">
      <c r="A64" s="127" t="s">
        <v>237</v>
      </c>
      <c r="B64" s="129"/>
      <c r="C64" s="137">
        <v>82884</v>
      </c>
      <c r="D64" s="137"/>
      <c r="E64" s="238">
        <v>339387.26646637393</v>
      </c>
      <c r="F64" s="138"/>
      <c r="G64" s="137"/>
      <c r="H64" s="137"/>
      <c r="I64" s="138"/>
      <c r="J64" s="247">
        <v>15225.903397272936</v>
      </c>
      <c r="K64" s="138"/>
      <c r="L64" s="251">
        <v>11936.356366997919</v>
      </c>
      <c r="M64" s="137">
        <v>-4915</v>
      </c>
      <c r="N64" s="137"/>
      <c r="O64" s="258">
        <v>8176.8740466836143</v>
      </c>
      <c r="P64" s="138">
        <v>629534</v>
      </c>
      <c r="Q64" s="138">
        <v>31788</v>
      </c>
      <c r="R64" s="138">
        <v>78961</v>
      </c>
      <c r="S64" s="138">
        <v>3363073</v>
      </c>
      <c r="T64" s="138"/>
      <c r="U64" s="138">
        <v>1960189</v>
      </c>
      <c r="V64" s="138"/>
      <c r="W64" s="138">
        <v>27929</v>
      </c>
      <c r="X64" s="138">
        <v>77811</v>
      </c>
      <c r="Y64" s="138">
        <v>311490</v>
      </c>
      <c r="Z64" s="138"/>
      <c r="AA64" s="138">
        <v>6526</v>
      </c>
      <c r="AB64" s="138">
        <v>17540294</v>
      </c>
      <c r="AC64" s="138">
        <v>89411</v>
      </c>
      <c r="AD64" s="138"/>
      <c r="AE64" s="138">
        <v>82985</v>
      </c>
      <c r="AF64" s="138"/>
      <c r="AG64" s="138">
        <v>260617</v>
      </c>
      <c r="AH64" s="138"/>
      <c r="AI64" s="138"/>
      <c r="AJ64" s="138">
        <v>1676171</v>
      </c>
      <c r="AK64" s="138"/>
      <c r="AL64" s="138"/>
      <c r="AM64" s="138"/>
      <c r="AN64" s="138"/>
      <c r="AO64" s="265">
        <v>31955.599722671595</v>
      </c>
      <c r="AP64" s="138">
        <v>982</v>
      </c>
      <c r="AQ64" s="138"/>
      <c r="AR64" s="138">
        <v>118870</v>
      </c>
      <c r="AS64" s="138"/>
      <c r="AT64" s="138"/>
      <c r="AU64" s="138"/>
      <c r="AV64" s="138">
        <v>296728</v>
      </c>
      <c r="AW64" s="138"/>
      <c r="AX64" s="138"/>
      <c r="AY64" s="138">
        <v>387710</v>
      </c>
      <c r="AZ64" s="138"/>
      <c r="BA64" s="138">
        <v>44620</v>
      </c>
      <c r="BB64" s="138"/>
      <c r="BC64" s="138"/>
      <c r="BD64" s="138"/>
      <c r="BE64" s="138">
        <v>88989</v>
      </c>
      <c r="BF64" s="138">
        <v>195691</v>
      </c>
      <c r="BG64" s="138">
        <v>12569</v>
      </c>
      <c r="BH64" s="138">
        <v>254656</v>
      </c>
      <c r="BI64" s="138"/>
      <c r="BJ64" s="138"/>
      <c r="BK64" s="138">
        <v>31090</v>
      </c>
      <c r="BL64" s="138">
        <v>16667</v>
      </c>
      <c r="BM64" s="138"/>
      <c r="BN64" s="138"/>
      <c r="BO64" s="138">
        <v>29874</v>
      </c>
      <c r="BP64" s="138"/>
      <c r="BQ64" s="138"/>
      <c r="BR64" s="138">
        <v>20203</v>
      </c>
      <c r="BS64" s="138"/>
      <c r="BT64" s="138"/>
      <c r="BU64" s="138"/>
      <c r="BV64" s="138">
        <v>7975</v>
      </c>
      <c r="BW64" s="138"/>
      <c r="BX64" s="138"/>
      <c r="BY64" s="138">
        <v>237686</v>
      </c>
      <c r="BZ64" s="138"/>
      <c r="CA64" s="138"/>
      <c r="CB64" s="138"/>
      <c r="CC64" s="138">
        <v>73898</v>
      </c>
      <c r="CD64" s="191" t="s">
        <v>221</v>
      </c>
      <c r="CE64" s="129">
        <f t="shared" si="0"/>
        <v>28439638</v>
      </c>
    </row>
    <row r="65" spans="1:84" ht="12.65" customHeight="1" x14ac:dyDescent="0.3">
      <c r="A65" s="127" t="s">
        <v>238</v>
      </c>
      <c r="B65" s="129"/>
      <c r="C65" s="137"/>
      <c r="D65" s="137"/>
      <c r="E65" s="238">
        <v>0</v>
      </c>
      <c r="F65" s="137"/>
      <c r="G65" s="137"/>
      <c r="H65" s="137"/>
      <c r="I65" s="138"/>
      <c r="J65" s="247">
        <v>0</v>
      </c>
      <c r="K65" s="138"/>
      <c r="L65" s="251">
        <v>0</v>
      </c>
      <c r="M65" s="137">
        <v>2491</v>
      </c>
      <c r="N65" s="137"/>
      <c r="O65" s="258">
        <v>0</v>
      </c>
      <c r="P65" s="138">
        <v>5966</v>
      </c>
      <c r="Q65" s="138"/>
      <c r="R65" s="138"/>
      <c r="S65" s="138">
        <v>2965</v>
      </c>
      <c r="T65" s="138"/>
      <c r="U65" s="138">
        <v>364</v>
      </c>
      <c r="V65" s="138"/>
      <c r="W65" s="138"/>
      <c r="X65" s="138"/>
      <c r="Y65" s="138"/>
      <c r="Z65" s="138"/>
      <c r="AA65" s="138"/>
      <c r="AB65" s="138">
        <v>12274</v>
      </c>
      <c r="AC65" s="138"/>
      <c r="AD65" s="138"/>
      <c r="AE65" s="138"/>
      <c r="AF65" s="138"/>
      <c r="AG65" s="138"/>
      <c r="AH65" s="138"/>
      <c r="AI65" s="138"/>
      <c r="AJ65" s="138">
        <v>129237</v>
      </c>
      <c r="AK65" s="138"/>
      <c r="AL65" s="138"/>
      <c r="AM65" s="138"/>
      <c r="AN65" s="138"/>
      <c r="AO65" s="265">
        <v>0</v>
      </c>
      <c r="AP65" s="138">
        <v>8670</v>
      </c>
      <c r="AQ65" s="138"/>
      <c r="AR65" s="138">
        <v>2421</v>
      </c>
      <c r="AS65" s="138"/>
      <c r="AT65" s="138"/>
      <c r="AU65" s="138"/>
      <c r="AV65" s="138"/>
      <c r="AW65" s="138"/>
      <c r="AX65" s="138"/>
      <c r="AY65" s="138">
        <v>1676</v>
      </c>
      <c r="AZ65" s="138"/>
      <c r="BA65" s="138"/>
      <c r="BB65" s="138"/>
      <c r="BC65" s="138"/>
      <c r="BD65" s="138"/>
      <c r="BE65" s="138">
        <v>803985</v>
      </c>
      <c r="BF65" s="138">
        <v>56</v>
      </c>
      <c r="BG65" s="138">
        <v>196890</v>
      </c>
      <c r="BH65" s="138"/>
      <c r="BI65" s="138"/>
      <c r="BJ65" s="138"/>
      <c r="BK65" s="138">
        <v>3684</v>
      </c>
      <c r="BL65" s="138"/>
      <c r="BM65" s="138"/>
      <c r="BN65" s="138"/>
      <c r="BO65" s="138"/>
      <c r="BP65" s="138"/>
      <c r="BQ65" s="138"/>
      <c r="BR65" s="138">
        <v>3697</v>
      </c>
      <c r="BS65" s="138"/>
      <c r="BT65" s="138"/>
      <c r="BU65" s="138"/>
      <c r="BV65" s="138">
        <v>6459</v>
      </c>
      <c r="BW65" s="138"/>
      <c r="BX65" s="138"/>
      <c r="BY65" s="138">
        <v>1671</v>
      </c>
      <c r="BZ65" s="138"/>
      <c r="CA65" s="138"/>
      <c r="CB65" s="138"/>
      <c r="CC65" s="138">
        <v>9849</v>
      </c>
      <c r="CD65" s="191" t="s">
        <v>221</v>
      </c>
      <c r="CE65" s="129">
        <f t="shared" si="0"/>
        <v>1192355</v>
      </c>
    </row>
    <row r="66" spans="1:84" ht="12.65" customHeight="1" x14ac:dyDescent="0.3">
      <c r="A66" s="127" t="s">
        <v>239</v>
      </c>
      <c r="B66" s="129"/>
      <c r="C66" s="137"/>
      <c r="D66" s="137"/>
      <c r="E66" s="238">
        <v>8629.0131730991452</v>
      </c>
      <c r="F66" s="137"/>
      <c r="G66" s="137"/>
      <c r="H66" s="137"/>
      <c r="I66" s="137"/>
      <c r="J66" s="247">
        <v>387.12271781834988</v>
      </c>
      <c r="K66" s="138"/>
      <c r="L66" s="251">
        <v>303.48509359833599</v>
      </c>
      <c r="M66" s="137">
        <v>264731</v>
      </c>
      <c r="N66" s="137"/>
      <c r="O66" s="258">
        <v>207.89923734689162</v>
      </c>
      <c r="P66" s="138">
        <v>107437</v>
      </c>
      <c r="Q66" s="138"/>
      <c r="R66" s="138">
        <v>4356</v>
      </c>
      <c r="S66" s="137">
        <v>5969</v>
      </c>
      <c r="T66" s="137"/>
      <c r="U66" s="138">
        <v>2569293</v>
      </c>
      <c r="V66" s="138"/>
      <c r="W66" s="138">
        <v>17975</v>
      </c>
      <c r="X66" s="138">
        <v>50079</v>
      </c>
      <c r="Y66" s="138">
        <v>200473</v>
      </c>
      <c r="Z66" s="138"/>
      <c r="AA66" s="138">
        <v>4200</v>
      </c>
      <c r="AB66" s="138">
        <v>225053</v>
      </c>
      <c r="AC66" s="138">
        <v>12474</v>
      </c>
      <c r="AD66" s="138"/>
      <c r="AE66" s="138">
        <v>1589</v>
      </c>
      <c r="AF66" s="138"/>
      <c r="AG66" s="138">
        <v>91270</v>
      </c>
      <c r="AH66" s="138"/>
      <c r="AI66" s="138"/>
      <c r="AJ66" s="138">
        <v>420403</v>
      </c>
      <c r="AK66" s="138"/>
      <c r="AL66" s="138"/>
      <c r="AM66" s="138"/>
      <c r="AN66" s="138"/>
      <c r="AO66" s="265">
        <v>812.47977813727755</v>
      </c>
      <c r="AP66" s="138">
        <v>451788</v>
      </c>
      <c r="AQ66" s="138"/>
      <c r="AR66" s="138">
        <v>38906</v>
      </c>
      <c r="AS66" s="138"/>
      <c r="AT66" s="138"/>
      <c r="AU66" s="138"/>
      <c r="AV66" s="138">
        <v>99555</v>
      </c>
      <c r="AW66" s="138"/>
      <c r="AX66" s="138"/>
      <c r="AY66" s="138">
        <v>23571</v>
      </c>
      <c r="AZ66" s="138"/>
      <c r="BA66" s="138">
        <v>341475</v>
      </c>
      <c r="BB66" s="138"/>
      <c r="BC66" s="138"/>
      <c r="BD66" s="138"/>
      <c r="BE66" s="138">
        <v>379694</v>
      </c>
      <c r="BF66" s="138">
        <v>19883</v>
      </c>
      <c r="BG66" s="138">
        <v>51524</v>
      </c>
      <c r="BH66" s="138">
        <v>1865132</v>
      </c>
      <c r="BI66" s="138"/>
      <c r="BJ66" s="138"/>
      <c r="BK66" s="138">
        <v>493938</v>
      </c>
      <c r="BL66" s="138">
        <v>2249</v>
      </c>
      <c r="BM66" s="138"/>
      <c r="BN66" s="138"/>
      <c r="BO66" s="138">
        <v>3777</v>
      </c>
      <c r="BP66" s="138"/>
      <c r="BQ66" s="138"/>
      <c r="BR66" s="138">
        <v>49894</v>
      </c>
      <c r="BS66" s="138"/>
      <c r="BT66" s="138"/>
      <c r="BU66" s="138"/>
      <c r="BV66" s="138">
        <v>114549</v>
      </c>
      <c r="BW66" s="138"/>
      <c r="BX66" s="138"/>
      <c r="BY66" s="138">
        <v>223370</v>
      </c>
      <c r="BZ66" s="138"/>
      <c r="CA66" s="138"/>
      <c r="CB66" s="138"/>
      <c r="CC66" s="138">
        <v>476492</v>
      </c>
      <c r="CD66" s="191" t="s">
        <v>221</v>
      </c>
      <c r="CE66" s="129">
        <f t="shared" si="0"/>
        <v>8621439</v>
      </c>
    </row>
    <row r="67" spans="1:84" ht="12.65" customHeight="1" x14ac:dyDescent="0.3">
      <c r="A67" s="127" t="s">
        <v>6</v>
      </c>
      <c r="B67" s="129"/>
      <c r="C67" s="129">
        <f>ROUND(C51+C52,0)</f>
        <v>81240</v>
      </c>
      <c r="D67" s="129">
        <f>ROUND(D51+D52,0)</f>
        <v>0</v>
      </c>
      <c r="E67" s="129">
        <f t="shared" ref="E67:BP67" si="3">ROUND(E51+E52,0)</f>
        <v>293244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13161</v>
      </c>
      <c r="K67" s="129">
        <f t="shared" si="3"/>
        <v>0</v>
      </c>
      <c r="L67" s="129">
        <f t="shared" si="3"/>
        <v>10323</v>
      </c>
      <c r="M67" s="129">
        <f t="shared" si="3"/>
        <v>0</v>
      </c>
      <c r="N67" s="129">
        <f t="shared" si="3"/>
        <v>0</v>
      </c>
      <c r="O67" s="129">
        <f t="shared" si="3"/>
        <v>7079</v>
      </c>
      <c r="P67" s="129">
        <f t="shared" si="3"/>
        <v>372738</v>
      </c>
      <c r="Q67" s="129">
        <f t="shared" si="3"/>
        <v>18369</v>
      </c>
      <c r="R67" s="129">
        <f t="shared" si="3"/>
        <v>4241</v>
      </c>
      <c r="S67" s="129">
        <f t="shared" si="3"/>
        <v>99203</v>
      </c>
      <c r="T67" s="129">
        <f t="shared" si="3"/>
        <v>0</v>
      </c>
      <c r="U67" s="129">
        <f t="shared" si="3"/>
        <v>122281</v>
      </c>
      <c r="V67" s="129">
        <f t="shared" si="3"/>
        <v>0</v>
      </c>
      <c r="W67" s="129">
        <f t="shared" si="3"/>
        <v>13566</v>
      </c>
      <c r="X67" s="129">
        <f t="shared" si="3"/>
        <v>37829</v>
      </c>
      <c r="Y67" s="129">
        <f t="shared" si="3"/>
        <v>151409</v>
      </c>
      <c r="Z67" s="129">
        <f t="shared" si="3"/>
        <v>0</v>
      </c>
      <c r="AA67" s="129">
        <f t="shared" si="3"/>
        <v>3181</v>
      </c>
      <c r="AB67" s="129">
        <f t="shared" si="3"/>
        <v>46998</v>
      </c>
      <c r="AC67" s="129">
        <f t="shared" si="3"/>
        <v>119131</v>
      </c>
      <c r="AD67" s="129">
        <f t="shared" si="3"/>
        <v>0</v>
      </c>
      <c r="AE67" s="129">
        <f t="shared" si="3"/>
        <v>202336</v>
      </c>
      <c r="AF67" s="129">
        <f t="shared" si="3"/>
        <v>0</v>
      </c>
      <c r="AG67" s="129">
        <f t="shared" si="3"/>
        <v>198033</v>
      </c>
      <c r="AH67" s="129">
        <f t="shared" si="3"/>
        <v>0</v>
      </c>
      <c r="AI67" s="129">
        <f t="shared" si="3"/>
        <v>0</v>
      </c>
      <c r="AJ67" s="129">
        <f t="shared" si="3"/>
        <v>973135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27600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121190</v>
      </c>
      <c r="AW67" s="129">
        <f t="shared" si="3"/>
        <v>0</v>
      </c>
      <c r="AX67" s="129">
        <f t="shared" si="3"/>
        <v>0</v>
      </c>
      <c r="AY67" s="129">
        <f t="shared" si="3"/>
        <v>121252</v>
      </c>
      <c r="AZ67" s="129">
        <f>ROUND(AZ51+AZ52,0)</f>
        <v>0</v>
      </c>
      <c r="BA67" s="129">
        <f>ROUND(BA51+BA52,0)</f>
        <v>0</v>
      </c>
      <c r="BB67" s="129">
        <f t="shared" si="3"/>
        <v>0</v>
      </c>
      <c r="BC67" s="129">
        <f t="shared" si="3"/>
        <v>0</v>
      </c>
      <c r="BD67" s="129">
        <f t="shared" si="3"/>
        <v>0</v>
      </c>
      <c r="BE67" s="129">
        <f t="shared" si="3"/>
        <v>356209</v>
      </c>
      <c r="BF67" s="129">
        <f t="shared" si="3"/>
        <v>97270</v>
      </c>
      <c r="BG67" s="129">
        <f t="shared" si="3"/>
        <v>0</v>
      </c>
      <c r="BH67" s="129">
        <f t="shared" si="3"/>
        <v>203677</v>
      </c>
      <c r="BI67" s="129">
        <f t="shared" si="3"/>
        <v>0</v>
      </c>
      <c r="BJ67" s="129">
        <f t="shared" si="3"/>
        <v>0</v>
      </c>
      <c r="BK67" s="129">
        <f t="shared" si="3"/>
        <v>51270</v>
      </c>
      <c r="BL67" s="129">
        <f t="shared" si="3"/>
        <v>61780</v>
      </c>
      <c r="BM67" s="129">
        <f t="shared" si="3"/>
        <v>0</v>
      </c>
      <c r="BN67" s="129">
        <f t="shared" si="3"/>
        <v>0</v>
      </c>
      <c r="BO67" s="129">
        <f t="shared" si="3"/>
        <v>7578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49867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0</v>
      </c>
      <c r="BW67" s="129">
        <f t="shared" si="4"/>
        <v>0</v>
      </c>
      <c r="BX67" s="129">
        <f t="shared" si="4"/>
        <v>0</v>
      </c>
      <c r="BY67" s="129">
        <f t="shared" si="4"/>
        <v>53983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457409</v>
      </c>
      <c r="CD67" s="191" t="s">
        <v>221</v>
      </c>
      <c r="CE67" s="129">
        <f t="shared" si="0"/>
        <v>4376582</v>
      </c>
    </row>
    <row r="68" spans="1:84" ht="12.65" customHeight="1" x14ac:dyDescent="0.3">
      <c r="A68" s="127" t="s">
        <v>240</v>
      </c>
      <c r="B68" s="129"/>
      <c r="C68" s="137"/>
      <c r="D68" s="137"/>
      <c r="E68" s="137"/>
      <c r="F68" s="137"/>
      <c r="G68" s="137"/>
      <c r="H68" s="137"/>
      <c r="I68" s="137"/>
      <c r="J68" s="137"/>
      <c r="K68" s="138"/>
      <c r="L68" s="138"/>
      <c r="M68" s="137">
        <v>39177</v>
      </c>
      <c r="N68" s="137"/>
      <c r="O68" s="137"/>
      <c r="P68" s="138">
        <v>256344</v>
      </c>
      <c r="Q68" s="138"/>
      <c r="R68" s="138">
        <v>1564</v>
      </c>
      <c r="S68" s="138">
        <v>39848</v>
      </c>
      <c r="T68" s="138"/>
      <c r="U68" s="138">
        <v>172731</v>
      </c>
      <c r="V68" s="138"/>
      <c r="W68" s="138">
        <v>17791</v>
      </c>
      <c r="X68" s="138">
        <v>49565</v>
      </c>
      <c r="Y68" s="138">
        <v>198420</v>
      </c>
      <c r="Z68" s="138"/>
      <c r="AA68" s="138">
        <v>4157</v>
      </c>
      <c r="AB68" s="138">
        <v>266989</v>
      </c>
      <c r="AC68" s="138">
        <v>32728</v>
      </c>
      <c r="AD68" s="138"/>
      <c r="AE68" s="138"/>
      <c r="AF68" s="138"/>
      <c r="AG68" s="138">
        <v>683</v>
      </c>
      <c r="AH68" s="138"/>
      <c r="AI68" s="138"/>
      <c r="AJ68" s="138">
        <v>250063</v>
      </c>
      <c r="AK68" s="138"/>
      <c r="AL68" s="138"/>
      <c r="AM68" s="138"/>
      <c r="AN68" s="138"/>
      <c r="AO68" s="138"/>
      <c r="AP68" s="138">
        <v>100365</v>
      </c>
      <c r="AQ68" s="138"/>
      <c r="AR68" s="138">
        <v>39485</v>
      </c>
      <c r="AS68" s="138"/>
      <c r="AT68" s="138"/>
      <c r="AU68" s="138"/>
      <c r="AV68" s="138"/>
      <c r="AW68" s="138"/>
      <c r="AX68" s="138"/>
      <c r="AY68" s="138">
        <v>11369</v>
      </c>
      <c r="AZ68" s="138"/>
      <c r="BA68" s="138"/>
      <c r="BB68" s="138"/>
      <c r="BC68" s="138"/>
      <c r="BD68" s="138"/>
      <c r="BE68" s="138">
        <v>220</v>
      </c>
      <c r="BF68" s="138"/>
      <c r="BG68" s="138"/>
      <c r="BH68" s="138"/>
      <c r="BI68" s="138"/>
      <c r="BJ68" s="138"/>
      <c r="BK68" s="138">
        <v>25138</v>
      </c>
      <c r="BL68" s="138"/>
      <c r="BM68" s="138"/>
      <c r="BN68" s="138"/>
      <c r="BO68" s="138"/>
      <c r="BP68" s="138"/>
      <c r="BQ68" s="138"/>
      <c r="BR68" s="138"/>
      <c r="BS68" s="138"/>
      <c r="BT68" s="138"/>
      <c r="BU68" s="138"/>
      <c r="BV68" s="138">
        <v>23086</v>
      </c>
      <c r="BW68" s="138"/>
      <c r="BX68" s="138"/>
      <c r="BY68" s="138"/>
      <c r="BZ68" s="138"/>
      <c r="CA68" s="138"/>
      <c r="CB68" s="138"/>
      <c r="CC68" s="138">
        <v>151769</v>
      </c>
      <c r="CD68" s="191" t="s">
        <v>221</v>
      </c>
      <c r="CE68" s="129">
        <f t="shared" si="0"/>
        <v>1681492</v>
      </c>
    </row>
    <row r="69" spans="1:84" ht="12.65" customHeight="1" x14ac:dyDescent="0.3">
      <c r="A69" s="127" t="s">
        <v>241</v>
      </c>
      <c r="B69" s="129"/>
      <c r="C69" s="137">
        <f>2641+888</f>
        <v>3529</v>
      </c>
      <c r="D69" s="137"/>
      <c r="E69" s="239">
        <v>36794.312456667438</v>
      </c>
      <c r="F69" s="138"/>
      <c r="G69" s="137"/>
      <c r="H69" s="137"/>
      <c r="I69" s="138"/>
      <c r="J69" s="246">
        <v>1650.7002542177026</v>
      </c>
      <c r="K69" s="138"/>
      <c r="L69" s="252">
        <v>1294.0674832447423</v>
      </c>
      <c r="M69" s="137">
        <v>53710</v>
      </c>
      <c r="N69" s="137"/>
      <c r="O69" s="259">
        <v>886.48717356135887</v>
      </c>
      <c r="P69" s="138">
        <v>62448</v>
      </c>
      <c r="Q69" s="138"/>
      <c r="R69" s="172">
        <f>30980+4692</f>
        <v>35672</v>
      </c>
      <c r="S69" s="138">
        <f>-116055+10958</f>
        <v>-105097</v>
      </c>
      <c r="T69" s="137"/>
      <c r="U69" s="138">
        <f>75847+82773</f>
        <v>158620</v>
      </c>
      <c r="V69" s="138"/>
      <c r="W69" s="138">
        <v>24306</v>
      </c>
      <c r="X69" s="138">
        <v>67718</v>
      </c>
      <c r="Y69" s="138">
        <v>271087</v>
      </c>
      <c r="Z69" s="138"/>
      <c r="AA69" s="138">
        <v>5680</v>
      </c>
      <c r="AB69" s="138">
        <f>98592+1701</f>
        <v>100293</v>
      </c>
      <c r="AC69" s="138">
        <f>11433+9503</f>
        <v>20936</v>
      </c>
      <c r="AD69" s="138"/>
      <c r="AE69" s="138">
        <f>22886+2783</f>
        <v>25669</v>
      </c>
      <c r="AF69" s="138"/>
      <c r="AG69" s="138">
        <f>31508+3427</f>
        <v>34935</v>
      </c>
      <c r="AH69" s="138"/>
      <c r="AI69" s="138"/>
      <c r="AJ69" s="138">
        <f>205023+7048</f>
        <v>212071</v>
      </c>
      <c r="AK69" s="138"/>
      <c r="AL69" s="138"/>
      <c r="AM69" s="138"/>
      <c r="AN69" s="138"/>
      <c r="AO69" s="266">
        <v>3464.4326323087589</v>
      </c>
      <c r="AP69" s="138">
        <v>3796</v>
      </c>
      <c r="AQ69" s="137"/>
      <c r="AR69" s="137">
        <v>92692</v>
      </c>
      <c r="AS69" s="137"/>
      <c r="AT69" s="137"/>
      <c r="AU69" s="138"/>
      <c r="AV69" s="138">
        <v>2713</v>
      </c>
      <c r="AW69" s="138"/>
      <c r="AX69" s="138"/>
      <c r="AY69" s="138">
        <f>6770+890</f>
        <v>7660</v>
      </c>
      <c r="AZ69" s="138"/>
      <c r="BA69" s="138"/>
      <c r="BB69" s="138"/>
      <c r="BC69" s="138"/>
      <c r="BD69" s="138"/>
      <c r="BE69" s="138">
        <f>5847+78494</f>
        <v>84341</v>
      </c>
      <c r="BF69" s="138">
        <f>4298+2508</f>
        <v>6806</v>
      </c>
      <c r="BG69" s="138">
        <v>-8764</v>
      </c>
      <c r="BH69" s="172">
        <f>41117-2400</f>
        <v>38717</v>
      </c>
      <c r="BI69" s="138"/>
      <c r="BJ69" s="138"/>
      <c r="BK69" s="138">
        <v>258756</v>
      </c>
      <c r="BL69" s="138"/>
      <c r="BM69" s="138"/>
      <c r="BN69" s="138"/>
      <c r="BO69" s="138">
        <v>3057</v>
      </c>
      <c r="BP69" s="138"/>
      <c r="BQ69" s="138"/>
      <c r="BR69" s="138">
        <v>78255</v>
      </c>
      <c r="BS69" s="138"/>
      <c r="BT69" s="138"/>
      <c r="BU69" s="138"/>
      <c r="BV69" s="138">
        <v>31</v>
      </c>
      <c r="BW69" s="138"/>
      <c r="BX69" s="138"/>
      <c r="BY69" s="138">
        <v>68752</v>
      </c>
      <c r="BZ69" s="138"/>
      <c r="CA69" s="138"/>
      <c r="CB69" s="138"/>
      <c r="CC69" s="138">
        <f>714402+2639</f>
        <v>717041</v>
      </c>
      <c r="CD69" s="141">
        <v>3048547</v>
      </c>
      <c r="CE69" s="129">
        <f t="shared" si="0"/>
        <v>5418067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>
        <v>9226620</v>
      </c>
      <c r="CE70" s="129">
        <f t="shared" si="0"/>
        <v>9226620</v>
      </c>
    </row>
    <row r="71" spans="1:84" ht="12.65" customHeight="1" x14ac:dyDescent="0.3">
      <c r="A71" s="127" t="s">
        <v>243</v>
      </c>
      <c r="B71" s="129"/>
      <c r="C71" s="129">
        <f>SUM(C61:C68)+C69-C70</f>
        <v>1445216</v>
      </c>
      <c r="D71" s="129">
        <f t="shared" ref="D71:AI71" si="5">SUM(D61:D69)-D70</f>
        <v>0</v>
      </c>
      <c r="E71" s="129">
        <f t="shared" si="5"/>
        <v>7690962.5491102384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345044.37855327019</v>
      </c>
      <c r="K71" s="129">
        <f t="shared" si="5"/>
        <v>0</v>
      </c>
      <c r="L71" s="129">
        <f t="shared" si="5"/>
        <v>270502.8523226254</v>
      </c>
      <c r="M71" s="129">
        <f t="shared" si="5"/>
        <v>1914611</v>
      </c>
      <c r="N71" s="129">
        <f t="shared" si="5"/>
        <v>0</v>
      </c>
      <c r="O71" s="129">
        <f t="shared" si="5"/>
        <v>185312.53663045989</v>
      </c>
      <c r="P71" s="129">
        <f t="shared" si="5"/>
        <v>3310703</v>
      </c>
      <c r="Q71" s="129">
        <f t="shared" si="5"/>
        <v>870664</v>
      </c>
      <c r="R71" s="129">
        <f t="shared" si="5"/>
        <v>1658612</v>
      </c>
      <c r="S71" s="129">
        <f t="shared" si="5"/>
        <v>3600449</v>
      </c>
      <c r="T71" s="129">
        <f t="shared" si="5"/>
        <v>0</v>
      </c>
      <c r="U71" s="129">
        <f t="shared" si="5"/>
        <v>7587469</v>
      </c>
      <c r="V71" s="129">
        <f t="shared" si="5"/>
        <v>0</v>
      </c>
      <c r="W71" s="129">
        <f t="shared" si="5"/>
        <v>279051</v>
      </c>
      <c r="X71" s="129">
        <f t="shared" si="5"/>
        <v>777482</v>
      </c>
      <c r="Y71" s="129">
        <f t="shared" si="5"/>
        <v>3112374</v>
      </c>
      <c r="Z71" s="129">
        <f t="shared" si="5"/>
        <v>0</v>
      </c>
      <c r="AA71" s="129">
        <f t="shared" si="5"/>
        <v>65219</v>
      </c>
      <c r="AB71" s="129">
        <f t="shared" si="5"/>
        <v>20498516</v>
      </c>
      <c r="AC71" s="129">
        <f t="shared" si="5"/>
        <v>1949324</v>
      </c>
      <c r="AD71" s="129">
        <f t="shared" si="5"/>
        <v>0</v>
      </c>
      <c r="AE71" s="129">
        <f t="shared" si="5"/>
        <v>4000183</v>
      </c>
      <c r="AF71" s="129">
        <f t="shared" si="5"/>
        <v>0</v>
      </c>
      <c r="AG71" s="129">
        <f t="shared" si="5"/>
        <v>6522857</v>
      </c>
      <c r="AH71" s="129">
        <f t="shared" si="5"/>
        <v>0</v>
      </c>
      <c r="AI71" s="129">
        <f t="shared" si="5"/>
        <v>0</v>
      </c>
      <c r="AJ71" s="129">
        <f t="shared" ref="AJ71:BO71" si="6">SUM(AJ61:AJ69)-AJ70</f>
        <v>33777384</v>
      </c>
      <c r="AK71" s="129">
        <f t="shared" si="6"/>
        <v>0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724144.68338340649</v>
      </c>
      <c r="AP71" s="129">
        <f t="shared" si="6"/>
        <v>1405714</v>
      </c>
      <c r="AQ71" s="129">
        <f t="shared" si="6"/>
        <v>0</v>
      </c>
      <c r="AR71" s="129">
        <f t="shared" si="6"/>
        <v>2784239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3110776</v>
      </c>
      <c r="AW71" s="129">
        <f t="shared" si="6"/>
        <v>0</v>
      </c>
      <c r="AX71" s="129">
        <f t="shared" si="6"/>
        <v>0</v>
      </c>
      <c r="AY71" s="129">
        <f t="shared" si="6"/>
        <v>1545624</v>
      </c>
      <c r="AZ71" s="129">
        <f t="shared" si="6"/>
        <v>0</v>
      </c>
      <c r="BA71" s="129">
        <f t="shared" si="6"/>
        <v>386095</v>
      </c>
      <c r="BB71" s="129">
        <f t="shared" si="6"/>
        <v>0</v>
      </c>
      <c r="BC71" s="129">
        <f t="shared" si="6"/>
        <v>0</v>
      </c>
      <c r="BD71" s="129">
        <f t="shared" si="6"/>
        <v>427029</v>
      </c>
      <c r="BE71" s="129">
        <f t="shared" si="6"/>
        <v>3053129</v>
      </c>
      <c r="BF71" s="129">
        <f t="shared" si="6"/>
        <v>1597177</v>
      </c>
      <c r="BG71" s="129">
        <f t="shared" si="6"/>
        <v>252219</v>
      </c>
      <c r="BH71" s="129">
        <f t="shared" si="6"/>
        <v>4043198</v>
      </c>
      <c r="BI71" s="129">
        <f t="shared" si="6"/>
        <v>0</v>
      </c>
      <c r="BJ71" s="129">
        <f t="shared" si="6"/>
        <v>0</v>
      </c>
      <c r="BK71" s="129">
        <f t="shared" si="6"/>
        <v>2351073</v>
      </c>
      <c r="BL71" s="129">
        <f t="shared" si="6"/>
        <v>968563</v>
      </c>
      <c r="BM71" s="129">
        <f t="shared" si="6"/>
        <v>0</v>
      </c>
      <c r="BN71" s="129">
        <f t="shared" si="6"/>
        <v>0</v>
      </c>
      <c r="BO71" s="129">
        <f t="shared" si="6"/>
        <v>71150</v>
      </c>
      <c r="BP71" s="129">
        <f t="shared" ref="BP71:CC71" si="7">SUM(BP61:BP69)-BP70</f>
        <v>0</v>
      </c>
      <c r="BQ71" s="129">
        <f t="shared" si="7"/>
        <v>0</v>
      </c>
      <c r="BR71" s="129">
        <f t="shared" si="7"/>
        <v>1602780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831122</v>
      </c>
      <c r="BW71" s="129">
        <f t="shared" si="7"/>
        <v>0</v>
      </c>
      <c r="BX71" s="129">
        <f t="shared" si="7"/>
        <v>0</v>
      </c>
      <c r="BY71" s="129">
        <f t="shared" si="7"/>
        <v>2972307</v>
      </c>
      <c r="BZ71" s="129">
        <f t="shared" si="7"/>
        <v>0</v>
      </c>
      <c r="CA71" s="129">
        <f t="shared" si="7"/>
        <v>0</v>
      </c>
      <c r="CB71" s="129">
        <f t="shared" si="7"/>
        <v>0</v>
      </c>
      <c r="CC71" s="129">
        <f t="shared" si="7"/>
        <v>8250678</v>
      </c>
      <c r="CD71" s="132">
        <f>CD69-CD70</f>
        <v>-6178073</v>
      </c>
      <c r="CE71" s="129">
        <f>SUM(CE61:CE69)-CE70</f>
        <v>130060881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41">
        <v>503708</v>
      </c>
    </row>
    <row r="73" spans="1:84" ht="12.65" customHeight="1" x14ac:dyDescent="0.3">
      <c r="A73" s="127" t="s">
        <v>245</v>
      </c>
      <c r="B73" s="129"/>
      <c r="C73" s="137">
        <v>3388000</v>
      </c>
      <c r="D73" s="137"/>
      <c r="E73" s="240">
        <v>9327211.3309452273</v>
      </c>
      <c r="F73" s="138"/>
      <c r="G73" s="137"/>
      <c r="H73" s="137"/>
      <c r="I73" s="138"/>
      <c r="J73" s="245">
        <v>418445.92512133118</v>
      </c>
      <c r="K73" s="138"/>
      <c r="L73" s="253">
        <v>328040.94129882136</v>
      </c>
      <c r="M73" s="137"/>
      <c r="N73" s="137"/>
      <c r="O73" s="260">
        <v>224720.95978738155</v>
      </c>
      <c r="P73" s="138">
        <v>7047727</v>
      </c>
      <c r="Q73" s="138">
        <v>449290</v>
      </c>
      <c r="R73" s="138">
        <v>2332677</v>
      </c>
      <c r="S73" s="138">
        <v>10232</v>
      </c>
      <c r="T73" s="138"/>
      <c r="U73" s="138">
        <v>2130036</v>
      </c>
      <c r="V73" s="138"/>
      <c r="W73" s="138">
        <v>290978</v>
      </c>
      <c r="X73" s="138">
        <v>1301388</v>
      </c>
      <c r="Y73" s="138">
        <v>1248110</v>
      </c>
      <c r="Z73" s="138"/>
      <c r="AA73" s="138">
        <v>5422</v>
      </c>
      <c r="AB73" s="138">
        <v>4289660</v>
      </c>
      <c r="AC73" s="138">
        <v>2082986</v>
      </c>
      <c r="AD73" s="138"/>
      <c r="AE73" s="138">
        <v>737246</v>
      </c>
      <c r="AF73" s="138"/>
      <c r="AG73" s="138">
        <v>1613812</v>
      </c>
      <c r="AH73" s="138"/>
      <c r="AI73" s="138"/>
      <c r="AJ73" s="138">
        <v>1629119</v>
      </c>
      <c r="AK73" s="138"/>
      <c r="AL73" s="138"/>
      <c r="AM73" s="138"/>
      <c r="AN73" s="138"/>
      <c r="AO73" s="267">
        <v>878219.84284723818</v>
      </c>
      <c r="AP73" s="138">
        <v>51453</v>
      </c>
      <c r="AQ73" s="138"/>
      <c r="AR73" s="138"/>
      <c r="AS73" s="138"/>
      <c r="AT73" s="138"/>
      <c r="AU73" s="138"/>
      <c r="AV73" s="138">
        <v>13459</v>
      </c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 t="shared" ref="CE73:CE80" si="8">SUM(C73:CD73)</f>
        <v>39798234</v>
      </c>
    </row>
    <row r="74" spans="1:84" ht="12.65" customHeight="1" x14ac:dyDescent="0.3">
      <c r="A74" s="127" t="s">
        <v>246</v>
      </c>
      <c r="B74" s="129"/>
      <c r="C74" s="137">
        <v>22685</v>
      </c>
      <c r="D74" s="137"/>
      <c r="E74" s="240">
        <v>1971299.728449272</v>
      </c>
      <c r="F74" s="138"/>
      <c r="G74" s="137"/>
      <c r="H74" s="137"/>
      <c r="I74" s="137"/>
      <c r="J74" s="245">
        <v>88438.259764270857</v>
      </c>
      <c r="K74" s="138"/>
      <c r="L74" s="253">
        <v>69331.228333718507</v>
      </c>
      <c r="M74" s="137">
        <v>3799340</v>
      </c>
      <c r="N74" s="137"/>
      <c r="O74" s="260">
        <v>47494.62098451583</v>
      </c>
      <c r="P74" s="138">
        <v>25711638</v>
      </c>
      <c r="Q74" s="138">
        <v>5078803</v>
      </c>
      <c r="R74" s="138">
        <v>9244669</v>
      </c>
      <c r="S74" s="138">
        <v>478764</v>
      </c>
      <c r="T74" s="138"/>
      <c r="U74" s="138">
        <v>20483476</v>
      </c>
      <c r="V74" s="138"/>
      <c r="W74" s="138">
        <v>5578971</v>
      </c>
      <c r="X74" s="138">
        <v>16128524</v>
      </c>
      <c r="Y74" s="138">
        <v>13301452</v>
      </c>
      <c r="Z74" s="138"/>
      <c r="AA74" s="138">
        <v>2874903</v>
      </c>
      <c r="AB74" s="138">
        <v>48870726</v>
      </c>
      <c r="AC74" s="138">
        <v>5151797</v>
      </c>
      <c r="AD74" s="138"/>
      <c r="AE74" s="138">
        <v>10547972</v>
      </c>
      <c r="AF74" s="138"/>
      <c r="AG74" s="138">
        <v>32647744</v>
      </c>
      <c r="AH74" s="138"/>
      <c r="AI74" s="138"/>
      <c r="AJ74" s="138">
        <v>44788442</v>
      </c>
      <c r="AK74" s="138"/>
      <c r="AL74" s="138"/>
      <c r="AM74" s="138"/>
      <c r="AN74" s="138"/>
      <c r="AO74" s="267">
        <v>185611.16246822278</v>
      </c>
      <c r="AP74" s="138">
        <v>1735985</v>
      </c>
      <c r="AQ74" s="138"/>
      <c r="AR74" s="138">
        <v>2354517</v>
      </c>
      <c r="AS74" s="138"/>
      <c r="AT74" s="138"/>
      <c r="AU74" s="138"/>
      <c r="AV74" s="138">
        <v>7034765</v>
      </c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 t="shared" si="8"/>
        <v>258197348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3410685</v>
      </c>
      <c r="D75" s="129">
        <f t="shared" si="9"/>
        <v>0</v>
      </c>
      <c r="E75" s="129">
        <f t="shared" si="9"/>
        <v>11298511.059394499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506884.18488560204</v>
      </c>
      <c r="K75" s="129">
        <f t="shared" si="9"/>
        <v>0</v>
      </c>
      <c r="L75" s="129">
        <f t="shared" si="9"/>
        <v>397372.16963253985</v>
      </c>
      <c r="M75" s="129">
        <f t="shared" si="9"/>
        <v>3799340</v>
      </c>
      <c r="N75" s="129">
        <f t="shared" si="9"/>
        <v>0</v>
      </c>
      <c r="O75" s="129">
        <f t="shared" si="9"/>
        <v>272215.5807718974</v>
      </c>
      <c r="P75" s="129">
        <f t="shared" si="9"/>
        <v>32759365</v>
      </c>
      <c r="Q75" s="129">
        <f t="shared" si="9"/>
        <v>5528093</v>
      </c>
      <c r="R75" s="129">
        <f t="shared" si="9"/>
        <v>11577346</v>
      </c>
      <c r="S75" s="129">
        <f t="shared" si="9"/>
        <v>488996</v>
      </c>
      <c r="T75" s="129">
        <f t="shared" si="9"/>
        <v>0</v>
      </c>
      <c r="U75" s="129">
        <f t="shared" si="9"/>
        <v>22613512</v>
      </c>
      <c r="V75" s="129">
        <f t="shared" si="9"/>
        <v>0</v>
      </c>
      <c r="W75" s="129">
        <f t="shared" si="9"/>
        <v>5869949</v>
      </c>
      <c r="X75" s="129">
        <f t="shared" si="9"/>
        <v>17429912</v>
      </c>
      <c r="Y75" s="129">
        <f t="shared" si="9"/>
        <v>14549562</v>
      </c>
      <c r="Z75" s="129">
        <f t="shared" si="9"/>
        <v>0</v>
      </c>
      <c r="AA75" s="129">
        <f t="shared" si="9"/>
        <v>2880325</v>
      </c>
      <c r="AB75" s="129">
        <f t="shared" si="9"/>
        <v>53160386</v>
      </c>
      <c r="AC75" s="129">
        <f t="shared" si="9"/>
        <v>7234783</v>
      </c>
      <c r="AD75" s="129">
        <f t="shared" si="9"/>
        <v>0</v>
      </c>
      <c r="AE75" s="129">
        <f t="shared" si="9"/>
        <v>11285218</v>
      </c>
      <c r="AF75" s="129">
        <f t="shared" si="9"/>
        <v>0</v>
      </c>
      <c r="AG75" s="129">
        <f t="shared" si="9"/>
        <v>34261556</v>
      </c>
      <c r="AH75" s="129">
        <f t="shared" si="9"/>
        <v>0</v>
      </c>
      <c r="AI75" s="129">
        <f t="shared" si="9"/>
        <v>0</v>
      </c>
      <c r="AJ75" s="129">
        <f t="shared" si="9"/>
        <v>46417561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1063831.005315461</v>
      </c>
      <c r="AP75" s="129">
        <f t="shared" si="9"/>
        <v>1787438</v>
      </c>
      <c r="AQ75" s="129">
        <f t="shared" si="9"/>
        <v>0</v>
      </c>
      <c r="AR75" s="129">
        <f t="shared" si="9"/>
        <v>2354517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7048224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si="8"/>
        <v>297995582</v>
      </c>
    </row>
    <row r="76" spans="1:84" ht="12.65" customHeight="1" x14ac:dyDescent="0.3">
      <c r="A76" s="127" t="s">
        <v>248</v>
      </c>
      <c r="B76" s="129"/>
      <c r="C76" s="137">
        <v>2605</v>
      </c>
      <c r="D76" s="137"/>
      <c r="E76" s="241">
        <v>9403</v>
      </c>
      <c r="F76" s="138"/>
      <c r="G76" s="137"/>
      <c r="H76" s="137"/>
      <c r="I76" s="138"/>
      <c r="J76" s="243">
        <v>422</v>
      </c>
      <c r="K76" s="138"/>
      <c r="L76" s="254">
        <v>331</v>
      </c>
      <c r="M76" s="138"/>
      <c r="N76" s="138"/>
      <c r="O76" s="261">
        <v>227</v>
      </c>
      <c r="P76" s="138">
        <v>11952</v>
      </c>
      <c r="Q76" s="138">
        <v>589</v>
      </c>
      <c r="R76" s="138">
        <v>136</v>
      </c>
      <c r="S76" s="138">
        <v>3181</v>
      </c>
      <c r="T76" s="138"/>
      <c r="U76" s="138">
        <v>3921</v>
      </c>
      <c r="V76" s="138"/>
      <c r="W76" s="138">
        <v>435</v>
      </c>
      <c r="X76" s="138">
        <v>1213</v>
      </c>
      <c r="Y76" s="138">
        <v>4855</v>
      </c>
      <c r="Z76" s="138"/>
      <c r="AA76" s="138">
        <v>102</v>
      </c>
      <c r="AB76" s="138">
        <v>1507</v>
      </c>
      <c r="AC76" s="138">
        <v>3820</v>
      </c>
      <c r="AD76" s="138"/>
      <c r="AE76" s="138">
        <v>6488</v>
      </c>
      <c r="AF76" s="138"/>
      <c r="AG76" s="138">
        <v>6350</v>
      </c>
      <c r="AH76" s="138"/>
      <c r="AI76" s="138"/>
      <c r="AJ76" s="138">
        <v>31204</v>
      </c>
      <c r="AK76" s="138"/>
      <c r="AL76" s="138"/>
      <c r="AM76" s="138"/>
      <c r="AN76" s="138"/>
      <c r="AO76" s="268">
        <v>885</v>
      </c>
      <c r="AP76" s="138"/>
      <c r="AQ76" s="138"/>
      <c r="AR76" s="138"/>
      <c r="AS76" s="138"/>
      <c r="AT76" s="138"/>
      <c r="AU76" s="138"/>
      <c r="AV76" s="138">
        <v>3886</v>
      </c>
      <c r="AW76" s="138"/>
      <c r="AX76" s="138"/>
      <c r="AY76" s="138">
        <v>3888</v>
      </c>
      <c r="AZ76" s="138"/>
      <c r="BA76" s="138"/>
      <c r="BB76" s="138"/>
      <c r="BC76" s="138"/>
      <c r="BD76" s="138"/>
      <c r="BE76" s="138">
        <v>11422</v>
      </c>
      <c r="BF76" s="138">
        <v>3119</v>
      </c>
      <c r="BG76" s="138"/>
      <c r="BH76" s="138">
        <v>6531</v>
      </c>
      <c r="BI76" s="138"/>
      <c r="BJ76" s="138"/>
      <c r="BK76" s="138">
        <v>1644</v>
      </c>
      <c r="BL76" s="138">
        <v>1981</v>
      </c>
      <c r="BM76" s="138"/>
      <c r="BN76" s="138"/>
      <c r="BO76" s="138">
        <v>243</v>
      </c>
      <c r="BP76" s="138"/>
      <c r="BQ76" s="138"/>
      <c r="BR76" s="138">
        <v>1599</v>
      </c>
      <c r="BS76" s="138"/>
      <c r="BT76" s="138"/>
      <c r="BU76" s="138"/>
      <c r="BV76" s="138"/>
      <c r="BW76" s="138"/>
      <c r="BX76" s="138"/>
      <c r="BY76" s="138">
        <v>1731</v>
      </c>
      <c r="BZ76" s="138"/>
      <c r="CA76" s="138"/>
      <c r="CB76" s="138"/>
      <c r="CC76" s="138">
        <v>14667</v>
      </c>
      <c r="CD76" s="191" t="s">
        <v>221</v>
      </c>
      <c r="CE76" s="129">
        <f t="shared" si="8"/>
        <v>140337</v>
      </c>
      <c r="CF76" s="129">
        <f>BE59-CE76</f>
        <v>-4</v>
      </c>
    </row>
    <row r="77" spans="1:84" ht="12.65" customHeight="1" x14ac:dyDescent="0.3">
      <c r="A77" s="127" t="s">
        <v>249</v>
      </c>
      <c r="B77" s="129"/>
      <c r="C77" s="137">
        <v>1200</v>
      </c>
      <c r="D77" s="137"/>
      <c r="E77" s="241">
        <v>13544</v>
      </c>
      <c r="F77" s="137"/>
      <c r="G77" s="137"/>
      <c r="H77" s="137"/>
      <c r="I77" s="137"/>
      <c r="J77" s="243">
        <v>0</v>
      </c>
      <c r="K77" s="137"/>
      <c r="L77" s="254">
        <f>356+120</f>
        <v>476</v>
      </c>
      <c r="M77" s="137"/>
      <c r="N77" s="137"/>
      <c r="O77" s="261">
        <v>0</v>
      </c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268">
        <v>0</v>
      </c>
      <c r="AP77" s="137"/>
      <c r="AQ77" s="137"/>
      <c r="AR77" s="137"/>
      <c r="AS77" s="137"/>
      <c r="AT77" s="137"/>
      <c r="AU77" s="137"/>
      <c r="AV77" s="137"/>
      <c r="AW77" s="137"/>
      <c r="AX77" s="191" t="s">
        <v>221</v>
      </c>
      <c r="AY77" s="191" t="s">
        <v>221</v>
      </c>
      <c r="AZ77" s="137"/>
      <c r="BA77" s="137"/>
      <c r="BB77" s="137"/>
      <c r="BC77" s="137"/>
      <c r="BD77" s="191" t="s">
        <v>221</v>
      </c>
      <c r="BE77" s="191" t="s">
        <v>221</v>
      </c>
      <c r="BF77" s="137"/>
      <c r="BG77" s="191" t="s">
        <v>221</v>
      </c>
      <c r="BH77" s="137"/>
      <c r="BI77" s="137"/>
      <c r="BJ77" s="191" t="s">
        <v>221</v>
      </c>
      <c r="BK77" s="137"/>
      <c r="BL77" s="137"/>
      <c r="BM77" s="137"/>
      <c r="BN77" s="191" t="s">
        <v>221</v>
      </c>
      <c r="BO77" s="191" t="s">
        <v>221</v>
      </c>
      <c r="BP77" s="191" t="s">
        <v>221</v>
      </c>
      <c r="BQ77" s="191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221</v>
      </c>
      <c r="CD77" s="191" t="s">
        <v>221</v>
      </c>
      <c r="CE77" s="129">
        <f>SUM(C77:CD77)</f>
        <v>15220</v>
      </c>
      <c r="CF77" s="129">
        <f>AY59-CE77</f>
        <v>1</v>
      </c>
    </row>
    <row r="78" spans="1:84" ht="12.65" customHeight="1" x14ac:dyDescent="0.3">
      <c r="A78" s="127" t="s">
        <v>250</v>
      </c>
      <c r="B78" s="129"/>
      <c r="C78" s="137">
        <v>880</v>
      </c>
      <c r="D78" s="137"/>
      <c r="E78" s="241">
        <v>3175</v>
      </c>
      <c r="F78" s="137"/>
      <c r="G78" s="137"/>
      <c r="H78" s="137"/>
      <c r="I78" s="137"/>
      <c r="J78" s="243">
        <v>142</v>
      </c>
      <c r="K78" s="137"/>
      <c r="L78" s="254">
        <v>112</v>
      </c>
      <c r="M78" s="137"/>
      <c r="N78" s="137"/>
      <c r="O78" s="261">
        <v>77</v>
      </c>
      <c r="P78" s="137">
        <v>4036</v>
      </c>
      <c r="Q78" s="137">
        <v>199</v>
      </c>
      <c r="R78" s="137">
        <v>46</v>
      </c>
      <c r="S78" s="137">
        <v>1074</v>
      </c>
      <c r="T78" s="137"/>
      <c r="U78" s="137">
        <v>1324</v>
      </c>
      <c r="V78" s="137"/>
      <c r="W78" s="137">
        <v>147</v>
      </c>
      <c r="X78" s="137">
        <v>409</v>
      </c>
      <c r="Y78" s="137">
        <v>1639</v>
      </c>
      <c r="Z78" s="137"/>
      <c r="AA78" s="137">
        <v>34</v>
      </c>
      <c r="AB78" s="137">
        <v>509</v>
      </c>
      <c r="AC78" s="137">
        <v>1290</v>
      </c>
      <c r="AD78" s="137"/>
      <c r="AE78" s="137">
        <v>2191</v>
      </c>
      <c r="AF78" s="137"/>
      <c r="AG78" s="137">
        <v>2144</v>
      </c>
      <c r="AH78" s="137"/>
      <c r="AI78" s="137"/>
      <c r="AJ78" s="137">
        <v>10537</v>
      </c>
      <c r="AK78" s="137"/>
      <c r="AL78" s="137"/>
      <c r="AM78" s="137"/>
      <c r="AN78" s="137"/>
      <c r="AO78" s="268">
        <v>299</v>
      </c>
      <c r="AP78" s="137"/>
      <c r="AQ78" s="137"/>
      <c r="AR78" s="137"/>
      <c r="AS78" s="137"/>
      <c r="AT78" s="137"/>
      <c r="AU78" s="137"/>
      <c r="AV78" s="137">
        <v>1312</v>
      </c>
      <c r="AW78" s="137"/>
      <c r="AX78" s="191" t="s">
        <v>221</v>
      </c>
      <c r="AY78" s="191" t="s">
        <v>221</v>
      </c>
      <c r="AZ78" s="191" t="s">
        <v>221</v>
      </c>
      <c r="BA78" s="137"/>
      <c r="BB78" s="137"/>
      <c r="BC78" s="137"/>
      <c r="BD78" s="191" t="s">
        <v>221</v>
      </c>
      <c r="BE78" s="191" t="s">
        <v>221</v>
      </c>
      <c r="BF78" s="191" t="s">
        <v>221</v>
      </c>
      <c r="BG78" s="191" t="s">
        <v>221</v>
      </c>
      <c r="BH78" s="137">
        <v>2206</v>
      </c>
      <c r="BI78" s="137"/>
      <c r="BJ78" s="191" t="s">
        <v>221</v>
      </c>
      <c r="BK78" s="137">
        <v>555</v>
      </c>
      <c r="BL78" s="137">
        <v>669</v>
      </c>
      <c r="BM78" s="137"/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/>
      <c r="BT78" s="137"/>
      <c r="BU78" s="137"/>
      <c r="BV78" s="137"/>
      <c r="BW78" s="137"/>
      <c r="BX78" s="137"/>
      <c r="BY78" s="137">
        <v>584</v>
      </c>
      <c r="BZ78" s="137"/>
      <c r="CA78" s="137"/>
      <c r="CB78" s="137"/>
      <c r="CC78" s="191" t="s">
        <v>221</v>
      </c>
      <c r="CD78" s="191" t="s">
        <v>221</v>
      </c>
      <c r="CE78" s="129">
        <f t="shared" si="8"/>
        <v>35590</v>
      </c>
      <c r="CF78" s="129"/>
    </row>
    <row r="79" spans="1:84" ht="12.65" customHeight="1" x14ac:dyDescent="0.3">
      <c r="A79" s="127" t="s">
        <v>251</v>
      </c>
      <c r="B79" s="129"/>
      <c r="C79" s="173">
        <v>10328</v>
      </c>
      <c r="D79" s="173"/>
      <c r="E79" s="241">
        <v>44607.157846082737</v>
      </c>
      <c r="F79" s="137"/>
      <c r="G79" s="137"/>
      <c r="H79" s="137"/>
      <c r="I79" s="137"/>
      <c r="J79" s="243">
        <v>2001.2073029812802</v>
      </c>
      <c r="K79" s="137"/>
      <c r="L79" s="254">
        <v>1568.8477004853246</v>
      </c>
      <c r="M79" s="137"/>
      <c r="N79" s="137"/>
      <c r="O79" s="261">
        <v>1074.7224404899468</v>
      </c>
      <c r="P79" s="137">
        <v>37824</v>
      </c>
      <c r="Q79" s="137">
        <v>8764</v>
      </c>
      <c r="R79" s="137">
        <v>7741</v>
      </c>
      <c r="S79" s="137"/>
      <c r="T79" s="137"/>
      <c r="U79" s="137">
        <v>330</v>
      </c>
      <c r="V79" s="137"/>
      <c r="W79" s="137">
        <v>2208</v>
      </c>
      <c r="X79" s="137">
        <v>6153</v>
      </c>
      <c r="Y79" s="137">
        <v>24631</v>
      </c>
      <c r="Z79" s="137"/>
      <c r="AA79" s="137">
        <v>516</v>
      </c>
      <c r="AB79" s="137"/>
      <c r="AC79" s="137">
        <v>5597</v>
      </c>
      <c r="AD79" s="137"/>
      <c r="AE79" s="137">
        <v>26997</v>
      </c>
      <c r="AF79" s="137"/>
      <c r="AG79" s="137">
        <v>67792</v>
      </c>
      <c r="AH79" s="137"/>
      <c r="AI79" s="137"/>
      <c r="AJ79" s="137">
        <v>26732</v>
      </c>
      <c r="AK79" s="137"/>
      <c r="AL79" s="137"/>
      <c r="AM79" s="137"/>
      <c r="AN79" s="137"/>
      <c r="AO79" s="268">
        <v>4200.0647099607113</v>
      </c>
      <c r="AP79" s="137"/>
      <c r="AQ79" s="137"/>
      <c r="AR79" s="137"/>
      <c r="AS79" s="137"/>
      <c r="AT79" s="137"/>
      <c r="AU79" s="137"/>
      <c r="AV79" s="137"/>
      <c r="AW79" s="137"/>
      <c r="AX79" s="191" t="s">
        <v>221</v>
      </c>
      <c r="AY79" s="191" t="s">
        <v>221</v>
      </c>
      <c r="AZ79" s="191" t="s">
        <v>221</v>
      </c>
      <c r="BA79" s="191" t="s">
        <v>221</v>
      </c>
      <c r="BB79" s="137"/>
      <c r="BC79" s="137"/>
      <c r="BD79" s="191" t="s">
        <v>221</v>
      </c>
      <c r="BE79" s="191" t="s">
        <v>221</v>
      </c>
      <c r="BF79" s="191" t="s">
        <v>221</v>
      </c>
      <c r="BG79" s="191" t="s">
        <v>221</v>
      </c>
      <c r="BH79" s="137">
        <v>2440</v>
      </c>
      <c r="BI79" s="137"/>
      <c r="BJ79" s="191" t="s">
        <v>221</v>
      </c>
      <c r="BK79" s="137"/>
      <c r="BL79" s="137"/>
      <c r="BM79" s="137"/>
      <c r="BN79" s="191" t="s">
        <v>221</v>
      </c>
      <c r="BO79" s="191" t="s">
        <v>221</v>
      </c>
      <c r="BP79" s="191" t="s">
        <v>221</v>
      </c>
      <c r="BQ79" s="191" t="s">
        <v>221</v>
      </c>
      <c r="BR79" s="191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221</v>
      </c>
      <c r="CD79" s="191" t="s">
        <v>221</v>
      </c>
      <c r="CE79" s="129">
        <f t="shared" si="8"/>
        <v>281505</v>
      </c>
      <c r="CF79" s="129">
        <f>BA59</f>
        <v>0</v>
      </c>
    </row>
    <row r="80" spans="1:84" ht="21" customHeight="1" x14ac:dyDescent="0.3">
      <c r="A80" s="127" t="s">
        <v>252</v>
      </c>
      <c r="B80" s="129"/>
      <c r="C80" s="140">
        <v>8.7799999999999994</v>
      </c>
      <c r="D80" s="140"/>
      <c r="E80" s="242">
        <v>41.384213080656345</v>
      </c>
      <c r="F80" s="140"/>
      <c r="G80" s="140"/>
      <c r="H80" s="140"/>
      <c r="I80" s="140"/>
      <c r="J80" s="244">
        <v>1.8566165934827823</v>
      </c>
      <c r="K80" s="140"/>
      <c r="L80" s="255">
        <v>1.4554957245204527</v>
      </c>
      <c r="M80" s="140"/>
      <c r="N80" s="140"/>
      <c r="O80" s="262">
        <v>0.99707187427779054</v>
      </c>
      <c r="P80" s="140">
        <v>18.940000000000001</v>
      </c>
      <c r="Q80" s="140">
        <v>2.95</v>
      </c>
      <c r="R80" s="140">
        <v>17.27</v>
      </c>
      <c r="S80" s="140"/>
      <c r="T80" s="140"/>
      <c r="U80" s="140">
        <v>5.33</v>
      </c>
      <c r="V80" s="140"/>
      <c r="W80" s="140"/>
      <c r="X80" s="140"/>
      <c r="Y80" s="140"/>
      <c r="Z80" s="140"/>
      <c r="AA80" s="140"/>
      <c r="AB80" s="140">
        <v>10.86</v>
      </c>
      <c r="AC80" s="140">
        <v>3.66</v>
      </c>
      <c r="AD80" s="140"/>
      <c r="AE80" s="140"/>
      <c r="AF80" s="140"/>
      <c r="AG80" s="140">
        <v>24.4</v>
      </c>
      <c r="AH80" s="140"/>
      <c r="AI80" s="140"/>
      <c r="AJ80" s="140">
        <v>12.8</v>
      </c>
      <c r="AK80" s="140"/>
      <c r="AL80" s="140"/>
      <c r="AM80" s="140"/>
      <c r="AN80" s="140"/>
      <c r="AO80" s="269">
        <v>3.8966027270626293</v>
      </c>
      <c r="AP80" s="140"/>
      <c r="AQ80" s="140"/>
      <c r="AR80" s="140"/>
      <c r="AS80" s="140"/>
      <c r="AT80" s="140"/>
      <c r="AU80" s="140"/>
      <c r="AV80" s="140">
        <v>3.27</v>
      </c>
      <c r="AW80" s="191" t="s">
        <v>221</v>
      </c>
      <c r="AX80" s="191" t="s">
        <v>221</v>
      </c>
      <c r="AY80" s="191" t="s">
        <v>221</v>
      </c>
      <c r="AZ80" s="191" t="s">
        <v>221</v>
      </c>
      <c r="BA80" s="191" t="s">
        <v>221</v>
      </c>
      <c r="BB80" s="191" t="s">
        <v>221</v>
      </c>
      <c r="BC80" s="191" t="s">
        <v>221</v>
      </c>
      <c r="BD80" s="191" t="s">
        <v>221</v>
      </c>
      <c r="BE80" s="191" t="s">
        <v>221</v>
      </c>
      <c r="BF80" s="191" t="s">
        <v>221</v>
      </c>
      <c r="BG80" s="191" t="s">
        <v>221</v>
      </c>
      <c r="BH80" s="191" t="s">
        <v>221</v>
      </c>
      <c r="BI80" s="191" t="s">
        <v>221</v>
      </c>
      <c r="BJ80" s="191" t="s">
        <v>221</v>
      </c>
      <c r="BK80" s="191" t="s">
        <v>221</v>
      </c>
      <c r="BL80" s="191" t="s">
        <v>221</v>
      </c>
      <c r="BM80" s="191" t="s">
        <v>221</v>
      </c>
      <c r="BN80" s="191" t="s">
        <v>221</v>
      </c>
      <c r="BO80" s="191" t="s">
        <v>221</v>
      </c>
      <c r="BP80" s="191" t="s">
        <v>221</v>
      </c>
      <c r="BQ80" s="191" t="s">
        <v>221</v>
      </c>
      <c r="BR80" s="191" t="s">
        <v>221</v>
      </c>
      <c r="BS80" s="191" t="s">
        <v>221</v>
      </c>
      <c r="BT80" s="191" t="s">
        <v>221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221</v>
      </c>
      <c r="CD80" s="191" t="s">
        <v>221</v>
      </c>
      <c r="CE80" s="197">
        <f t="shared" si="8"/>
        <v>157.85000000000002</v>
      </c>
      <c r="CF80" s="197"/>
    </row>
    <row r="81" spans="1:5" ht="12.65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2" t="s">
        <v>1278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3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177" t="s">
        <v>1269</v>
      </c>
      <c r="D84" s="156"/>
      <c r="E84" s="155"/>
    </row>
    <row r="85" spans="1:5" ht="12.65" customHeight="1" x14ac:dyDescent="0.3">
      <c r="A85" s="129" t="s">
        <v>1250</v>
      </c>
      <c r="B85" s="128"/>
      <c r="C85" s="209" t="s">
        <v>1270</v>
      </c>
      <c r="D85" s="156"/>
      <c r="E85" s="155"/>
    </row>
    <row r="86" spans="1:5" ht="12.65" customHeight="1" x14ac:dyDescent="0.3">
      <c r="A86" s="129" t="s">
        <v>1251</v>
      </c>
      <c r="B86" s="128" t="s">
        <v>256</v>
      </c>
      <c r="C86" s="178" t="s">
        <v>1270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7" t="s">
        <v>1271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7" t="s">
        <v>1272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7" t="s">
        <v>1273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7" t="s">
        <v>1274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7" t="s">
        <v>1275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74" t="s">
        <v>1276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08" t="s">
        <v>1277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>
        <v>1</v>
      </c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/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1261</v>
      </c>
      <c r="D111" s="130">
        <v>3611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>
        <v>16</v>
      </c>
      <c r="D112" s="130">
        <v>127</v>
      </c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>
        <v>87</v>
      </c>
      <c r="D114" s="130">
        <v>162</v>
      </c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>
        <v>6</v>
      </c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1238</v>
      </c>
      <c r="B118" s="128" t="s">
        <v>256</v>
      </c>
      <c r="C118" s="142">
        <v>19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/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289</v>
      </c>
      <c r="B124" s="128"/>
      <c r="C124" s="142"/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292</v>
      </c>
      <c r="B128" s="128" t="s">
        <v>256</v>
      </c>
      <c r="C128" s="142"/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>
        <v>4</v>
      </c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1239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v>723</v>
      </c>
      <c r="C138" s="142">
        <v>12</v>
      </c>
      <c r="D138" s="130">
        <f>C111-735</f>
        <v>526</v>
      </c>
      <c r="E138" s="129">
        <f>SUM(B138:D138)</f>
        <v>1261</v>
      </c>
    </row>
    <row r="139" spans="1:6" ht="12.65" customHeight="1" x14ac:dyDescent="0.3">
      <c r="A139" s="129" t="s">
        <v>215</v>
      </c>
      <c r="B139" s="130">
        <v>2444</v>
      </c>
      <c r="C139" s="142">
        <v>16</v>
      </c>
      <c r="D139" s="130">
        <f>3611-2460</f>
        <v>1151</v>
      </c>
      <c r="E139" s="129">
        <f>SUM(B139:D139)</f>
        <v>3611</v>
      </c>
    </row>
    <row r="140" spans="1:6" ht="12.65" customHeight="1" x14ac:dyDescent="0.3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245</v>
      </c>
      <c r="B141" s="130">
        <v>25351609</v>
      </c>
      <c r="C141" s="142">
        <v>6367904</v>
      </c>
      <c r="D141" s="130">
        <v>8078721</v>
      </c>
      <c r="E141" s="129">
        <f>SUM(B141:D141)</f>
        <v>39798234</v>
      </c>
      <c r="F141" s="150"/>
    </row>
    <row r="142" spans="1:6" ht="12.65" customHeight="1" x14ac:dyDescent="0.3">
      <c r="A142" s="129" t="s">
        <v>246</v>
      </c>
      <c r="B142" s="130">
        <v>157489454</v>
      </c>
      <c r="C142" s="142">
        <v>35081137</v>
      </c>
      <c r="D142" s="130">
        <v>65626757</v>
      </c>
      <c r="E142" s="129">
        <f>SUM(B142:D142)</f>
        <v>258197348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>
        <v>13</v>
      </c>
      <c r="C144" s="142">
        <v>2</v>
      </c>
      <c r="D144" s="130">
        <v>1</v>
      </c>
      <c r="E144" s="129">
        <f>SUM(B144:D144)</f>
        <v>16</v>
      </c>
    </row>
    <row r="145" spans="1:5" ht="12.65" customHeight="1" x14ac:dyDescent="0.3">
      <c r="A145" s="129" t="s">
        <v>215</v>
      </c>
      <c r="B145" s="130">
        <v>95</v>
      </c>
      <c r="C145" s="142">
        <v>19</v>
      </c>
      <c r="D145" s="130">
        <f>127-95-19</f>
        <v>13</v>
      </c>
      <c r="E145" s="129">
        <f>SUM(B145:D145)</f>
        <v>127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>
        <v>35918599</v>
      </c>
      <c r="C157" s="130">
        <v>12993167</v>
      </c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142">
        <v>4687899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142">
        <v>209174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142">
        <v>572551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142">
        <v>7441852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142"/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142">
        <v>2940698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142">
        <v>65132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15917306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142">
        <v>661333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142">
        <v>1020159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1681492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142">
        <v>986267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142">
        <v>168482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1154749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142">
        <v>923436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142"/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923436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142">
        <v>226838</v>
      </c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142">
        <v>743524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SUM(C188:C189)</f>
        <v>970362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234">
        <v>1715331</v>
      </c>
      <c r="C195" s="142">
        <v>6840</v>
      </c>
      <c r="D195" s="130"/>
      <c r="E195" s="129">
        <f t="shared" ref="E195:E203" si="10">SUM(B195:C195)-D195</f>
        <v>1722171</v>
      </c>
    </row>
    <row r="196" spans="1:8" ht="12.65" customHeight="1" x14ac:dyDescent="0.3">
      <c r="A196" s="129" t="s">
        <v>333</v>
      </c>
      <c r="B196" s="130">
        <v>4028158</v>
      </c>
      <c r="C196" s="142"/>
      <c r="D196" s="130"/>
      <c r="E196" s="129">
        <f t="shared" si="10"/>
        <v>4028158</v>
      </c>
    </row>
    <row r="197" spans="1:8" ht="12.65" customHeight="1" x14ac:dyDescent="0.3">
      <c r="A197" s="129" t="s">
        <v>334</v>
      </c>
      <c r="B197" s="130">
        <f>40757243+8494002</f>
        <v>49251245</v>
      </c>
      <c r="C197" s="142"/>
      <c r="D197" s="130"/>
      <c r="E197" s="129">
        <f t="shared" si="10"/>
        <v>49251245</v>
      </c>
    </row>
    <row r="198" spans="1:8" ht="12.65" customHeight="1" x14ac:dyDescent="0.3">
      <c r="A198" s="129" t="s">
        <v>335</v>
      </c>
      <c r="B198" s="130"/>
      <c r="C198" s="142"/>
      <c r="D198" s="130"/>
      <c r="E198" s="129">
        <f t="shared" si="10"/>
        <v>0</v>
      </c>
    </row>
    <row r="199" spans="1:8" ht="12.65" customHeight="1" x14ac:dyDescent="0.3">
      <c r="A199" s="129" t="s">
        <v>336</v>
      </c>
      <c r="B199" s="130">
        <v>22403842</v>
      </c>
      <c r="C199" s="142">
        <v>9389</v>
      </c>
      <c r="D199" s="130"/>
      <c r="E199" s="129">
        <f t="shared" si="10"/>
        <v>22413231</v>
      </c>
    </row>
    <row r="200" spans="1:8" ht="12.65" customHeight="1" x14ac:dyDescent="0.3">
      <c r="A200" s="129" t="s">
        <v>337</v>
      </c>
      <c r="B200" s="130">
        <v>10632459</v>
      </c>
      <c r="C200" s="142">
        <v>103644</v>
      </c>
      <c r="D200" s="130"/>
      <c r="E200" s="129">
        <f t="shared" si="10"/>
        <v>10736103</v>
      </c>
    </row>
    <row r="201" spans="1:8" ht="12.65" customHeight="1" x14ac:dyDescent="0.3">
      <c r="A201" s="129" t="s">
        <v>338</v>
      </c>
      <c r="B201" s="130"/>
      <c r="C201" s="142"/>
      <c r="D201" s="130"/>
      <c r="E201" s="129">
        <f t="shared" si="10"/>
        <v>0</v>
      </c>
    </row>
    <row r="202" spans="1:8" ht="12.65" customHeight="1" x14ac:dyDescent="0.3">
      <c r="A202" s="129" t="s">
        <v>339</v>
      </c>
      <c r="B202" s="130">
        <v>1361180</v>
      </c>
      <c r="C202" s="142"/>
      <c r="D202" s="130"/>
      <c r="E202" s="129">
        <f t="shared" si="10"/>
        <v>1361180</v>
      </c>
    </row>
    <row r="203" spans="1:8" ht="12.65" customHeight="1" x14ac:dyDescent="0.3">
      <c r="A203" s="129" t="s">
        <v>340</v>
      </c>
      <c r="B203" s="130">
        <v>995244</v>
      </c>
      <c r="C203" s="142">
        <v>399732</v>
      </c>
      <c r="D203" s="130"/>
      <c r="E203" s="129">
        <f t="shared" si="10"/>
        <v>1394976</v>
      </c>
    </row>
    <row r="204" spans="1:8" ht="12.65" customHeight="1" x14ac:dyDescent="0.3">
      <c r="A204" s="129" t="s">
        <v>203</v>
      </c>
      <c r="B204" s="129">
        <f>SUM(B195:B203)</f>
        <v>90387459</v>
      </c>
      <c r="C204" s="144">
        <f>SUM(C195:C203)</f>
        <v>519605</v>
      </c>
      <c r="D204" s="129">
        <f>SUM(D195:D203)</f>
        <v>0</v>
      </c>
      <c r="E204" s="129">
        <f>SUM(E195:E203)</f>
        <v>90907064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1766043</v>
      </c>
      <c r="C209" s="142">
        <v>247941</v>
      </c>
      <c r="D209" s="130"/>
      <c r="E209" s="129">
        <f t="shared" ref="E209:E216" si="11">SUM(B209:C209)-D209</f>
        <v>2013984</v>
      </c>
      <c r="H209"/>
    </row>
    <row r="210" spans="1:8" ht="12.65" customHeight="1" x14ac:dyDescent="0.3">
      <c r="A210" s="129" t="s">
        <v>334</v>
      </c>
      <c r="B210" s="130">
        <v>21865252</v>
      </c>
      <c r="C210" s="142">
        <v>1567906</v>
      </c>
      <c r="D210" s="130"/>
      <c r="E210" s="129">
        <f t="shared" si="11"/>
        <v>23433158</v>
      </c>
      <c r="H210"/>
    </row>
    <row r="211" spans="1:8" ht="12.65" customHeight="1" x14ac:dyDescent="0.3">
      <c r="A211" s="129" t="s">
        <v>335</v>
      </c>
      <c r="B211" s="130"/>
      <c r="C211" s="142"/>
      <c r="D211" s="130"/>
      <c r="E211" s="129">
        <f t="shared" si="11"/>
        <v>0</v>
      </c>
      <c r="H211"/>
    </row>
    <row r="212" spans="1:8" ht="12.65" customHeight="1" x14ac:dyDescent="0.3">
      <c r="A212" s="129" t="s">
        <v>336</v>
      </c>
      <c r="B212" s="130">
        <v>10236001</v>
      </c>
      <c r="C212" s="142">
        <v>1485767</v>
      </c>
      <c r="D212" s="130"/>
      <c r="E212" s="129">
        <f t="shared" si="11"/>
        <v>11721768</v>
      </c>
      <c r="H212"/>
    </row>
    <row r="213" spans="1:8" ht="12.65" customHeight="1" x14ac:dyDescent="0.3">
      <c r="A213" s="129" t="s">
        <v>337</v>
      </c>
      <c r="B213" s="130">
        <f>7612703+7411423</f>
        <v>15024126</v>
      </c>
      <c r="C213" s="142">
        <f>752523+212015</f>
        <v>964538</v>
      </c>
      <c r="D213" s="130"/>
      <c r="E213" s="129">
        <f t="shared" si="11"/>
        <v>15988664</v>
      </c>
      <c r="H213"/>
    </row>
    <row r="214" spans="1:8" ht="12.65" customHeight="1" x14ac:dyDescent="0.3">
      <c r="A214" s="129" t="s">
        <v>338</v>
      </c>
      <c r="B214" s="130"/>
      <c r="C214" s="142"/>
      <c r="D214" s="130"/>
      <c r="E214" s="129">
        <f t="shared" si="11"/>
        <v>0</v>
      </c>
      <c r="H214"/>
    </row>
    <row r="215" spans="1:8" ht="12.65" customHeight="1" x14ac:dyDescent="0.3">
      <c r="A215" s="129" t="s">
        <v>339</v>
      </c>
      <c r="B215" s="130">
        <v>897717</v>
      </c>
      <c r="C215" s="142">
        <v>110307</v>
      </c>
      <c r="D215" s="130"/>
      <c r="E215" s="129">
        <f t="shared" si="11"/>
        <v>1008024</v>
      </c>
      <c r="H215"/>
    </row>
    <row r="216" spans="1:8" ht="12.65" customHeight="1" x14ac:dyDescent="0.3">
      <c r="A216" s="129" t="s">
        <v>340</v>
      </c>
      <c r="B216" s="130"/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49789139</v>
      </c>
      <c r="C217" s="144">
        <f>SUM(C208:C216)</f>
        <v>4376459</v>
      </c>
      <c r="D217" s="129">
        <f>SUM(D208:D216)</f>
        <v>0</v>
      </c>
      <c r="E217" s="129">
        <f>SUM(E208:E216)</f>
        <v>54165598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70" t="s">
        <v>1254</v>
      </c>
      <c r="C220" s="270"/>
      <c r="D220" s="159"/>
      <c r="E220" s="159"/>
    </row>
    <row r="221" spans="1:8" ht="12.65" customHeight="1" x14ac:dyDescent="0.3">
      <c r="A221" s="210" t="s">
        <v>1254</v>
      </c>
      <c r="B221" s="159"/>
      <c r="C221" s="142">
        <v>5525532</v>
      </c>
      <c r="D221" s="128">
        <f>C221</f>
        <v>5525532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142">
        <v>100993077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24245019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/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/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>
        <v>26198456</v>
      </c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151436552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142">
        <v>1259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>
        <v>-10000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3882263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3872263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142"/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160834347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65" customHeight="1" x14ac:dyDescent="0.3">
      <c r="A248" s="159" t="s">
        <v>360</v>
      </c>
      <c r="B248" s="159"/>
      <c r="C248" s="159"/>
      <c r="D248" s="159"/>
      <c r="E248" s="159"/>
    </row>
    <row r="249" spans="1:5" ht="11.2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142">
        <v>64455434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142"/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142">
        <v>36791422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142">
        <v>19844000</v>
      </c>
      <c r="D253" s="129"/>
      <c r="E253" s="129"/>
    </row>
    <row r="254" spans="1:5" ht="12.65" customHeight="1" x14ac:dyDescent="0.3">
      <c r="A254" s="129" t="s">
        <v>1240</v>
      </c>
      <c r="B254" s="128" t="s">
        <v>256</v>
      </c>
      <c r="C254" s="142"/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142">
        <v>1988668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142"/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142">
        <v>5195882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142">
        <v>1513047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2.65" customHeight="1" x14ac:dyDescent="0.3">
      <c r="A260" s="129" t="s">
        <v>371</v>
      </c>
      <c r="B260" s="129"/>
      <c r="C260" s="144"/>
      <c r="D260" s="129">
        <f>SUM(C250:C252)-C253+SUM(C254:C259)</f>
        <v>90100453</v>
      </c>
      <c r="E260" s="129"/>
    </row>
    <row r="261" spans="1:5" ht="11.2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/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/>
      <c r="D264" s="129"/>
      <c r="E264" s="129"/>
    </row>
    <row r="265" spans="1:5" ht="12.65" customHeight="1" x14ac:dyDescent="0.3">
      <c r="A265" s="129" t="s">
        <v>374</v>
      </c>
      <c r="B265" s="129"/>
      <c r="C265" s="144"/>
      <c r="D265" s="129">
        <f>SUM(C262:C264)</f>
        <v>0</v>
      </c>
      <c r="E265" s="129"/>
    </row>
    <row r="266" spans="1:5" ht="11.2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142">
        <f>E195</f>
        <v>1722171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142">
        <f>E196</f>
        <v>4028158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142">
        <f t="shared" ref="C269:C272" si="12">E197</f>
        <v>49251245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142">
        <f t="shared" si="12"/>
        <v>0</v>
      </c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142">
        <f t="shared" si="12"/>
        <v>22413231</v>
      </c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142">
        <f t="shared" si="12"/>
        <v>10736103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142">
        <f>E202</f>
        <v>1361180</v>
      </c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142">
        <f>E203</f>
        <v>1394976</v>
      </c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90907064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f>E217</f>
        <v>54165598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36741466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/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/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0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/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126841919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394</v>
      </c>
      <c r="B302" s="159"/>
      <c r="C302" s="159"/>
      <c r="D302" s="159"/>
      <c r="E302" s="159"/>
    </row>
    <row r="303" spans="1:5" ht="14.2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v>3264310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9522030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>
        <v>276085</v>
      </c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>
        <v>4600412</v>
      </c>
      <c r="D308" s="129"/>
      <c r="E308" s="129"/>
    </row>
    <row r="309" spans="1:5" ht="12.65" customHeight="1" x14ac:dyDescent="0.3">
      <c r="A309" s="129" t="s">
        <v>1241</v>
      </c>
      <c r="B309" s="128" t="s">
        <v>256</v>
      </c>
      <c r="C309" s="142"/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>
        <v>8966970</v>
      </c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>
        <v>1540013</v>
      </c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28169820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>
        <v>2645331</v>
      </c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2645331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/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>
        <v>185580</v>
      </c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>
        <f>25262244+1354433</f>
        <v>26616677</v>
      </c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2.65" customHeight="1" x14ac:dyDescent="0.3">
      <c r="A327" s="129" t="s">
        <v>418</v>
      </c>
      <c r="B327" s="128" t="s">
        <v>256</v>
      </c>
      <c r="C327" s="142"/>
      <c r="D327" s="129"/>
      <c r="E327" s="129"/>
    </row>
    <row r="328" spans="1:5" ht="19.5" customHeight="1" x14ac:dyDescent="0.3">
      <c r="A328" s="129" t="s">
        <v>203</v>
      </c>
      <c r="B328" s="129"/>
      <c r="C328" s="144"/>
      <c r="D328" s="129">
        <f>SUM(C321:C327)</f>
        <v>26802257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1540013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25262244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v>70764524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1252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126841919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126841919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142">
        <v>39798234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258197348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297995582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1254</v>
      </c>
      <c r="B363" s="199"/>
      <c r="C363" s="142">
        <v>5525532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142">
        <v>151436552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3872263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/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160834347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137161235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142">
        <v>9226620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>
        <v>503708</v>
      </c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9730328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146891563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142">
        <v>70571034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15917306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3069586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28439638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1192355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v>8621439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4376458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1681492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1154749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923436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970362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v>2369520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139287375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7604188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/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7604188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2.65" customHeight="1" x14ac:dyDescent="0.3">
      <c r="A396" s="129" t="s">
        <v>458</v>
      </c>
      <c r="B396" s="129"/>
      <c r="C396" s="144"/>
      <c r="D396" s="129">
        <f>D393+C394-C395</f>
        <v>7604188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Jefferson County Public Hospital District No 2   H-0     FYE 12/31/2021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1261</v>
      </c>
      <c r="C414" s="1">
        <f>E138</f>
        <v>1261</v>
      </c>
    </row>
    <row r="415" spans="1:5" ht="12.65" customHeight="1" x14ac:dyDescent="0.3">
      <c r="A415" s="1" t="s">
        <v>464</v>
      </c>
      <c r="B415" s="1">
        <f>D111</f>
        <v>3611</v>
      </c>
      <c r="C415" s="1">
        <f>E139</f>
        <v>3611</v>
      </c>
      <c r="D415" s="1">
        <f>SUM(C59:H59)+N59</f>
        <v>3931</v>
      </c>
    </row>
    <row r="417" spans="1:7" ht="12.65" customHeight="1" x14ac:dyDescent="0.3">
      <c r="A417" s="1" t="s">
        <v>465</v>
      </c>
      <c r="B417" s="1">
        <f>C112</f>
        <v>16</v>
      </c>
      <c r="C417" s="1">
        <f>E144</f>
        <v>16</v>
      </c>
    </row>
    <row r="418" spans="1:7" ht="12.65" customHeight="1" x14ac:dyDescent="0.3">
      <c r="A418" s="1" t="s">
        <v>466</v>
      </c>
      <c r="B418" s="1">
        <f>D112</f>
        <v>127</v>
      </c>
      <c r="C418" s="1">
        <f>E145</f>
        <v>127</v>
      </c>
      <c r="D418" s="1">
        <f>K59+L59</f>
        <v>127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87</v>
      </c>
    </row>
    <row r="424" spans="1:7" ht="12.65" customHeight="1" x14ac:dyDescent="0.3">
      <c r="A424" s="1" t="s">
        <v>1243</v>
      </c>
      <c r="B424" s="1">
        <f>D114</f>
        <v>162</v>
      </c>
      <c r="D424" s="1">
        <f>J59</f>
        <v>162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3">C378</f>
        <v>70571034</v>
      </c>
      <c r="C427" s="1">
        <f t="shared" ref="C427:C434" si="14">CE61</f>
        <v>70571033</v>
      </c>
    </row>
    <row r="428" spans="1:7" ht="12.65" customHeight="1" x14ac:dyDescent="0.3">
      <c r="A428" s="1" t="s">
        <v>3</v>
      </c>
      <c r="B428" s="1">
        <f t="shared" si="13"/>
        <v>15917306</v>
      </c>
      <c r="C428" s="1">
        <f t="shared" si="14"/>
        <v>15917309</v>
      </c>
      <c r="D428" s="1">
        <f>D173</f>
        <v>15917306</v>
      </c>
    </row>
    <row r="429" spans="1:7" ht="12.65" customHeight="1" x14ac:dyDescent="0.3">
      <c r="A429" s="1" t="s">
        <v>236</v>
      </c>
      <c r="B429" s="1">
        <f t="shared" si="13"/>
        <v>3069586</v>
      </c>
      <c r="C429" s="1">
        <f t="shared" si="14"/>
        <v>3069586</v>
      </c>
    </row>
    <row r="430" spans="1:7" ht="12.65" customHeight="1" x14ac:dyDescent="0.3">
      <c r="A430" s="1" t="s">
        <v>237</v>
      </c>
      <c r="B430" s="1">
        <f t="shared" si="13"/>
        <v>28439638</v>
      </c>
      <c r="C430" s="1">
        <f t="shared" si="14"/>
        <v>28439638</v>
      </c>
    </row>
    <row r="431" spans="1:7" ht="12.65" customHeight="1" x14ac:dyDescent="0.3">
      <c r="A431" s="1" t="s">
        <v>444</v>
      </c>
      <c r="B431" s="1">
        <f t="shared" si="13"/>
        <v>1192355</v>
      </c>
      <c r="C431" s="1">
        <f t="shared" si="14"/>
        <v>1192355</v>
      </c>
    </row>
    <row r="432" spans="1:7" ht="12.65" customHeight="1" x14ac:dyDescent="0.3">
      <c r="A432" s="1" t="s">
        <v>445</v>
      </c>
      <c r="B432" s="1">
        <f t="shared" si="13"/>
        <v>8621439</v>
      </c>
      <c r="C432" s="1">
        <f t="shared" si="14"/>
        <v>8621439</v>
      </c>
    </row>
    <row r="433" spans="1:7" ht="12.65" customHeight="1" x14ac:dyDescent="0.3">
      <c r="A433" s="1" t="s">
        <v>6</v>
      </c>
      <c r="B433" s="1">
        <f t="shared" si="13"/>
        <v>4376458</v>
      </c>
      <c r="C433" s="1">
        <f t="shared" si="14"/>
        <v>4376582</v>
      </c>
      <c r="D433" s="1">
        <f>C217</f>
        <v>4376459</v>
      </c>
    </row>
    <row r="434" spans="1:7" ht="12.65" customHeight="1" x14ac:dyDescent="0.3">
      <c r="A434" s="1" t="s">
        <v>474</v>
      </c>
      <c r="B434" s="1">
        <f t="shared" si="13"/>
        <v>1681492</v>
      </c>
      <c r="C434" s="1">
        <f t="shared" si="14"/>
        <v>1681492</v>
      </c>
      <c r="D434" s="1">
        <f>D177</f>
        <v>1681492</v>
      </c>
    </row>
    <row r="435" spans="1:7" ht="12.65" customHeight="1" x14ac:dyDescent="0.3">
      <c r="A435" s="1" t="s">
        <v>447</v>
      </c>
      <c r="B435" s="1">
        <f t="shared" si="13"/>
        <v>1154749</v>
      </c>
      <c r="D435" s="1">
        <f>D181</f>
        <v>1154749</v>
      </c>
    </row>
    <row r="436" spans="1:7" ht="12.65" customHeight="1" x14ac:dyDescent="0.3">
      <c r="A436" s="1" t="s">
        <v>475</v>
      </c>
      <c r="B436" s="1">
        <f t="shared" si="13"/>
        <v>923436</v>
      </c>
      <c r="D436" s="1">
        <f>D186</f>
        <v>923436</v>
      </c>
    </row>
    <row r="437" spans="1:7" ht="12.65" customHeight="1" x14ac:dyDescent="0.3">
      <c r="A437" s="1" t="s">
        <v>449</v>
      </c>
      <c r="B437" s="1">
        <f t="shared" si="13"/>
        <v>970362</v>
      </c>
      <c r="D437" s="1">
        <f>D190</f>
        <v>970362</v>
      </c>
    </row>
    <row r="438" spans="1:7" ht="12.65" customHeight="1" x14ac:dyDescent="0.3">
      <c r="A438" s="1" t="s">
        <v>476</v>
      </c>
      <c r="B438" s="1">
        <f>C386+C387+C388</f>
        <v>3048547</v>
      </c>
      <c r="C438" s="1">
        <f>CD69</f>
        <v>3048547</v>
      </c>
      <c r="D438" s="1">
        <f>D181+D186+D190</f>
        <v>3048547</v>
      </c>
    </row>
    <row r="439" spans="1:7" ht="12.65" customHeight="1" x14ac:dyDescent="0.3">
      <c r="A439" s="1" t="s">
        <v>451</v>
      </c>
      <c r="B439" s="1">
        <f>C389</f>
        <v>2369520</v>
      </c>
      <c r="C439" s="1">
        <f>SUM(C69:CC69)</f>
        <v>2369520</v>
      </c>
    </row>
    <row r="440" spans="1:7" ht="12.65" customHeight="1" x14ac:dyDescent="0.3">
      <c r="A440" s="1" t="s">
        <v>477</v>
      </c>
      <c r="B440" s="1">
        <f>B438+B439</f>
        <v>5418067</v>
      </c>
      <c r="C440" s="1">
        <f>CE69</f>
        <v>5418067</v>
      </c>
    </row>
    <row r="441" spans="1:7" ht="12.65" customHeight="1" x14ac:dyDescent="0.3">
      <c r="A441" s="1" t="s">
        <v>478</v>
      </c>
      <c r="B441" s="1">
        <f>D390</f>
        <v>139287375</v>
      </c>
      <c r="C441" s="1">
        <f>SUM(C427:C437)+C440</f>
        <v>139287501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1256</v>
      </c>
      <c r="B444" s="1">
        <f>D221</f>
        <v>5525532</v>
      </c>
      <c r="C444" s="1">
        <f>C363</f>
        <v>5525532</v>
      </c>
    </row>
    <row r="445" spans="1:7" ht="12.65" customHeight="1" x14ac:dyDescent="0.3">
      <c r="A445" s="1" t="s">
        <v>343</v>
      </c>
      <c r="B445" s="1">
        <f>D229</f>
        <v>151436552</v>
      </c>
      <c r="C445" s="1">
        <f>C364</f>
        <v>151436552</v>
      </c>
    </row>
    <row r="446" spans="1:7" ht="12.65" customHeight="1" x14ac:dyDescent="0.3">
      <c r="A446" s="1" t="s">
        <v>351</v>
      </c>
      <c r="B446" s="1">
        <f>D236</f>
        <v>3872263</v>
      </c>
      <c r="C446" s="1">
        <f>C365</f>
        <v>3872263</v>
      </c>
    </row>
    <row r="447" spans="1:7" ht="12.65" customHeight="1" x14ac:dyDescent="0.3">
      <c r="A447" s="1" t="s">
        <v>356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358</v>
      </c>
      <c r="B448" s="1">
        <f>D242</f>
        <v>160834347</v>
      </c>
      <c r="C448" s="1">
        <f>D367</f>
        <v>160834347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1259</v>
      </c>
    </row>
    <row r="454" spans="1:7" ht="12.65" customHeight="1" x14ac:dyDescent="0.3">
      <c r="A454" s="1" t="s">
        <v>168</v>
      </c>
      <c r="B454" s="1">
        <f>C233</f>
        <v>-10000</v>
      </c>
    </row>
    <row r="455" spans="1:7" ht="12.65" customHeight="1" x14ac:dyDescent="0.3">
      <c r="A455" s="1" t="s">
        <v>131</v>
      </c>
      <c r="B455" s="1">
        <f>C234</f>
        <v>3882263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9226620</v>
      </c>
      <c r="C458" s="1">
        <f>CE70</f>
        <v>9226620</v>
      </c>
    </row>
    <row r="459" spans="1:7" ht="12.65" customHeight="1" x14ac:dyDescent="0.3">
      <c r="A459" s="1" t="s">
        <v>244</v>
      </c>
      <c r="B459" s="1">
        <f>C371</f>
        <v>503708</v>
      </c>
      <c r="C459" s="1">
        <f>CE72</f>
        <v>503708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1244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39798234</v>
      </c>
      <c r="C463" s="1">
        <f>CE73</f>
        <v>39798234</v>
      </c>
      <c r="D463" s="1">
        <f>E141+E147+E153</f>
        <v>39798234</v>
      </c>
    </row>
    <row r="464" spans="1:7" ht="12.65" customHeight="1" x14ac:dyDescent="0.3">
      <c r="A464" s="1" t="s">
        <v>246</v>
      </c>
      <c r="B464" s="1">
        <f>C360</f>
        <v>258197348</v>
      </c>
      <c r="C464" s="1">
        <f>CE74</f>
        <v>258197348</v>
      </c>
      <c r="D464" s="1">
        <f>E142+E148+E154</f>
        <v>258197348</v>
      </c>
    </row>
    <row r="465" spans="1:7" ht="12.65" customHeight="1" x14ac:dyDescent="0.3">
      <c r="A465" s="1" t="s">
        <v>247</v>
      </c>
      <c r="B465" s="1">
        <f>D361</f>
        <v>297995582</v>
      </c>
      <c r="C465" s="1">
        <f>CE75</f>
        <v>297995582</v>
      </c>
      <c r="D465" s="1">
        <f>D463+D464</f>
        <v>297995582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5">C267</f>
        <v>1722171</v>
      </c>
      <c r="C468" s="1">
        <f>E195</f>
        <v>1722171</v>
      </c>
    </row>
    <row r="469" spans="1:7" ht="12.65" customHeight="1" x14ac:dyDescent="0.3">
      <c r="A469" s="1" t="s">
        <v>333</v>
      </c>
      <c r="B469" s="1">
        <f t="shared" si="15"/>
        <v>4028158</v>
      </c>
      <c r="C469" s="1">
        <f>E196</f>
        <v>4028158</v>
      </c>
    </row>
    <row r="470" spans="1:7" ht="12.65" customHeight="1" x14ac:dyDescent="0.3">
      <c r="A470" s="1" t="s">
        <v>334</v>
      </c>
      <c r="B470" s="1">
        <f t="shared" si="15"/>
        <v>49251245</v>
      </c>
      <c r="C470" s="1">
        <f>E197</f>
        <v>49251245</v>
      </c>
    </row>
    <row r="471" spans="1:7" ht="12.65" customHeight="1" x14ac:dyDescent="0.3">
      <c r="A471" s="1" t="s">
        <v>494</v>
      </c>
      <c r="B471" s="1">
        <f t="shared" si="15"/>
        <v>0</v>
      </c>
      <c r="C471" s="1">
        <f>E198</f>
        <v>0</v>
      </c>
    </row>
    <row r="472" spans="1:7" ht="12.65" customHeight="1" x14ac:dyDescent="0.3">
      <c r="A472" s="1" t="s">
        <v>377</v>
      </c>
      <c r="B472" s="1">
        <f t="shared" si="15"/>
        <v>22413231</v>
      </c>
      <c r="C472" s="1">
        <f>E199</f>
        <v>22413231</v>
      </c>
    </row>
    <row r="473" spans="1:7" ht="12.65" customHeight="1" x14ac:dyDescent="0.3">
      <c r="A473" s="1" t="s">
        <v>495</v>
      </c>
      <c r="B473" s="1">
        <f t="shared" si="15"/>
        <v>10736103</v>
      </c>
      <c r="C473" s="1">
        <f>SUM(E200:E201)</f>
        <v>10736103</v>
      </c>
    </row>
    <row r="474" spans="1:7" ht="12.65" customHeight="1" x14ac:dyDescent="0.3">
      <c r="A474" s="1" t="s">
        <v>339</v>
      </c>
      <c r="B474" s="1">
        <f t="shared" si="15"/>
        <v>1361180</v>
      </c>
      <c r="C474" s="1">
        <f>E202</f>
        <v>1361180</v>
      </c>
    </row>
    <row r="475" spans="1:7" ht="12.65" customHeight="1" x14ac:dyDescent="0.3">
      <c r="A475" s="1" t="s">
        <v>340</v>
      </c>
      <c r="B475" s="1">
        <f t="shared" si="15"/>
        <v>1394976</v>
      </c>
      <c r="C475" s="1">
        <f>E203</f>
        <v>1394976</v>
      </c>
    </row>
    <row r="476" spans="1:7" ht="12.65" customHeight="1" x14ac:dyDescent="0.3">
      <c r="A476" s="1" t="s">
        <v>203</v>
      </c>
      <c r="B476" s="1">
        <f>D275</f>
        <v>90907064</v>
      </c>
      <c r="C476" s="1">
        <f>E204</f>
        <v>90907064</v>
      </c>
    </row>
    <row r="478" spans="1:7" ht="12.65" customHeight="1" x14ac:dyDescent="0.3">
      <c r="A478" s="1" t="s">
        <v>496</v>
      </c>
      <c r="B478" s="1">
        <f>C276</f>
        <v>54165598</v>
      </c>
      <c r="C478" s="1">
        <f>E217</f>
        <v>54165598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126841919</v>
      </c>
    </row>
    <row r="482" spans="1:12" ht="12.65" customHeight="1" x14ac:dyDescent="0.3">
      <c r="A482" s="1" t="s">
        <v>499</v>
      </c>
      <c r="C482" s="1">
        <f>D339</f>
        <v>126841919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085</v>
      </c>
      <c r="B493" s="202" t="str">
        <f>RIGHT('Prior Year'!C82,4)</f>
        <v>2020</v>
      </c>
      <c r="C493" s="202" t="str">
        <f>RIGHT(C82,4)</f>
        <v>2021</v>
      </c>
      <c r="D493" s="202" t="str">
        <f>RIGHT('Prior Year'!C82,4)</f>
        <v>2020</v>
      </c>
      <c r="E493" s="202" t="str">
        <f>RIGHT(C82,4)</f>
        <v>2021</v>
      </c>
      <c r="F493" s="202" t="str">
        <f>RIGHT('Prior Year'!C82,4)</f>
        <v>2020</v>
      </c>
      <c r="G493" s="202" t="str">
        <f>RIGHT(C82,4)</f>
        <v>2021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'Prior Year'!C71</f>
        <v>1369549</v>
      </c>
      <c r="C496" s="185">
        <f>C71</f>
        <v>1445216</v>
      </c>
      <c r="D496" s="185">
        <f>'Prior Year'!C59</f>
        <v>179</v>
      </c>
      <c r="E496" s="1">
        <f>C59</f>
        <v>320</v>
      </c>
      <c r="F496" s="204">
        <f t="shared" ref="F496:G511" si="16">IF(B496=0,"",IF(D496=0,"",B496/D496))</f>
        <v>7651.1117318435754</v>
      </c>
      <c r="G496" s="204">
        <f t="shared" si="16"/>
        <v>4516.3</v>
      </c>
      <c r="H496" s="205">
        <f>IF(B496=0,"",IF(C496=0,"",IF(D496=0,"",IF(E496=0,"",IF(G496/F496-1&lt;-0.25,G496/F496-1,IF(G496/F496-1&gt;0.25,G496/F496-1,""))))))</f>
        <v>-0.40971976906266216</v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'Prior Year'!D71</f>
        <v>0</v>
      </c>
      <c r="C497" s="185">
        <f>D71</f>
        <v>0</v>
      </c>
      <c r="D497" s="185">
        <f>'Prior Year'!D59</f>
        <v>0</v>
      </c>
      <c r="E497" s="1">
        <f>D59</f>
        <v>0</v>
      </c>
      <c r="F497" s="204" t="str">
        <f t="shared" si="16"/>
        <v/>
      </c>
      <c r="G497" s="204" t="str">
        <f t="shared" si="16"/>
        <v/>
      </c>
      <c r="H497" s="205" t="str">
        <f t="shared" ref="H497:H550" si="17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'Prior Year'!E71</f>
        <v>4174509</v>
      </c>
      <c r="C498" s="185">
        <f>E71</f>
        <v>7690962.5491102384</v>
      </c>
      <c r="D498" s="185">
        <f>'Prior Year'!E59</f>
        <v>2981</v>
      </c>
      <c r="E498" s="1">
        <f>E59</f>
        <v>3611</v>
      </c>
      <c r="F498" s="204">
        <f t="shared" si="16"/>
        <v>1400.3720228111372</v>
      </c>
      <c r="G498" s="204">
        <f t="shared" si="16"/>
        <v>2129.8705480781609</v>
      </c>
      <c r="H498" s="205">
        <f t="shared" si="17"/>
        <v>0.52093194764246475</v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'Prior Year'!F71</f>
        <v>0</v>
      </c>
      <c r="C499" s="185">
        <f>F71</f>
        <v>0</v>
      </c>
      <c r="D499" s="185">
        <f>'Prior Year'!F59</f>
        <v>0</v>
      </c>
      <c r="E499" s="1">
        <f>F59</f>
        <v>0</v>
      </c>
      <c r="F499" s="204" t="str">
        <f t="shared" si="16"/>
        <v/>
      </c>
      <c r="G499" s="204" t="str">
        <f t="shared" si="16"/>
        <v/>
      </c>
      <c r="H499" s="205" t="str">
        <f t="shared" si="17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'Prior Year'!G71</f>
        <v>0</v>
      </c>
      <c r="C500" s="185">
        <f>G71</f>
        <v>0</v>
      </c>
      <c r="D500" s="185">
        <f>'Prior Year'!G59</f>
        <v>0</v>
      </c>
      <c r="E500" s="1">
        <f>G59</f>
        <v>0</v>
      </c>
      <c r="F500" s="204" t="str">
        <f t="shared" si="16"/>
        <v/>
      </c>
      <c r="G500" s="204" t="str">
        <f t="shared" si="16"/>
        <v/>
      </c>
      <c r="H500" s="205" t="str">
        <f t="shared" si="17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'Prior Year'!H71</f>
        <v>0</v>
      </c>
      <c r="C501" s="185">
        <f>H71</f>
        <v>0</v>
      </c>
      <c r="D501" s="185">
        <f>'Prior Year'!H59</f>
        <v>0</v>
      </c>
      <c r="E501" s="1">
        <f>H59</f>
        <v>0</v>
      </c>
      <c r="F501" s="204" t="str">
        <f t="shared" si="16"/>
        <v/>
      </c>
      <c r="G501" s="204" t="str">
        <f t="shared" si="16"/>
        <v/>
      </c>
      <c r="H501" s="205" t="str">
        <f t="shared" si="17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'Prior Year'!I71</f>
        <v>0</v>
      </c>
      <c r="C502" s="185">
        <f>I71</f>
        <v>0</v>
      </c>
      <c r="D502" s="185">
        <f>'Prior Year'!I59</f>
        <v>0</v>
      </c>
      <c r="E502" s="1">
        <f>I59</f>
        <v>0</v>
      </c>
      <c r="F502" s="204" t="str">
        <f t="shared" si="16"/>
        <v/>
      </c>
      <c r="G502" s="204" t="str">
        <f t="shared" si="16"/>
        <v/>
      </c>
      <c r="H502" s="205" t="str">
        <f t="shared" si="17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'Prior Year'!J71</f>
        <v>2934</v>
      </c>
      <c r="C503" s="185">
        <f>J71</f>
        <v>345044.37855327019</v>
      </c>
      <c r="D503" s="185">
        <f>'Prior Year'!J59</f>
        <v>149</v>
      </c>
      <c r="E503" s="1">
        <f>J59</f>
        <v>162</v>
      </c>
      <c r="F503" s="204">
        <f t="shared" si="16"/>
        <v>19.691275167785236</v>
      </c>
      <c r="G503" s="204">
        <f t="shared" si="16"/>
        <v>2129.9035713164826</v>
      </c>
      <c r="H503" s="205">
        <f t="shared" si="17"/>
        <v>107.16483712547918</v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'Prior Year'!K71</f>
        <v>0</v>
      </c>
      <c r="C504" s="185">
        <f>K71</f>
        <v>0</v>
      </c>
      <c r="D504" s="185">
        <f>'Prior Year'!K59</f>
        <v>0</v>
      </c>
      <c r="E504" s="1">
        <f>K59</f>
        <v>0</v>
      </c>
      <c r="F504" s="204" t="str">
        <f t="shared" si="16"/>
        <v/>
      </c>
      <c r="G504" s="204" t="str">
        <f t="shared" si="16"/>
        <v/>
      </c>
      <c r="H504" s="205" t="str">
        <f t="shared" si="17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'Prior Year'!L71</f>
        <v>74474</v>
      </c>
      <c r="C505" s="185">
        <f>L71</f>
        <v>270502.8523226254</v>
      </c>
      <c r="D505" s="185">
        <f>'Prior Year'!L59</f>
        <v>167</v>
      </c>
      <c r="E505" s="1">
        <f>L59</f>
        <v>127</v>
      </c>
      <c r="F505" s="204">
        <f t="shared" si="16"/>
        <v>445.95209580838321</v>
      </c>
      <c r="G505" s="204">
        <f t="shared" si="16"/>
        <v>2129.9437190757908</v>
      </c>
      <c r="H505" s="205">
        <f t="shared" si="17"/>
        <v>3.7761715643802818</v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'Prior Year'!M71</f>
        <v>0</v>
      </c>
      <c r="C506" s="185">
        <f>M71</f>
        <v>1914611</v>
      </c>
      <c r="D506" s="185">
        <f>'Prior Year'!M59</f>
        <v>0</v>
      </c>
      <c r="E506" s="1">
        <f>M59</f>
        <v>16183</v>
      </c>
      <c r="F506" s="204" t="str">
        <f t="shared" si="16"/>
        <v/>
      </c>
      <c r="G506" s="204">
        <f t="shared" si="16"/>
        <v>118.31001668417476</v>
      </c>
      <c r="H506" s="205" t="str">
        <f t="shared" si="17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'Prior Year'!N71</f>
        <v>2507487</v>
      </c>
      <c r="C507" s="185">
        <f>N71</f>
        <v>0</v>
      </c>
      <c r="D507" s="185">
        <f>'Prior Year'!N59</f>
        <v>0</v>
      </c>
      <c r="E507" s="1">
        <f>N59</f>
        <v>0</v>
      </c>
      <c r="F507" s="204" t="str">
        <f t="shared" si="16"/>
        <v/>
      </c>
      <c r="G507" s="204" t="str">
        <f t="shared" si="16"/>
        <v/>
      </c>
      <c r="H507" s="205" t="str">
        <f t="shared" si="17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'Prior Year'!O71</f>
        <v>1562033</v>
      </c>
      <c r="C508" s="185">
        <f>O71</f>
        <v>185312.53663045989</v>
      </c>
      <c r="D508" s="185">
        <f>'Prior Year'!O59</f>
        <v>88</v>
      </c>
      <c r="E508" s="1">
        <f>O59</f>
        <v>87</v>
      </c>
      <c r="F508" s="204">
        <f t="shared" si="16"/>
        <v>17750.375</v>
      </c>
      <c r="G508" s="204">
        <f t="shared" si="16"/>
        <v>2130.0291566719529</v>
      </c>
      <c r="H508" s="205">
        <f t="shared" si="17"/>
        <v>-0.88000089256300484</v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'Prior Year'!P71</f>
        <v>4042476</v>
      </c>
      <c r="C509" s="185">
        <f>P71</f>
        <v>3310703</v>
      </c>
      <c r="D509" s="185">
        <f>'Prior Year'!P59</f>
        <v>164548</v>
      </c>
      <c r="E509" s="1">
        <f>P59</f>
        <v>202480</v>
      </c>
      <c r="F509" s="204">
        <f t="shared" si="16"/>
        <v>24.567153657291488</v>
      </c>
      <c r="G509" s="204">
        <f t="shared" si="16"/>
        <v>16.350765507704466</v>
      </c>
      <c r="H509" s="205">
        <f t="shared" si="17"/>
        <v>-0.33444607642401469</v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'Prior Year'!Q71</f>
        <v>33612</v>
      </c>
      <c r="C510" s="185">
        <f>Q71</f>
        <v>870664</v>
      </c>
      <c r="D510" s="185">
        <f>'Prior Year'!Q59</f>
        <v>36379</v>
      </c>
      <c r="E510" s="1">
        <f>Q59</f>
        <v>42396</v>
      </c>
      <c r="F510" s="204">
        <f t="shared" si="16"/>
        <v>0.9239396355039996</v>
      </c>
      <c r="G510" s="204">
        <f t="shared" si="16"/>
        <v>20.536465704311727</v>
      </c>
      <c r="H510" s="205">
        <f t="shared" si="17"/>
        <v>21.227064318016073</v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'Prior Year'!R71</f>
        <v>1645601</v>
      </c>
      <c r="C511" s="185">
        <f>R71</f>
        <v>1658612</v>
      </c>
      <c r="D511" s="185">
        <f>'Prior Year'!R59</f>
        <v>166554</v>
      </c>
      <c r="E511" s="1">
        <f>R59</f>
        <v>201254</v>
      </c>
      <c r="F511" s="204">
        <f t="shared" si="16"/>
        <v>9.8802850727091514</v>
      </c>
      <c r="G511" s="204">
        <f t="shared" si="16"/>
        <v>8.241386506603595</v>
      </c>
      <c r="H511" s="205" t="str">
        <f t="shared" si="17"/>
        <v/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'Prior Year'!S71</f>
        <v>1791088</v>
      </c>
      <c r="C512" s="185">
        <f>S71</f>
        <v>3600449</v>
      </c>
      <c r="D512" s="134" t="s">
        <v>529</v>
      </c>
      <c r="E512" s="134" t="s">
        <v>529</v>
      </c>
      <c r="F512" s="204" t="str">
        <f t="shared" ref="F512:G527" si="18">IF(B512=0,"",IF(D512=0,"",B512/D512))</f>
        <v/>
      </c>
      <c r="G512" s="204" t="str">
        <f t="shared" si="18"/>
        <v/>
      </c>
      <c r="H512" s="205" t="str">
        <f t="shared" si="17"/>
        <v/>
      </c>
      <c r="I512" s="207"/>
      <c r="K512" s="202"/>
      <c r="L512" s="202"/>
    </row>
    <row r="513" spans="1:12" ht="12.65" customHeight="1" x14ac:dyDescent="0.3">
      <c r="A513" s="1" t="s">
        <v>1245</v>
      </c>
      <c r="B513" s="185">
        <f>'Prior Year'!T71</f>
        <v>0</v>
      </c>
      <c r="C513" s="185">
        <f>T71</f>
        <v>0</v>
      </c>
      <c r="D513" s="134" t="s">
        <v>529</v>
      </c>
      <c r="E513" s="134" t="s">
        <v>529</v>
      </c>
      <c r="F513" s="204" t="str">
        <f t="shared" si="18"/>
        <v/>
      </c>
      <c r="G513" s="204" t="str">
        <f t="shared" si="18"/>
        <v/>
      </c>
      <c r="H513" s="205" t="str">
        <f t="shared" si="17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'Prior Year'!U71</f>
        <v>6386780</v>
      </c>
      <c r="C514" s="185">
        <f>U71</f>
        <v>7587469</v>
      </c>
      <c r="D514" s="185">
        <f>'Prior Year'!U59</f>
        <v>223520</v>
      </c>
      <c r="E514" s="1">
        <f>U59</f>
        <v>275292</v>
      </c>
      <c r="F514" s="204">
        <f t="shared" si="18"/>
        <v>28.573639942734431</v>
      </c>
      <c r="G514" s="204">
        <f t="shared" si="18"/>
        <v>27.561531028871162</v>
      </c>
      <c r="H514" s="205" t="str">
        <f t="shared" si="17"/>
        <v/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'Prior Year'!V71</f>
        <v>0</v>
      </c>
      <c r="C515" s="185">
        <f>V71</f>
        <v>0</v>
      </c>
      <c r="D515" s="185">
        <f>'Prior Year'!V59</f>
        <v>983</v>
      </c>
      <c r="E515" s="1">
        <f>V59</f>
        <v>0</v>
      </c>
      <c r="F515" s="204" t="str">
        <f t="shared" si="18"/>
        <v/>
      </c>
      <c r="G515" s="204" t="str">
        <f t="shared" si="18"/>
        <v/>
      </c>
      <c r="H515" s="205" t="str">
        <f t="shared" si="17"/>
        <v/>
      </c>
      <c r="I515" s="207"/>
      <c r="K515" s="202"/>
      <c r="L515" s="202"/>
    </row>
    <row r="516" spans="1:12" ht="12.65" customHeight="1" x14ac:dyDescent="0.3">
      <c r="A516" s="1" t="s">
        <v>532</v>
      </c>
      <c r="B516" s="185">
        <f>'Prior Year'!W71</f>
        <v>676140</v>
      </c>
      <c r="C516" s="185">
        <f>W71</f>
        <v>279051</v>
      </c>
      <c r="D516" s="185">
        <f>'Prior Year'!W59</f>
        <v>2147</v>
      </c>
      <c r="E516" s="1">
        <f>W59</f>
        <v>2482</v>
      </c>
      <c r="F516" s="204">
        <f t="shared" si="18"/>
        <v>314.92314857941312</v>
      </c>
      <c r="G516" s="204">
        <f t="shared" si="18"/>
        <v>112.42989524576954</v>
      </c>
      <c r="H516" s="205">
        <f t="shared" si="17"/>
        <v>-0.6429925975498163</v>
      </c>
      <c r="I516" s="207"/>
      <c r="K516" s="202"/>
      <c r="L516" s="202"/>
    </row>
    <row r="517" spans="1:12" ht="12.65" customHeight="1" x14ac:dyDescent="0.3">
      <c r="A517" s="1" t="s">
        <v>533</v>
      </c>
      <c r="B517" s="185">
        <f>'Prior Year'!X71</f>
        <v>366757</v>
      </c>
      <c r="C517" s="185">
        <f>X71</f>
        <v>777482</v>
      </c>
      <c r="D517" s="185">
        <f>'Prior Year'!X59</f>
        <v>5555</v>
      </c>
      <c r="E517" s="1">
        <f>X59</f>
        <v>6915</v>
      </c>
      <c r="F517" s="204">
        <f t="shared" si="18"/>
        <v>66.022862286228616</v>
      </c>
      <c r="G517" s="204">
        <f t="shared" si="18"/>
        <v>112.43412870571223</v>
      </c>
      <c r="H517" s="205">
        <f t="shared" si="17"/>
        <v>0.70295750308850669</v>
      </c>
      <c r="I517" s="207"/>
      <c r="K517" s="202"/>
      <c r="L517" s="202"/>
    </row>
    <row r="518" spans="1:12" ht="12.65" customHeight="1" x14ac:dyDescent="0.3">
      <c r="A518" s="1" t="s">
        <v>534</v>
      </c>
      <c r="B518" s="185">
        <f>'Prior Year'!Y71</f>
        <v>2809576</v>
      </c>
      <c r="C518" s="185">
        <f>Y71</f>
        <v>3112374</v>
      </c>
      <c r="D518" s="185">
        <f>'Prior Year'!Y59</f>
        <v>16265</v>
      </c>
      <c r="E518" s="1">
        <f>Y59</f>
        <v>27682</v>
      </c>
      <c r="F518" s="204">
        <f t="shared" si="18"/>
        <v>172.73753458346141</v>
      </c>
      <c r="G518" s="204">
        <f t="shared" si="18"/>
        <v>112.43313344411531</v>
      </c>
      <c r="H518" s="205">
        <f t="shared" si="17"/>
        <v>-0.34911000255250768</v>
      </c>
      <c r="I518" s="207"/>
      <c r="K518" s="202"/>
      <c r="L518" s="202"/>
    </row>
    <row r="519" spans="1:12" ht="12.65" customHeight="1" x14ac:dyDescent="0.3">
      <c r="A519" s="1" t="s">
        <v>535</v>
      </c>
      <c r="B519" s="185">
        <f>'Prior Year'!Z71</f>
        <v>0</v>
      </c>
      <c r="C519" s="185">
        <f>Z71</f>
        <v>0</v>
      </c>
      <c r="D519" s="185">
        <f>'Prior Year'!Z59</f>
        <v>0</v>
      </c>
      <c r="E519" s="1">
        <f>Z59</f>
        <v>0</v>
      </c>
      <c r="F519" s="204" t="str">
        <f t="shared" si="18"/>
        <v/>
      </c>
      <c r="G519" s="204" t="str">
        <f t="shared" si="18"/>
        <v/>
      </c>
      <c r="H519" s="205" t="str">
        <f t="shared" si="17"/>
        <v/>
      </c>
      <c r="I519" s="207"/>
      <c r="K519" s="202"/>
      <c r="L519" s="202"/>
    </row>
    <row r="520" spans="1:12" ht="12.65" customHeight="1" x14ac:dyDescent="0.3">
      <c r="A520" s="1" t="s">
        <v>536</v>
      </c>
      <c r="B520" s="185">
        <f>'Prior Year'!AA71</f>
        <v>276864</v>
      </c>
      <c r="C520" s="185">
        <f>AA71</f>
        <v>65219</v>
      </c>
      <c r="D520" s="185">
        <f>'Prior Year'!AA59</f>
        <v>446</v>
      </c>
      <c r="E520" s="1">
        <f>AA59</f>
        <v>580</v>
      </c>
      <c r="F520" s="204">
        <f t="shared" si="18"/>
        <v>620.77130044843045</v>
      </c>
      <c r="G520" s="204">
        <f t="shared" si="18"/>
        <v>112.44655172413793</v>
      </c>
      <c r="H520" s="205">
        <f t="shared" si="17"/>
        <v>-0.81885993820444147</v>
      </c>
      <c r="I520" s="207"/>
      <c r="K520" s="202"/>
      <c r="L520" s="202"/>
    </row>
    <row r="521" spans="1:12" ht="12.65" customHeight="1" x14ac:dyDescent="0.3">
      <c r="A521" s="1" t="s">
        <v>537</v>
      </c>
      <c r="B521" s="185">
        <f>'Prior Year'!AB71</f>
        <v>14025108</v>
      </c>
      <c r="C521" s="185">
        <f>AB71</f>
        <v>20498516</v>
      </c>
      <c r="D521" s="134" t="s">
        <v>529</v>
      </c>
      <c r="E521" s="134" t="s">
        <v>529</v>
      </c>
      <c r="F521" s="204" t="str">
        <f t="shared" si="18"/>
        <v/>
      </c>
      <c r="G521" s="204" t="str">
        <f t="shared" si="18"/>
        <v/>
      </c>
      <c r="H521" s="205" t="str">
        <f t="shared" si="17"/>
        <v/>
      </c>
      <c r="I521" s="207"/>
      <c r="K521" s="202"/>
      <c r="L521" s="202"/>
    </row>
    <row r="522" spans="1:12" ht="12.65" customHeight="1" x14ac:dyDescent="0.3">
      <c r="A522" s="1" t="s">
        <v>538</v>
      </c>
      <c r="B522" s="185">
        <f>'Prior Year'!AC71</f>
        <v>1144783</v>
      </c>
      <c r="C522" s="185">
        <f>AC71</f>
        <v>1949324</v>
      </c>
      <c r="D522" s="185">
        <f>'Prior Year'!AC59</f>
        <v>28724</v>
      </c>
      <c r="E522" s="1">
        <f>AC59</f>
        <v>38682</v>
      </c>
      <c r="F522" s="204">
        <f t="shared" si="18"/>
        <v>39.854581534605209</v>
      </c>
      <c r="G522" s="204">
        <f t="shared" si="18"/>
        <v>50.393568067835169</v>
      </c>
      <c r="H522" s="205">
        <f t="shared" si="17"/>
        <v>0.26443601030107655</v>
      </c>
      <c r="I522" s="207"/>
      <c r="K522" s="202"/>
      <c r="L522" s="202"/>
    </row>
    <row r="523" spans="1:12" ht="12.65" customHeight="1" x14ac:dyDescent="0.3">
      <c r="A523" s="1" t="s">
        <v>539</v>
      </c>
      <c r="B523" s="185">
        <f>'Prior Year'!AD71</f>
        <v>0</v>
      </c>
      <c r="C523" s="185">
        <f>AD71</f>
        <v>0</v>
      </c>
      <c r="D523" s="185">
        <f>'Prior Year'!AD59</f>
        <v>0</v>
      </c>
      <c r="E523" s="1">
        <f>AD59</f>
        <v>0</v>
      </c>
      <c r="F523" s="204" t="str">
        <f t="shared" si="18"/>
        <v/>
      </c>
      <c r="G523" s="204" t="str">
        <f t="shared" si="18"/>
        <v/>
      </c>
      <c r="H523" s="205" t="str">
        <f t="shared" si="17"/>
        <v/>
      </c>
      <c r="I523" s="207"/>
      <c r="K523" s="202"/>
      <c r="L523" s="202"/>
    </row>
    <row r="524" spans="1:12" ht="12.65" customHeight="1" x14ac:dyDescent="0.3">
      <c r="A524" s="1" t="s">
        <v>540</v>
      </c>
      <c r="B524" s="185">
        <f>'Prior Year'!AE71</f>
        <v>3700352</v>
      </c>
      <c r="C524" s="185">
        <f>AE71</f>
        <v>4000183</v>
      </c>
      <c r="D524" s="185">
        <f>'Prior Year'!AE59</f>
        <v>75498</v>
      </c>
      <c r="E524" s="1">
        <f>AE59</f>
        <v>102140</v>
      </c>
      <c r="F524" s="204">
        <f t="shared" si="18"/>
        <v>49.012583114784498</v>
      </c>
      <c r="G524" s="204">
        <f t="shared" si="18"/>
        <v>39.163726258077148</v>
      </c>
      <c r="H524" s="205" t="str">
        <f t="shared" si="17"/>
        <v/>
      </c>
      <c r="I524" s="207"/>
      <c r="K524" s="202"/>
      <c r="L524" s="202"/>
    </row>
    <row r="525" spans="1:12" ht="12.65" customHeight="1" x14ac:dyDescent="0.3">
      <c r="A525" s="1" t="s">
        <v>541</v>
      </c>
      <c r="B525" s="185">
        <f>'Prior Year'!AF71</f>
        <v>0</v>
      </c>
      <c r="C525" s="185">
        <f>AF71</f>
        <v>0</v>
      </c>
      <c r="D525" s="185">
        <f>'Prior Year'!AF59</f>
        <v>0</v>
      </c>
      <c r="E525" s="1">
        <f>AF59</f>
        <v>0</v>
      </c>
      <c r="F525" s="204" t="str">
        <f t="shared" si="18"/>
        <v/>
      </c>
      <c r="G525" s="204" t="str">
        <f t="shared" si="18"/>
        <v/>
      </c>
      <c r="H525" s="205" t="str">
        <f t="shared" si="17"/>
        <v/>
      </c>
      <c r="I525" s="207"/>
      <c r="K525" s="202"/>
      <c r="L525" s="202"/>
    </row>
    <row r="526" spans="1:12" ht="12.65" customHeight="1" x14ac:dyDescent="0.3">
      <c r="A526" s="1" t="s">
        <v>542</v>
      </c>
      <c r="B526" s="185">
        <f>'Prior Year'!AG71</f>
        <v>6257579</v>
      </c>
      <c r="C526" s="185">
        <f>AG71</f>
        <v>6522857</v>
      </c>
      <c r="D526" s="185">
        <f>'Prior Year'!AG59</f>
        <v>10664</v>
      </c>
      <c r="E526" s="1">
        <f>AG59</f>
        <v>12074</v>
      </c>
      <c r="F526" s="204">
        <f t="shared" si="18"/>
        <v>586.79472993248316</v>
      </c>
      <c r="G526" s="204">
        <f t="shared" si="18"/>
        <v>540.2399370548286</v>
      </c>
      <c r="H526" s="205" t="str">
        <f t="shared" si="17"/>
        <v/>
      </c>
      <c r="I526" s="207"/>
      <c r="K526" s="202"/>
      <c r="L526" s="202"/>
    </row>
    <row r="527" spans="1:12" ht="12.65" customHeight="1" x14ac:dyDescent="0.3">
      <c r="A527" s="1" t="s">
        <v>543</v>
      </c>
      <c r="B527" s="185">
        <f>'Prior Year'!AH71</f>
        <v>0</v>
      </c>
      <c r="C527" s="185">
        <f>AH71</f>
        <v>0</v>
      </c>
      <c r="D527" s="185">
        <f>'Prior Year'!AH59</f>
        <v>0</v>
      </c>
      <c r="E527" s="1">
        <f>AH59</f>
        <v>0</v>
      </c>
      <c r="F527" s="204" t="str">
        <f t="shared" si="18"/>
        <v/>
      </c>
      <c r="G527" s="204" t="str">
        <f t="shared" si="18"/>
        <v/>
      </c>
      <c r="H527" s="205" t="str">
        <f t="shared" si="17"/>
        <v/>
      </c>
      <c r="I527" s="207"/>
      <c r="K527" s="202"/>
      <c r="L527" s="202"/>
    </row>
    <row r="528" spans="1:12" ht="12.65" customHeight="1" x14ac:dyDescent="0.3">
      <c r="A528" s="1" t="s">
        <v>544</v>
      </c>
      <c r="B528" s="185">
        <f>'Prior Year'!AI71</f>
        <v>4861894</v>
      </c>
      <c r="C528" s="185">
        <f>AI71</f>
        <v>0</v>
      </c>
      <c r="D528" s="185">
        <f>'Prior Year'!AI59</f>
        <v>17436</v>
      </c>
      <c r="E528" s="1">
        <f>AI59</f>
        <v>0</v>
      </c>
      <c r="F528" s="204">
        <f t="shared" ref="F528:G540" si="19">IF(B528=0,"",IF(D528=0,"",B528/D528))</f>
        <v>278.84228033952741</v>
      </c>
      <c r="G528" s="204" t="str">
        <f t="shared" si="19"/>
        <v/>
      </c>
      <c r="H528" s="205" t="str">
        <f t="shared" si="17"/>
        <v/>
      </c>
      <c r="I528" s="207"/>
      <c r="K528" s="202"/>
      <c r="L528" s="202"/>
    </row>
    <row r="529" spans="1:12" ht="12.65" customHeight="1" x14ac:dyDescent="0.3">
      <c r="A529" s="1" t="s">
        <v>545</v>
      </c>
      <c r="B529" s="185">
        <f>'Prior Year'!AJ71</f>
        <v>28963011</v>
      </c>
      <c r="C529" s="185">
        <f>AJ71</f>
        <v>33777384</v>
      </c>
      <c r="D529" s="185">
        <f>'Prior Year'!AJ59</f>
        <v>85414</v>
      </c>
      <c r="E529" s="1">
        <f>AJ59</f>
        <v>96734</v>
      </c>
      <c r="F529" s="204">
        <f t="shared" si="19"/>
        <v>339.08973938698574</v>
      </c>
      <c r="G529" s="204">
        <f t="shared" si="19"/>
        <v>349.17799325986726</v>
      </c>
      <c r="H529" s="205" t="str">
        <f t="shared" si="17"/>
        <v/>
      </c>
      <c r="I529" s="207"/>
      <c r="K529" s="202"/>
      <c r="L529" s="202"/>
    </row>
    <row r="530" spans="1:12" ht="12.65" customHeight="1" x14ac:dyDescent="0.3">
      <c r="A530" s="1" t="s">
        <v>546</v>
      </c>
      <c r="B530" s="185">
        <f>'Prior Year'!AK71</f>
        <v>0</v>
      </c>
      <c r="C530" s="185">
        <f>AK71</f>
        <v>0</v>
      </c>
      <c r="D530" s="185">
        <f>'Prior Year'!AK59</f>
        <v>13118</v>
      </c>
      <c r="E530" s="1">
        <f>AK59</f>
        <v>0</v>
      </c>
      <c r="F530" s="204" t="str">
        <f t="shared" si="19"/>
        <v/>
      </c>
      <c r="G530" s="204" t="str">
        <f t="shared" si="19"/>
        <v/>
      </c>
      <c r="H530" s="205" t="str">
        <f t="shared" si="17"/>
        <v/>
      </c>
      <c r="I530" s="207"/>
      <c r="K530" s="202"/>
      <c r="L530" s="202"/>
    </row>
    <row r="531" spans="1:12" ht="12.65" customHeight="1" x14ac:dyDescent="0.3">
      <c r="A531" s="1" t="s">
        <v>547</v>
      </c>
      <c r="B531" s="185">
        <f>'Prior Year'!AL71</f>
        <v>0</v>
      </c>
      <c r="C531" s="185">
        <f>AL71</f>
        <v>0</v>
      </c>
      <c r="D531" s="185">
        <f>'Prior Year'!AL59</f>
        <v>2593</v>
      </c>
      <c r="E531" s="1">
        <f>AL59</f>
        <v>0</v>
      </c>
      <c r="F531" s="204" t="str">
        <f t="shared" si="19"/>
        <v/>
      </c>
      <c r="G531" s="204" t="str">
        <f t="shared" si="19"/>
        <v/>
      </c>
      <c r="H531" s="205" t="str">
        <f t="shared" si="17"/>
        <v/>
      </c>
      <c r="I531" s="207"/>
      <c r="K531" s="202"/>
      <c r="L531" s="202"/>
    </row>
    <row r="532" spans="1:12" ht="12.65" customHeight="1" x14ac:dyDescent="0.3">
      <c r="A532" s="1" t="s">
        <v>548</v>
      </c>
      <c r="B532" s="185">
        <f>'Prior Year'!AM71</f>
        <v>0</v>
      </c>
      <c r="C532" s="185">
        <f>AM71</f>
        <v>0</v>
      </c>
      <c r="D532" s="185">
        <f>'Prior Year'!AM59</f>
        <v>0</v>
      </c>
      <c r="E532" s="1">
        <f>AM59</f>
        <v>0</v>
      </c>
      <c r="F532" s="204" t="str">
        <f t="shared" si="19"/>
        <v/>
      </c>
      <c r="G532" s="204" t="str">
        <f t="shared" si="19"/>
        <v/>
      </c>
      <c r="H532" s="205" t="str">
        <f t="shared" si="17"/>
        <v/>
      </c>
      <c r="I532" s="207"/>
      <c r="K532" s="202"/>
      <c r="L532" s="202"/>
    </row>
    <row r="533" spans="1:12" ht="12.65" customHeight="1" x14ac:dyDescent="0.3">
      <c r="A533" s="1" t="s">
        <v>1246</v>
      </c>
      <c r="B533" s="185">
        <f>'Prior Year'!AN71</f>
        <v>0</v>
      </c>
      <c r="C533" s="185">
        <f>AN71</f>
        <v>0</v>
      </c>
      <c r="D533" s="185">
        <f>'Prior Year'!AN59</f>
        <v>0</v>
      </c>
      <c r="E533" s="1">
        <f>AN59</f>
        <v>0</v>
      </c>
      <c r="F533" s="204" t="str">
        <f t="shared" si="19"/>
        <v/>
      </c>
      <c r="G533" s="204" t="str">
        <f t="shared" si="19"/>
        <v/>
      </c>
      <c r="H533" s="205" t="str">
        <f t="shared" si="17"/>
        <v/>
      </c>
      <c r="I533" s="207"/>
      <c r="K533" s="202"/>
      <c r="L533" s="202"/>
    </row>
    <row r="534" spans="1:12" ht="12.65" customHeight="1" x14ac:dyDescent="0.3">
      <c r="A534" s="1" t="s">
        <v>549</v>
      </c>
      <c r="B534" s="185">
        <f>'Prior Year'!AO71</f>
        <v>0</v>
      </c>
      <c r="C534" s="185">
        <f>AO71</f>
        <v>724144.68338340649</v>
      </c>
      <c r="D534" s="185">
        <f>'Prior Year'!AO59</f>
        <v>0</v>
      </c>
      <c r="E534" s="1">
        <f>AO59</f>
        <v>8160</v>
      </c>
      <c r="F534" s="204" t="str">
        <f t="shared" si="19"/>
        <v/>
      </c>
      <c r="G534" s="204">
        <f t="shared" si="19"/>
        <v>88.743221002868438</v>
      </c>
      <c r="H534" s="205" t="str">
        <f t="shared" si="17"/>
        <v/>
      </c>
      <c r="I534" s="207"/>
      <c r="K534" s="202"/>
      <c r="L534" s="202"/>
    </row>
    <row r="535" spans="1:12" ht="12.65" customHeight="1" x14ac:dyDescent="0.3">
      <c r="A535" s="1" t="s">
        <v>550</v>
      </c>
      <c r="B535" s="185">
        <f>'Prior Year'!AP71</f>
        <v>0</v>
      </c>
      <c r="C535" s="185">
        <f>AP71</f>
        <v>1405714</v>
      </c>
      <c r="D535" s="185">
        <f>'Prior Year'!AP59</f>
        <v>0</v>
      </c>
      <c r="E535" s="1">
        <f>AP59</f>
        <v>2051</v>
      </c>
      <c r="F535" s="204" t="str">
        <f t="shared" si="19"/>
        <v/>
      </c>
      <c r="G535" s="204">
        <f t="shared" si="19"/>
        <v>685.37981472452464</v>
      </c>
      <c r="H535" s="205" t="str">
        <f t="shared" si="17"/>
        <v/>
      </c>
      <c r="I535" s="207"/>
      <c r="K535" s="202"/>
      <c r="L535" s="202"/>
    </row>
    <row r="536" spans="1:12" ht="12.65" customHeight="1" x14ac:dyDescent="0.3">
      <c r="A536" s="1" t="s">
        <v>551</v>
      </c>
      <c r="B536" s="185">
        <f>'Prior Year'!AQ71</f>
        <v>0</v>
      </c>
      <c r="C536" s="185">
        <f>AQ71</f>
        <v>0</v>
      </c>
      <c r="D536" s="185">
        <f>'Prior Year'!AQ59</f>
        <v>0</v>
      </c>
      <c r="E536" s="1">
        <f>AQ59</f>
        <v>0</v>
      </c>
      <c r="F536" s="204" t="str">
        <f t="shared" si="19"/>
        <v/>
      </c>
      <c r="G536" s="204" t="str">
        <f t="shared" si="19"/>
        <v/>
      </c>
      <c r="H536" s="205" t="str">
        <f t="shared" si="17"/>
        <v/>
      </c>
      <c r="I536" s="207"/>
      <c r="K536" s="202"/>
      <c r="L536" s="202"/>
    </row>
    <row r="537" spans="1:12" ht="12.65" customHeight="1" x14ac:dyDescent="0.3">
      <c r="A537" s="1" t="s">
        <v>552</v>
      </c>
      <c r="B537" s="185">
        <f>'Prior Year'!AR71</f>
        <v>4435716</v>
      </c>
      <c r="C537" s="185">
        <f>AR71</f>
        <v>2784239</v>
      </c>
      <c r="D537" s="185">
        <f>'Prior Year'!AR59</f>
        <v>9751</v>
      </c>
      <c r="E537" s="1">
        <f>AR59</f>
        <v>7790</v>
      </c>
      <c r="F537" s="204">
        <f t="shared" si="19"/>
        <v>454.89857450517894</v>
      </c>
      <c r="G537" s="204">
        <f t="shared" si="19"/>
        <v>357.41193838254173</v>
      </c>
      <c r="H537" s="205" t="str">
        <f t="shared" si="17"/>
        <v/>
      </c>
      <c r="I537" s="207"/>
      <c r="K537" s="202"/>
      <c r="L537" s="202"/>
    </row>
    <row r="538" spans="1:12" ht="12.65" customHeight="1" x14ac:dyDescent="0.3">
      <c r="A538" s="1" t="s">
        <v>553</v>
      </c>
      <c r="B538" s="185">
        <f>'Prior Year'!AS71</f>
        <v>0</v>
      </c>
      <c r="C538" s="185">
        <f>AS71</f>
        <v>0</v>
      </c>
      <c r="D538" s="185">
        <f>'Prior Year'!AS59</f>
        <v>0</v>
      </c>
      <c r="E538" s="1">
        <f>AS59</f>
        <v>0</v>
      </c>
      <c r="F538" s="204" t="str">
        <f t="shared" si="19"/>
        <v/>
      </c>
      <c r="G538" s="204" t="str">
        <f t="shared" si="19"/>
        <v/>
      </c>
      <c r="H538" s="205" t="str">
        <f t="shared" si="17"/>
        <v/>
      </c>
      <c r="I538" s="207"/>
      <c r="K538" s="202"/>
      <c r="L538" s="202"/>
    </row>
    <row r="539" spans="1:12" ht="12.65" customHeight="1" x14ac:dyDescent="0.3">
      <c r="A539" s="1" t="s">
        <v>554</v>
      </c>
      <c r="B539" s="185">
        <f>'Prior Year'!AT71</f>
        <v>0</v>
      </c>
      <c r="C539" s="185">
        <f>AT71</f>
        <v>0</v>
      </c>
      <c r="D539" s="185">
        <f>'Prior Year'!AT59</f>
        <v>0</v>
      </c>
      <c r="E539" s="1">
        <f>AT59</f>
        <v>0</v>
      </c>
      <c r="F539" s="204" t="str">
        <f t="shared" si="19"/>
        <v/>
      </c>
      <c r="G539" s="204" t="str">
        <f t="shared" si="19"/>
        <v/>
      </c>
      <c r="H539" s="205" t="str">
        <f t="shared" si="17"/>
        <v/>
      </c>
      <c r="I539" s="207"/>
      <c r="K539" s="202"/>
      <c r="L539" s="202"/>
    </row>
    <row r="540" spans="1:12" ht="12.65" customHeight="1" x14ac:dyDescent="0.3">
      <c r="A540" s="1" t="s">
        <v>555</v>
      </c>
      <c r="B540" s="185">
        <f>'Prior Year'!AU71</f>
        <v>0</v>
      </c>
      <c r="C540" s="185">
        <f>AU71</f>
        <v>0</v>
      </c>
      <c r="D540" s="185">
        <f>'Prior Year'!AU59</f>
        <v>0</v>
      </c>
      <c r="E540" s="1">
        <f>AU59</f>
        <v>0</v>
      </c>
      <c r="F540" s="204" t="str">
        <f t="shared" si="19"/>
        <v/>
      </c>
      <c r="G540" s="204" t="str">
        <f t="shared" si="19"/>
        <v/>
      </c>
      <c r="H540" s="205" t="str">
        <f t="shared" si="17"/>
        <v/>
      </c>
      <c r="I540" s="207"/>
      <c r="K540" s="202"/>
      <c r="L540" s="202"/>
    </row>
    <row r="541" spans="1:12" ht="12.65" customHeight="1" x14ac:dyDescent="0.3">
      <c r="A541" s="1" t="s">
        <v>556</v>
      </c>
      <c r="B541" s="185">
        <f>'Prior Year'!AV71</f>
        <v>2471618</v>
      </c>
      <c r="C541" s="185">
        <f>AV71</f>
        <v>3110776</v>
      </c>
      <c r="D541" s="134" t="s">
        <v>529</v>
      </c>
      <c r="E541" s="134" t="s">
        <v>529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1247</v>
      </c>
      <c r="B542" s="185">
        <f>'Prior Year'!AW71</f>
        <v>0</v>
      </c>
      <c r="C542" s="185">
        <f>AW71</f>
        <v>0</v>
      </c>
      <c r="D542" s="134" t="s">
        <v>529</v>
      </c>
      <c r="E542" s="134" t="s">
        <v>529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557</v>
      </c>
      <c r="B543" s="185">
        <f>'Prior Year'!AX71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558</v>
      </c>
      <c r="B544" s="185">
        <f>'Prior Year'!AY71</f>
        <v>874014</v>
      </c>
      <c r="C544" s="185">
        <f>AY71</f>
        <v>1545624</v>
      </c>
      <c r="D544" s="185">
        <f>'Prior Year'!AY59</f>
        <v>12819</v>
      </c>
      <c r="E544" s="1">
        <f>AY59</f>
        <v>15221</v>
      </c>
      <c r="F544" s="204">
        <f t="shared" ref="F544:G550" si="20">IF(B544=0,"",IF(D544=0,"",B544/D544))</f>
        <v>68.181137374210152</v>
      </c>
      <c r="G544" s="204">
        <f t="shared" si="20"/>
        <v>101.54549635372183</v>
      </c>
      <c r="H544" s="205">
        <f t="shared" si="17"/>
        <v>0.48934881793467855</v>
      </c>
      <c r="I544" s="207"/>
      <c r="K544" s="202"/>
      <c r="L544" s="202"/>
    </row>
    <row r="545" spans="1:13" ht="12.65" customHeight="1" x14ac:dyDescent="0.3">
      <c r="A545" s="1" t="s">
        <v>559</v>
      </c>
      <c r="B545" s="185">
        <f>'Prior Year'!AZ71</f>
        <v>0</v>
      </c>
      <c r="C545" s="185">
        <f>AZ71</f>
        <v>0</v>
      </c>
      <c r="D545" s="185">
        <f>'Prior Year'!AZ59</f>
        <v>0</v>
      </c>
      <c r="E545" s="1">
        <f>AZ59</f>
        <v>0</v>
      </c>
      <c r="F545" s="204" t="str">
        <f t="shared" si="20"/>
        <v/>
      </c>
      <c r="G545" s="204" t="str">
        <f t="shared" si="20"/>
        <v/>
      </c>
      <c r="H545" s="205" t="str">
        <f t="shared" si="17"/>
        <v/>
      </c>
      <c r="I545" s="207"/>
      <c r="K545" s="202"/>
      <c r="L545" s="202"/>
    </row>
    <row r="546" spans="1:13" ht="12.65" customHeight="1" x14ac:dyDescent="0.3">
      <c r="A546" s="1" t="s">
        <v>560</v>
      </c>
      <c r="B546" s="185">
        <f>'Prior Year'!BA71</f>
        <v>316115</v>
      </c>
      <c r="C546" s="185">
        <f>BA71</f>
        <v>386095</v>
      </c>
      <c r="D546" s="185">
        <f>'Prior Year'!BA59</f>
        <v>0</v>
      </c>
      <c r="E546" s="1">
        <f>BA59</f>
        <v>0</v>
      </c>
      <c r="F546" s="204" t="str">
        <f t="shared" si="20"/>
        <v/>
      </c>
      <c r="G546" s="204" t="str">
        <f t="shared" si="20"/>
        <v/>
      </c>
      <c r="H546" s="205" t="str">
        <f t="shared" si="17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'Prior Year'!BB71</f>
        <v>2629</v>
      </c>
      <c r="C547" s="185">
        <f>BB71</f>
        <v>0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'Prior Year'!BC71</f>
        <v>0</v>
      </c>
      <c r="C548" s="185">
        <f>BC71</f>
        <v>0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'Prior Year'!BD71</f>
        <v>835165</v>
      </c>
      <c r="C549" s="185">
        <f>BD71</f>
        <v>427029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'Prior Year'!BE71</f>
        <v>3294260</v>
      </c>
      <c r="C550" s="185">
        <f>BE71</f>
        <v>3053129</v>
      </c>
      <c r="D550" s="185">
        <f>'Prior Year'!BE59</f>
        <v>140132</v>
      </c>
      <c r="E550" s="1">
        <f>BE59</f>
        <v>140333</v>
      </c>
      <c r="F550" s="204">
        <f t="shared" si="20"/>
        <v>23.508263637142122</v>
      </c>
      <c r="G550" s="204">
        <f t="shared" si="20"/>
        <v>21.756315335665882</v>
      </c>
      <c r="H550" s="205" t="str">
        <f t="shared" si="17"/>
        <v/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'Prior Year'!BF71</f>
        <v>1556758</v>
      </c>
      <c r="C551" s="185">
        <f>BF71</f>
        <v>1597177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'Prior Year'!BG71</f>
        <v>309526</v>
      </c>
      <c r="C552" s="185">
        <f>BG71</f>
        <v>252219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'Prior Year'!BH71</f>
        <v>4512780</v>
      </c>
      <c r="C553" s="185">
        <f>BH71</f>
        <v>4043198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'Prior Year'!BI71</f>
        <v>0</v>
      </c>
      <c r="C554" s="185">
        <f>BI71</f>
        <v>0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'Prior Year'!BJ71</f>
        <v>1235402</v>
      </c>
      <c r="C555" s="185">
        <f>BJ71</f>
        <v>0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'Prior Year'!BK71</f>
        <v>1801538</v>
      </c>
      <c r="C556" s="185">
        <f>BK71</f>
        <v>2351073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'Prior Year'!BL71</f>
        <v>913929</v>
      </c>
      <c r="C557" s="185">
        <f>BL71</f>
        <v>968563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'Prior Year'!BM71</f>
        <v>434665</v>
      </c>
      <c r="C558" s="185">
        <f>BM71</f>
        <v>0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'Prior Year'!BN71</f>
        <v>4270047</v>
      </c>
      <c r="C559" s="185">
        <f>BN71</f>
        <v>0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'Prior Year'!BO71</f>
        <v>93640</v>
      </c>
      <c r="C560" s="185">
        <f>BO71</f>
        <v>71150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'Prior Year'!BP71</f>
        <v>366438</v>
      </c>
      <c r="C561" s="185">
        <f>BP71</f>
        <v>0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'Prior Year'!BQ71</f>
        <v>0</v>
      </c>
      <c r="C562" s="185">
        <f>BQ71</f>
        <v>0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'Prior Year'!BR71</f>
        <v>1263891</v>
      </c>
      <c r="C563" s="185">
        <f>BR71</f>
        <v>1602780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1248</v>
      </c>
      <c r="B564" s="185">
        <f>'Prior Year'!BS71</f>
        <v>121363</v>
      </c>
      <c r="C564" s="185">
        <f>BS71</f>
        <v>0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'Prior Year'!BT71</f>
        <v>0</v>
      </c>
      <c r="C565" s="185">
        <f>BT71</f>
        <v>0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'Prior Year'!BU71</f>
        <v>0</v>
      </c>
      <c r="C566" s="185">
        <f>BU71</f>
        <v>0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'Prior Year'!BV71</f>
        <v>916290</v>
      </c>
      <c r="C567" s="185">
        <f>BV71</f>
        <v>831122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'Prior Year'!BW71</f>
        <v>773043</v>
      </c>
      <c r="C568" s="185">
        <f>BW71</f>
        <v>0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'Prior Year'!BX71</f>
        <v>668212</v>
      </c>
      <c r="C569" s="185">
        <f>BX71</f>
        <v>0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'Prior Year'!BY71</f>
        <v>1588132</v>
      </c>
      <c r="C570" s="185">
        <f>BY71</f>
        <v>2972307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'Prior Year'!BZ71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'Prior Year'!CA71</f>
        <v>0</v>
      </c>
      <c r="C572" s="185">
        <f>CA71</f>
        <v>0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'Prior Year'!CB71</f>
        <v>111026</v>
      </c>
      <c r="C573" s="185">
        <f>CB71</f>
        <v>0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'Prior Year'!CC71</f>
        <v>2789612</v>
      </c>
      <c r="C574" s="185">
        <f>CC71</f>
        <v>8250678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'Prior Year'!CD71</f>
        <v>-328936</v>
      </c>
      <c r="C575" s="185">
        <f>CD71</f>
        <v>-6178073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128915</v>
      </c>
      <c r="E612" s="1">
        <f>SUM(C624:D647)+SUM(C668:D713)</f>
        <v>121913517.13150525</v>
      </c>
      <c r="F612" s="1">
        <f>CE64-(AX64+BD64+BE64+BG64+BJ64+BN64+BP64+BQ64+CB64+CC64+CD64)</f>
        <v>28264182</v>
      </c>
      <c r="G612" s="1">
        <f>CE77-(AX77+AY77+BD77+BE77+BG77+BJ77+BN77+BP77+BQ77+CB77+CC77+CD77)</f>
        <v>15220</v>
      </c>
      <c r="H612" s="148">
        <f>CE60-(AX60+AY60+AZ60+BD60+BE60+BG60+BJ60+BN60+BO60+BP60+BQ60+BR60+CB60+CC60+CD60)</f>
        <v>572.53000000000009</v>
      </c>
      <c r="I612" s="1">
        <f>CE78-(AX78+AY78+AZ78+BD78+BE78+BF78+BG78+BJ78+BN78+BO78+BP78+BQ78+BR78+CB78+CC78+CD78)</f>
        <v>35590</v>
      </c>
      <c r="J612" s="1">
        <f>CE79-(AX79+AY79+AZ79+BA79+BD79+BE79+BF79+BG79+BJ79+BN79+BO79+BP79+BQ79+BR79+CB79+CC79+CD79)</f>
        <v>281505</v>
      </c>
      <c r="K612" s="1">
        <f>CE75-(AW75+AX75+AY75+AZ75+BA75+BB75+BC75+BD75+BE75+BF75+BG75+BH75+BI75+BJ75+BK75+BL75+BM75+BN75+BO75+BP75+BQ75+BR75+BS75+BT75+BU75+BV75+BW75+BX75+CB75+CC75+CD75)</f>
        <v>297995582</v>
      </c>
      <c r="L612" s="148">
        <f>CE80-(AW80+AX80+AY80+AZ80+BA80+BB80+BC80+BD80+BE80+BF80+BG80+BH80+BI80+BJ80+BK80+BL80+BM80+BN80+BO80+BP80+BQ80+BR80+BS80+BT80+BU80+BV80+BW80+BX80+BY80+BZ80+CA80+CB80+CC80+CD80)</f>
        <v>157.85000000000002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3053129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1">
        <f>CD69-CD70</f>
        <v>-6178073</v>
      </c>
      <c r="D615" s="206">
        <f>SUM(C614:C615)</f>
        <v>-3124944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0</v>
      </c>
      <c r="D617" s="1">
        <f>(D615/D612)*BJ76</f>
        <v>0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252219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0</v>
      </c>
      <c r="D619" s="1">
        <f>(D615/D612)*BN76</f>
        <v>0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8250678</v>
      </c>
      <c r="D620" s="1">
        <f>(D615/D612)*CC76</f>
        <v>-355533.13150525541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0</v>
      </c>
      <c r="D621" s="1">
        <f>(D615/D612)*BP76</f>
        <v>0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8147363.8684947444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427029</v>
      </c>
      <c r="D624" s="1">
        <f>(D615/D612)*BD76</f>
        <v>0</v>
      </c>
      <c r="E624" s="1">
        <f>(E623/E612)*SUM(C624:D624)</f>
        <v>28537.940068175976</v>
      </c>
      <c r="F624" s="1">
        <f>SUM(C624:E624)</f>
        <v>455566.94006817596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1545624</v>
      </c>
      <c r="D625" s="1">
        <f>(D615/D612)*AY76</f>
        <v>-94246.459077686857</v>
      </c>
      <c r="E625" s="1">
        <f>(E623/E612)*SUM(C625:D625)</f>
        <v>96994.174351478709</v>
      </c>
      <c r="F625" s="1">
        <f>(F624/F612)*AY64</f>
        <v>6249.1763721954694</v>
      </c>
      <c r="G625" s="1">
        <f>SUM(C625:F625)</f>
        <v>1554620.8916459873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1602780</v>
      </c>
      <c r="D626" s="1">
        <f>(D615/D612)*BR76</f>
        <v>-38760.3107163635</v>
      </c>
      <c r="E626" s="1">
        <f>(E623/E612)*SUM(C626:D626)</f>
        <v>104521.94150332559</v>
      </c>
      <c r="F626" s="1">
        <f>(F624/F612)*BR64</f>
        <v>325.63542402173033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71150</v>
      </c>
      <c r="D627" s="1">
        <f>(D615/D612)*BO76</f>
        <v>-5890.4036923554286</v>
      </c>
      <c r="E627" s="1">
        <f>(E623/E612)*SUM(C627:D627)</f>
        <v>4361.2364694222615</v>
      </c>
      <c r="F627" s="1">
        <f>(F624/F612)*BO64</f>
        <v>481.51426309088612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1738969.6132511413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1597177</v>
      </c>
      <c r="D629" s="1">
        <f>(D615/D612)*BF76</f>
        <v>-75605.634224101159</v>
      </c>
      <c r="E629" s="1">
        <f>(E623/E612)*SUM(C629:D629)</f>
        <v>101685.1606002526</v>
      </c>
      <c r="F629" s="1">
        <f>(F624/F612)*BF64</f>
        <v>3154.1811494449553</v>
      </c>
      <c r="G629" s="1">
        <f>(G625/G612)*BF77</f>
        <v>0</v>
      </c>
      <c r="H629" s="1">
        <f>(H628/H612)*BF60</f>
        <v>69190.658637732515</v>
      </c>
      <c r="I629" s="1">
        <f>SUM(C629:H629)</f>
        <v>1695601.366163329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386095</v>
      </c>
      <c r="D630" s="1">
        <f>(D615/D612)*BA76</f>
        <v>0</v>
      </c>
      <c r="E630" s="1">
        <f>(E623/E612)*SUM(C630:D630)</f>
        <v>25802.35995827544</v>
      </c>
      <c r="F630" s="1">
        <f>(F624/F612)*BA64</f>
        <v>719.19282383059988</v>
      </c>
      <c r="G630" s="1">
        <f>(G625/G612)*BA77</f>
        <v>0</v>
      </c>
      <c r="H630" s="1">
        <f>(H628/H612)*BA60</f>
        <v>0</v>
      </c>
      <c r="I630" s="1">
        <f>(I629/I612)*BA78</f>
        <v>0</v>
      </c>
      <c r="J630" s="1">
        <f>SUM(C630:I630)</f>
        <v>412616.55278210604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0</v>
      </c>
      <c r="D632" s="1">
        <f>(D615/D612)*BB76</f>
        <v>0</v>
      </c>
      <c r="E632" s="1">
        <f>(E623/E612)*SUM(C632:D632)</f>
        <v>0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2351073</v>
      </c>
      <c r="D635" s="1">
        <f>(D615/D612)*BK76</f>
        <v>-39851.126214947835</v>
      </c>
      <c r="E635" s="1">
        <f>(E623/E612)*SUM(C635:D635)</f>
        <v>154456.74958453685</v>
      </c>
      <c r="F635" s="1">
        <f>(F624/F612)*BK64</f>
        <v>501.11395994830451</v>
      </c>
      <c r="G635" s="1">
        <f>(G625/G612)*BK77</f>
        <v>0</v>
      </c>
      <c r="H635" s="1">
        <f>(H628/H612)*BK60</f>
        <v>82463.844688956873</v>
      </c>
      <c r="I635" s="1">
        <f>(I629/I612)*BK78</f>
        <v>26441.662214685239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4043198</v>
      </c>
      <c r="D636" s="1">
        <f>(D615/D612)*BH76</f>
        <v>-158313.68936120701</v>
      </c>
      <c r="E636" s="1">
        <f>(E623/E612)*SUM(C636:D636)</f>
        <v>259623.10669487788</v>
      </c>
      <c r="F636" s="1">
        <f>(F624/F612)*BH64</f>
        <v>4104.5891471404129</v>
      </c>
      <c r="G636" s="1">
        <f>(G625/G612)*BH77</f>
        <v>0</v>
      </c>
      <c r="H636" s="1">
        <f>(H628/H612)*BH60</f>
        <v>46258.723926807113</v>
      </c>
      <c r="I636" s="1">
        <f>(I629/I612)*BH78</f>
        <v>105099.6519740462</v>
      </c>
      <c r="J636" s="1">
        <f>(J630/J612)*BH79</f>
        <v>3576.4351922286946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968563</v>
      </c>
      <c r="D637" s="1">
        <f>(D615/D612)*BL76</f>
        <v>-48020.122282123884</v>
      </c>
      <c r="E637" s="1">
        <f>(E623/E612)*SUM(C637:D637)</f>
        <v>61519.00099173357</v>
      </c>
      <c r="F637" s="1">
        <f>(F624/F612)*BL64</f>
        <v>268.64156868634262</v>
      </c>
      <c r="G637" s="1">
        <f>(G625/G612)*BL77</f>
        <v>0</v>
      </c>
      <c r="H637" s="1">
        <f>(H628/H612)*BL60</f>
        <v>43768.103203236409</v>
      </c>
      <c r="I637" s="1">
        <f>(I629/I612)*BL78</f>
        <v>31872.922561485451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831122</v>
      </c>
      <c r="D642" s="1">
        <f>(D615/D612)*BV76</f>
        <v>0</v>
      </c>
      <c r="E642" s="1">
        <f>(E623/E612)*SUM(C642:D642)</f>
        <v>55543.089170390194</v>
      </c>
      <c r="F642" s="1">
        <f>(F624/F612)*BV64</f>
        <v>128.54241976801958</v>
      </c>
      <c r="G642" s="1">
        <f>(G625/G612)*BV77</f>
        <v>0</v>
      </c>
      <c r="H642" s="1">
        <f>(H628/H612)*BV60</f>
        <v>33835.993732411771</v>
      </c>
      <c r="I642" s="1">
        <f>(I629/I612)*BV78</f>
        <v>0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>
        <f>(I629/I612)*BX78</f>
        <v>0</v>
      </c>
      <c r="J644" s="1">
        <f>(J630/J612)*BX79</f>
        <v>0</v>
      </c>
      <c r="K644" s="1">
        <f>SUM(C631:J644)</f>
        <v>8857233.2331726607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2972307</v>
      </c>
      <c r="D645" s="1">
        <f>(D615/D612)*BY76</f>
        <v>-41960.036178877555</v>
      </c>
      <c r="E645" s="1">
        <f>(E623/E612)*SUM(C645:D645)</f>
        <v>195832.28781297905</v>
      </c>
      <c r="F645" s="1">
        <f>(F624/F612)*BY64</f>
        <v>3831.0637724114736</v>
      </c>
      <c r="G645" s="1">
        <f>(G625/G612)*BY77</f>
        <v>0</v>
      </c>
      <c r="H645" s="1">
        <f>(H628/H612)*BY60</f>
        <v>63693.068991802043</v>
      </c>
      <c r="I645" s="1">
        <f>(I629/I612)*BY78</f>
        <v>27823.298618695819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3221526.6830170108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22174071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1445216</v>
      </c>
      <c r="D668" s="1">
        <f>(D615/D612)*C76</f>
        <v>-63146.097195826711</v>
      </c>
      <c r="E668" s="1">
        <f>(E623/E612)*SUM(C668:D668)</f>
        <v>92362.411115533818</v>
      </c>
      <c r="F668" s="1">
        <f>(F624/F612)*C64</f>
        <v>1335.9385479689699</v>
      </c>
      <c r="G668" s="1">
        <f>(G625/G612)*C77</f>
        <v>122571.94940704235</v>
      </c>
      <c r="H668" s="1">
        <f>(H628/H612)*C60</f>
        <v>26667.865796281447</v>
      </c>
      <c r="I668" s="1">
        <f>(I629/I612)*C78</f>
        <v>41925.518466527945</v>
      </c>
      <c r="J668" s="1">
        <f>(J630/J612)*C79</f>
        <v>15138.287977597523</v>
      </c>
      <c r="K668" s="1">
        <f>(K644/K612)*C75</f>
        <v>101374.76645503925</v>
      </c>
      <c r="L668" s="1">
        <f>(L647/L612)*C80</f>
        <v>179189.13067399018</v>
      </c>
      <c r="M668" s="1">
        <f t="shared" ref="M668:M713" si="21">ROUND(SUM(D668:L668),0)</f>
        <v>517420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1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7690962.5491102384</v>
      </c>
      <c r="D670" s="1">
        <f>(D615/D612)*E76</f>
        <v>-227931.95851530079</v>
      </c>
      <c r="E670" s="1">
        <f>(E623/E612)*SUM(C670:D670)</f>
        <v>498747.20386990649</v>
      </c>
      <c r="F670" s="1">
        <f>(F624/F612)*E64</f>
        <v>5470.3022532967216</v>
      </c>
      <c r="G670" s="1">
        <f>(G625/G612)*E77</f>
        <v>1383428.735640818</v>
      </c>
      <c r="H670" s="1">
        <f>(H628/H612)*E60</f>
        <v>125698.02283822992</v>
      </c>
      <c r="I670" s="1">
        <f>(I629/I612)*E78</f>
        <v>151265.364921848</v>
      </c>
      <c r="J670" s="1">
        <f>(J630/J612)*E79</f>
        <v>65383.036535258463</v>
      </c>
      <c r="K670" s="1">
        <f>(K644/K612)*E75</f>
        <v>335822.25269580609</v>
      </c>
      <c r="L670" s="1">
        <f>(L647/L612)*E80</f>
        <v>844601.49949316448</v>
      </c>
      <c r="M670" s="1">
        <f t="shared" si="21"/>
        <v>3182484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1"/>
        <v>0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1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1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1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345044.37855327019</v>
      </c>
      <c r="D675" s="1">
        <f>(D615/D612)*J76</f>
        <v>-10229.425342279797</v>
      </c>
      <c r="E675" s="1">
        <f>(E623/E612)*SUM(C675:D675)</f>
        <v>22375.36342652229</v>
      </c>
      <c r="F675" s="1">
        <f>(F624/F612)*J64</f>
        <v>245.41372612408441</v>
      </c>
      <c r="G675" s="1">
        <f>(G625/G612)*J77</f>
        <v>0</v>
      </c>
      <c r="H675" s="1">
        <f>(H628/H612)*J60</f>
        <v>5639.180199333493</v>
      </c>
      <c r="I675" s="1">
        <f>(I629/I612)*J78</f>
        <v>6765.254116189737</v>
      </c>
      <c r="J675" s="1">
        <f>(J630/J612)*J79</f>
        <v>2933.2738628390666</v>
      </c>
      <c r="K675" s="1">
        <f>(K644/K612)*J75</f>
        <v>15065.966473752587</v>
      </c>
      <c r="L675" s="1">
        <f>(L647/L612)*J80</f>
        <v>37891.288539986883</v>
      </c>
      <c r="M675" s="1">
        <f t="shared" si="21"/>
        <v>80686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1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270502.8523226254</v>
      </c>
      <c r="D677" s="1">
        <f>(D615/D612)*L76</f>
        <v>-8023.5540006981346</v>
      </c>
      <c r="E677" s="1">
        <f>(E623/E612)*SUM(C677:D677)</f>
        <v>17541.240722873721</v>
      </c>
      <c r="F677" s="1">
        <f>(F624/F612)*L64</f>
        <v>192.39224208493036</v>
      </c>
      <c r="G677" s="1">
        <f>(G625/G612)*L77</f>
        <v>48620.206598126802</v>
      </c>
      <c r="H677" s="1">
        <f>(H628/H612)*L60</f>
        <v>4420.8387982429231</v>
      </c>
      <c r="I677" s="1">
        <f>(I629/I612)*L78</f>
        <v>5335.9750775581024</v>
      </c>
      <c r="J677" s="1">
        <f>(J630/J612)*L79</f>
        <v>2299.5418554355647</v>
      </c>
      <c r="K677" s="1">
        <f>(K644/K612)*L75</f>
        <v>11810.973717077644</v>
      </c>
      <c r="L677" s="1">
        <f>(L647/L612)*L80</f>
        <v>29704.899040606997</v>
      </c>
      <c r="M677" s="1">
        <f t="shared" si="21"/>
        <v>111903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1914611</v>
      </c>
      <c r="D678" s="1">
        <f>(D615/D612)*M76</f>
        <v>0</v>
      </c>
      <c r="E678" s="1">
        <f>(E623/E612)*SUM(C678:D678)</f>
        <v>127951.6238285233</v>
      </c>
      <c r="F678" s="1">
        <f>(F624/F612)*M64</f>
        <v>-79.220814189318645</v>
      </c>
      <c r="G678" s="1">
        <f>(G625/G612)*M77</f>
        <v>0</v>
      </c>
      <c r="H678" s="1">
        <f>(H628/H612)*M60</f>
        <v>27730.935617317729</v>
      </c>
      <c r="I678" s="1">
        <f>(I629/I612)*M78</f>
        <v>0</v>
      </c>
      <c r="J678" s="1">
        <f>(J630/J612)*M79</f>
        <v>0</v>
      </c>
      <c r="K678" s="1">
        <f>(K644/K612)*M75</f>
        <v>112926.64235579915</v>
      </c>
      <c r="L678" s="1">
        <f>(L647/L612)*M80</f>
        <v>0</v>
      </c>
      <c r="M678" s="1">
        <f t="shared" si="21"/>
        <v>268530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1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185312.53663045989</v>
      </c>
      <c r="D680" s="1">
        <f>(D615/D612)*O76</f>
        <v>-5502.5581817476632</v>
      </c>
      <c r="E680" s="1">
        <f>(E623/E612)*SUM(C680:D680)</f>
        <v>12016.529061561072</v>
      </c>
      <c r="F680" s="1">
        <f>(F624/F612)*O64</f>
        <v>131.79626032589718</v>
      </c>
      <c r="G680" s="1">
        <f>(G625/G612)*O77</f>
        <v>0</v>
      </c>
      <c r="H680" s="1">
        <f>(H628/H612)*O60</f>
        <v>3028.4486255679872</v>
      </c>
      <c r="I680" s="1">
        <f>(I629/I612)*O78</f>
        <v>3668.4828658211954</v>
      </c>
      <c r="J680" s="1">
        <f>(J630/J612)*O79</f>
        <v>1575.2767041172767</v>
      </c>
      <c r="K680" s="1">
        <f>(K644/K612)*O75</f>
        <v>8090.9819951634263</v>
      </c>
      <c r="L680" s="1">
        <f>(L647/L612)*O80</f>
        <v>20349.025327029991</v>
      </c>
      <c r="M680" s="1">
        <f t="shared" si="21"/>
        <v>43358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3310703</v>
      </c>
      <c r="D681" s="1">
        <f>(D615/D612)*P76</f>
        <v>-289720.59642400034</v>
      </c>
      <c r="E681" s="1">
        <f>(E623/E612)*SUM(C681:D681)</f>
        <v>201889.36765481054</v>
      </c>
      <c r="F681" s="1">
        <f>(F624/F612)*P64</f>
        <v>10146.937139340494</v>
      </c>
      <c r="G681" s="1">
        <f>(G625/G612)*P77</f>
        <v>0</v>
      </c>
      <c r="H681" s="1">
        <f>(H628/H612)*P60</f>
        <v>57527.264029791651</v>
      </c>
      <c r="I681" s="1">
        <f>(I629/I612)*P78</f>
        <v>192285.6733305759</v>
      </c>
      <c r="J681" s="1">
        <f>(J630/J612)*P79</f>
        <v>55440.60848805662</v>
      </c>
      <c r="K681" s="1">
        <f>(K644/K612)*P75</f>
        <v>973696.77237575059</v>
      </c>
      <c r="L681" s="1">
        <f>(L647/L612)*P80</f>
        <v>386542.38439241168</v>
      </c>
      <c r="M681" s="1">
        <f t="shared" si="21"/>
        <v>1587808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870664</v>
      </c>
      <c r="D682" s="1">
        <f>(D615/D612)*Q76</f>
        <v>-14277.562859248343</v>
      </c>
      <c r="E682" s="1">
        <f>(E623/E612)*SUM(C682:D682)</f>
        <v>57231.487365779656</v>
      </c>
      <c r="F682" s="1">
        <f>(F624/F612)*Q64</f>
        <v>512.36444383521086</v>
      </c>
      <c r="G682" s="1">
        <f>(G625/G612)*Q77</f>
        <v>0</v>
      </c>
      <c r="H682" s="1">
        <f>(H628/H612)*Q60</f>
        <v>8960.1599201629015</v>
      </c>
      <c r="I682" s="1">
        <f>(I629/I612)*Q78</f>
        <v>9480.8842895898415</v>
      </c>
      <c r="J682" s="1">
        <f>(J630/J612)*Q79</f>
        <v>12845.85164946405</v>
      </c>
      <c r="K682" s="1">
        <f>(K644/K612)*Q75</f>
        <v>164309.84884758847</v>
      </c>
      <c r="L682" s="1">
        <f>(L647/L612)*Q80</f>
        <v>60205.915203675526</v>
      </c>
      <c r="M682" s="1">
        <f t="shared" si="21"/>
        <v>299269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1658612</v>
      </c>
      <c r="D683" s="1">
        <f>(D615/D612)*R76</f>
        <v>-3296.6868401660008</v>
      </c>
      <c r="E683" s="1">
        <f>(E623/E612)*SUM(C683:D683)</f>
        <v>110623.1408192167</v>
      </c>
      <c r="F683" s="1">
        <f>(F624/F612)*R64</f>
        <v>1272.7069601633348</v>
      </c>
      <c r="G683" s="1">
        <f>(G625/G612)*R77</f>
        <v>0</v>
      </c>
      <c r="H683" s="1">
        <f>(H628/H612)*R60</f>
        <v>67216.386112950844</v>
      </c>
      <c r="I683" s="1">
        <f>(I629/I612)*R78</f>
        <v>2191.5611925685062</v>
      </c>
      <c r="J683" s="1">
        <f>(J630/J612)*R79</f>
        <v>11346.387222558331</v>
      </c>
      <c r="K683" s="1">
        <f>(K644/K612)*R75</f>
        <v>344109.97993634205</v>
      </c>
      <c r="L683" s="1">
        <f>(L647/L612)*R80</f>
        <v>352459.71375168685</v>
      </c>
      <c r="M683" s="1">
        <f t="shared" si="21"/>
        <v>885923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3600449</v>
      </c>
      <c r="D684" s="1">
        <f>(D615/D612)*S76</f>
        <v>-77108.53557770625</v>
      </c>
      <c r="E684" s="1">
        <f>(E623/E612)*SUM(C684:D684)</f>
        <v>235461.47688672837</v>
      </c>
      <c r="F684" s="1">
        <f>(F624/F612)*S64</f>
        <v>54206.588247836102</v>
      </c>
      <c r="G684" s="1">
        <f>(G625/G612)*S77</f>
        <v>0</v>
      </c>
      <c r="H684" s="1">
        <f>(H628/H612)*S60</f>
        <v>11481.154067191785</v>
      </c>
      <c r="I684" s="1">
        <f>(I629/I612)*S78</f>
        <v>51168.189583012514</v>
      </c>
      <c r="J684" s="1">
        <f>(J630/J612)*S79</f>
        <v>0</v>
      </c>
      <c r="K684" s="1">
        <f>(K644/K612)*S75</f>
        <v>14534.281323971099</v>
      </c>
      <c r="L684" s="1">
        <f>(L647/L612)*S80</f>
        <v>0</v>
      </c>
      <c r="M684" s="1">
        <f t="shared" si="21"/>
        <v>289743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0</v>
      </c>
      <c r="L685" s="1">
        <f>(L647/L612)*T80</f>
        <v>0</v>
      </c>
      <c r="M685" s="1">
        <f t="shared" si="21"/>
        <v>0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7587469</v>
      </c>
      <c r="D686" s="1">
        <f>(D615/D612)*U76</f>
        <v>-95046.390443315366</v>
      </c>
      <c r="E686" s="1">
        <f>(E623/E612)*SUM(C686:D686)</f>
        <v>500711.4444147243</v>
      </c>
      <c r="F686" s="1">
        <f>(F624/F612)*U64</f>
        <v>31594.662979643203</v>
      </c>
      <c r="G686" s="1">
        <f>(G625/G612)*U77</f>
        <v>0</v>
      </c>
      <c r="H686" s="1">
        <f>(H628/H612)*U60</f>
        <v>80914.800092589736</v>
      </c>
      <c r="I686" s="1">
        <f>(I629/I612)*U78</f>
        <v>63078.848238276136</v>
      </c>
      <c r="J686" s="1">
        <f>(J630/J612)*U79</f>
        <v>483.69820222765134</v>
      </c>
      <c r="K686" s="1">
        <f>(K644/K612)*U75</f>
        <v>672134.62918100832</v>
      </c>
      <c r="L686" s="1">
        <f>(L647/L612)*U80</f>
        <v>108778.82306291205</v>
      </c>
      <c r="M686" s="1">
        <f t="shared" si="21"/>
        <v>1362651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0</v>
      </c>
      <c r="L687" s="1">
        <f>(L647/L612)*V80</f>
        <v>0</v>
      </c>
      <c r="M687" s="1">
        <f t="shared" si="21"/>
        <v>0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279051</v>
      </c>
      <c r="D688" s="1">
        <f>(D615/D612)*W76</f>
        <v>-10544.549819648606</v>
      </c>
      <c r="E688" s="1">
        <f>(E623/E612)*SUM(C688:D688)</f>
        <v>17944.029522972785</v>
      </c>
      <c r="F688" s="1">
        <f>(F624/F612)*W64</f>
        <v>450.16441902207134</v>
      </c>
      <c r="G688" s="1">
        <f>(G625/G612)*W77</f>
        <v>0</v>
      </c>
      <c r="H688" s="1">
        <f>(H628/H612)*W60</f>
        <v>5011.6148705995884</v>
      </c>
      <c r="I688" s="1">
        <f>(I629/I612)*W78</f>
        <v>7003.4672892950093</v>
      </c>
      <c r="J688" s="1">
        <f>(J630/J612)*W79</f>
        <v>3236.3806985413762</v>
      </c>
      <c r="K688" s="1">
        <f>(K644/K612)*W75</f>
        <v>174470.73211920515</v>
      </c>
      <c r="L688" s="1">
        <f>(L647/L612)*W80</f>
        <v>0</v>
      </c>
      <c r="M688" s="1">
        <f t="shared" si="21"/>
        <v>197572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777482</v>
      </c>
      <c r="D689" s="1">
        <f>(D615/D612)*X76</f>
        <v>-29403.537772951171</v>
      </c>
      <c r="E689" s="1">
        <f>(E623/E612)*SUM(C689:D689)</f>
        <v>49993.368884382005</v>
      </c>
      <c r="F689" s="1">
        <f>(F624/F612)*X64</f>
        <v>1254.1710626419274</v>
      </c>
      <c r="G689" s="1">
        <f>(G625/G612)*X77</f>
        <v>0</v>
      </c>
      <c r="H689" s="1">
        <f>(H628/H612)*X60</f>
        <v>13941.40136730431</v>
      </c>
      <c r="I689" s="1">
        <f>(I629/I612)*X78</f>
        <v>19485.837560011285</v>
      </c>
      <c r="J689" s="1">
        <f>(J630/J612)*X79</f>
        <v>9018.7728433537541</v>
      </c>
      <c r="K689" s="1">
        <f>(K644/K612)*X75</f>
        <v>518064.04236447695</v>
      </c>
      <c r="L689" s="1">
        <f>(L647/L612)*X80</f>
        <v>0</v>
      </c>
      <c r="M689" s="1">
        <f t="shared" si="21"/>
        <v>582354</v>
      </c>
      <c r="N689" s="149" t="s">
        <v>699</v>
      </c>
    </row>
    <row r="690" spans="1:14" ht="12.65" customHeight="1" x14ac:dyDescent="0.3">
      <c r="A690" s="147">
        <v>7140</v>
      </c>
      <c r="B690" s="149" t="s">
        <v>1249</v>
      </c>
      <c r="C690" s="1">
        <f>Y71</f>
        <v>3112374</v>
      </c>
      <c r="D690" s="1">
        <f>(D615/D612)*Y76</f>
        <v>-117686.87212504364</v>
      </c>
      <c r="E690" s="1">
        <f>(E623/E612)*SUM(C690:D690)</f>
        <v>200132.07950334417</v>
      </c>
      <c r="F690" s="1">
        <f>(F624/F612)*Y64</f>
        <v>5020.6493208201155</v>
      </c>
      <c r="G690" s="1">
        <f>(G625/G612)*Y77</f>
        <v>0</v>
      </c>
      <c r="H690" s="1">
        <f>(H628/H612)*Y60</f>
        <v>55826.352316133598</v>
      </c>
      <c r="I690" s="1">
        <f>(I629/I612)*Y78</f>
        <v>78086.278143908305</v>
      </c>
      <c r="J690" s="1">
        <f>(J630/J612)*Y79</f>
        <v>36102.940663846304</v>
      </c>
      <c r="K690" s="1">
        <f>(K644/K612)*Y75</f>
        <v>432452.26392150368</v>
      </c>
      <c r="L690" s="1">
        <f>(L647/L612)*Y80</f>
        <v>0</v>
      </c>
      <c r="M690" s="1">
        <f t="shared" si="21"/>
        <v>689934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1"/>
        <v>0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65219</v>
      </c>
      <c r="D692" s="1">
        <f>(D615/D612)*AA76</f>
        <v>-2472.515130124501</v>
      </c>
      <c r="E692" s="1">
        <f>(E623/E612)*SUM(C692:D692)</f>
        <v>4193.287633170622</v>
      </c>
      <c r="F692" s="1">
        <f>(F624/F612)*AA64</f>
        <v>105.18718889104649</v>
      </c>
      <c r="G692" s="1">
        <f>(G625/G612)*AA77</f>
        <v>0</v>
      </c>
      <c r="H692" s="1">
        <f>(H628/H612)*AA60</f>
        <v>1184.5635148689937</v>
      </c>
      <c r="I692" s="1">
        <f>(I629/I612)*AA78</f>
        <v>1619.8495771158525</v>
      </c>
      <c r="J692" s="1">
        <f>(J630/J612)*AA79</f>
        <v>756.32809802869122</v>
      </c>
      <c r="K692" s="1">
        <f>(K644/K612)*AA75</f>
        <v>85611.03537547763</v>
      </c>
      <c r="L692" s="1">
        <f>(L647/L612)*AA80</f>
        <v>0</v>
      </c>
      <c r="M692" s="1">
        <f t="shared" si="21"/>
        <v>90998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20498516</v>
      </c>
      <c r="D693" s="1">
        <f>(D615/D612)*AB76</f>
        <v>-36530.199030368851</v>
      </c>
      <c r="E693" s="1">
        <f>(E623/E612)*SUM(C693:D693)</f>
        <v>1367454.9608198486</v>
      </c>
      <c r="F693" s="1">
        <f>(F624/F612)*AB64</f>
        <v>282717.47137335112</v>
      </c>
      <c r="G693" s="1">
        <f>(G625/G612)*AB77</f>
        <v>0</v>
      </c>
      <c r="H693" s="1">
        <f>(H628/H612)*AB60</f>
        <v>32985.537875582748</v>
      </c>
      <c r="I693" s="1">
        <f>(I629/I612)*AB78</f>
        <v>24250.101022116731</v>
      </c>
      <c r="J693" s="1">
        <f>(J630/J612)*AB79</f>
        <v>0</v>
      </c>
      <c r="K693" s="1">
        <f>(K644/K612)*AB75</f>
        <v>1580070.195696682</v>
      </c>
      <c r="L693" s="1">
        <f>(L647/L612)*AB80</f>
        <v>221639.40308878513</v>
      </c>
      <c r="M693" s="1">
        <f t="shared" si="21"/>
        <v>3472587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1949324</v>
      </c>
      <c r="D694" s="1">
        <f>(D615/D612)*AC76</f>
        <v>-92598.115657603848</v>
      </c>
      <c r="E694" s="1">
        <f>(E623/E612)*SUM(C694:D694)</f>
        <v>124083.21685504811</v>
      </c>
      <c r="F694" s="1">
        <f>(F624/F612)*AC64</f>
        <v>1441.1418550317742</v>
      </c>
      <c r="G694" s="1">
        <f>(G625/G612)*AC77</f>
        <v>0</v>
      </c>
      <c r="H694" s="1">
        <f>(H628/H612)*AC60</f>
        <v>50359.13609366132</v>
      </c>
      <c r="I694" s="1">
        <f>(I629/I612)*AC78</f>
        <v>61458.998661160287</v>
      </c>
      <c r="J694" s="1">
        <f>(J630/J612)*AC79</f>
        <v>8203.814660206559</v>
      </c>
      <c r="K694" s="1">
        <f>(K644/K612)*AC75</f>
        <v>215037.28341312322</v>
      </c>
      <c r="L694" s="1">
        <f>(L647/L612)*AC80</f>
        <v>74696.152422187268</v>
      </c>
      <c r="M694" s="1">
        <f t="shared" si="21"/>
        <v>442682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1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4000183</v>
      </c>
      <c r="D696" s="1">
        <f>(D615/D612)*AE76</f>
        <v>-157271.35455144863</v>
      </c>
      <c r="E696" s="1">
        <f>(E623/E612)*SUM(C696:D696)</f>
        <v>256818.1135826988</v>
      </c>
      <c r="F696" s="1">
        <f>(F624/F612)*AE64</f>
        <v>1337.5664833165022</v>
      </c>
      <c r="G696" s="1">
        <f>(G625/G612)*AE77</f>
        <v>0</v>
      </c>
      <c r="H696" s="1">
        <f>(H628/H612)*AE60</f>
        <v>101447.23435031895</v>
      </c>
      <c r="I696" s="1">
        <f>(I629/I612)*AE78</f>
        <v>104385.01245473037</v>
      </c>
      <c r="J696" s="1">
        <f>(J630/J612)*AE79</f>
        <v>39570.910198605765</v>
      </c>
      <c r="K696" s="1">
        <f>(K644/K612)*AE75</f>
        <v>335427.14708165813</v>
      </c>
      <c r="L696" s="1">
        <f>(L647/L612)*AE80</f>
        <v>0</v>
      </c>
      <c r="M696" s="1">
        <f t="shared" si="21"/>
        <v>681715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1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6522857</v>
      </c>
      <c r="D698" s="1">
        <f>(D615/D612)*AG76</f>
        <v>-153926.18702245667</v>
      </c>
      <c r="E698" s="1">
        <f>(E623/E612)*SUM(C698:D698)</f>
        <v>425629.56108159496</v>
      </c>
      <c r="F698" s="1">
        <f>(F624/F612)*AG64</f>
        <v>4200.6695689883336</v>
      </c>
      <c r="G698" s="1">
        <f>(G625/G612)*AG77</f>
        <v>0</v>
      </c>
      <c r="H698" s="1">
        <f>(H628/H612)*AG60</f>
        <v>90543.175328832571</v>
      </c>
      <c r="I698" s="1">
        <f>(I629/I612)*AG78</f>
        <v>102145.80862754081</v>
      </c>
      <c r="J698" s="1">
        <f>(J630/J612)*AG79</f>
        <v>99366.268258839205</v>
      </c>
      <c r="K698" s="1">
        <f>(K644/K612)*AG75</f>
        <v>1018345.9445496282</v>
      </c>
      <c r="L698" s="1">
        <f>(L647/L612)*AG80</f>
        <v>497974.34948124836</v>
      </c>
      <c r="M698" s="1">
        <f t="shared" si="21"/>
        <v>2084280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1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>
        <f>(I629/I612)*AI78</f>
        <v>0</v>
      </c>
      <c r="J700" s="1">
        <f>(J630/J612)*AI79</f>
        <v>0</v>
      </c>
      <c r="K700" s="1">
        <f>(K644/K612)*AI75</f>
        <v>0</v>
      </c>
      <c r="L700" s="1">
        <f>(L647/L612)*AI80</f>
        <v>0</v>
      </c>
      <c r="M700" s="1">
        <f t="shared" si="21"/>
        <v>0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33777384</v>
      </c>
      <c r="D701" s="1">
        <f>(D615/D612)*AJ76</f>
        <v>-756395.70706279331</v>
      </c>
      <c r="E701" s="1">
        <f>(E623/E612)*SUM(C701:D701)</f>
        <v>2206761.0979483421</v>
      </c>
      <c r="F701" s="1">
        <f>(F624/F612)*AJ64</f>
        <v>27016.812073351866</v>
      </c>
      <c r="G701" s="1">
        <f>(G625/G612)*AJ77</f>
        <v>0</v>
      </c>
      <c r="H701" s="1">
        <f>(H628/H612)*AJ60</f>
        <v>521724.29474114632</v>
      </c>
      <c r="I701" s="1">
        <f>(I629/I612)*AJ78</f>
        <v>502010.44100205111</v>
      </c>
      <c r="J701" s="1">
        <f>(J630/J612)*AJ79</f>
        <v>39182.485884695685</v>
      </c>
      <c r="K701" s="1">
        <f>(K644/K612)*AJ75</f>
        <v>1379655.2322444136</v>
      </c>
      <c r="L701" s="1">
        <f>(L647/L612)*AJ80</f>
        <v>261232.44562950736</v>
      </c>
      <c r="M701" s="1">
        <f t="shared" si="21"/>
        <v>4181187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1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0</v>
      </c>
      <c r="L703" s="1">
        <f>(L647/L612)*AL80</f>
        <v>0</v>
      </c>
      <c r="M703" s="1">
        <f t="shared" si="21"/>
        <v>0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1"/>
        <v>0</v>
      </c>
      <c r="N704" s="149" t="s">
        <v>724</v>
      </c>
    </row>
    <row r="705" spans="1:83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1"/>
        <v>0</v>
      </c>
      <c r="N705" s="149" t="s">
        <v>726</v>
      </c>
    </row>
    <row r="706" spans="1:83" ht="12.65" customHeight="1" x14ac:dyDescent="0.3">
      <c r="A706" s="147">
        <v>7350</v>
      </c>
      <c r="B706" s="149" t="s">
        <v>727</v>
      </c>
      <c r="C706" s="1">
        <f>AO71</f>
        <v>724144.68338340649</v>
      </c>
      <c r="D706" s="1">
        <f>(D615/D612)*AO76</f>
        <v>-21452.704805491991</v>
      </c>
      <c r="E706" s="1">
        <f>(E623/E612)*SUM(C706:D706)</f>
        <v>46960.233546303694</v>
      </c>
      <c r="F706" s="1">
        <f>(F624/F612)*AO64</f>
        <v>515.06584495178208</v>
      </c>
      <c r="G706" s="1">
        <f>(G625/G612)*AO77</f>
        <v>0</v>
      </c>
      <c r="H706" s="1">
        <f>(H628/H612)*AO60</f>
        <v>11835.31646773696</v>
      </c>
      <c r="I706" s="1">
        <f>(I629/I612)*AO78</f>
        <v>14245.147751695291</v>
      </c>
      <c r="J706" s="1">
        <f>(J630/J612)*AO79</f>
        <v>6156.2537862054478</v>
      </c>
      <c r="K706" s="1">
        <f>(K644/K612)*AO75</f>
        <v>31619.929636270859</v>
      </c>
      <c r="L706" s="1">
        <f>(L647/L612)*AO80</f>
        <v>79524.926565404559</v>
      </c>
      <c r="M706" s="1">
        <f t="shared" si="21"/>
        <v>169404</v>
      </c>
      <c r="N706" s="149" t="s">
        <v>728</v>
      </c>
    </row>
    <row r="707" spans="1:83" ht="12.65" customHeight="1" x14ac:dyDescent="0.3">
      <c r="A707" s="147">
        <v>7380</v>
      </c>
      <c r="B707" s="149" t="s">
        <v>729</v>
      </c>
      <c r="C707" s="1">
        <f>AP71</f>
        <v>1405714</v>
      </c>
      <c r="D707" s="1">
        <f>(D615/D612)*AP76</f>
        <v>0</v>
      </c>
      <c r="E707" s="1">
        <f>(E623/E612)*SUM(C707:D707)</f>
        <v>93942.523540546244</v>
      </c>
      <c r="F707" s="1">
        <f>(F624/F612)*AP64</f>
        <v>15.828044666105985</v>
      </c>
      <c r="G707" s="1">
        <f>(G625/G612)*AP77</f>
        <v>0</v>
      </c>
      <c r="H707" s="1">
        <f>(H628/H612)*AP60</f>
        <v>9051.2801905374399</v>
      </c>
      <c r="I707" s="1">
        <f>(I629/I612)*AP78</f>
        <v>0</v>
      </c>
      <c r="J707" s="1">
        <f>(J630/J612)*AP79</f>
        <v>0</v>
      </c>
      <c r="K707" s="1">
        <f>(K644/K612)*AP75</f>
        <v>53127.483131060901</v>
      </c>
      <c r="L707" s="1">
        <f>(L647/L612)*AP80</f>
        <v>0</v>
      </c>
      <c r="M707" s="1">
        <f t="shared" si="21"/>
        <v>156137</v>
      </c>
      <c r="N707" s="149" t="s">
        <v>730</v>
      </c>
    </row>
    <row r="708" spans="1:83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1"/>
        <v>0</v>
      </c>
      <c r="N708" s="149" t="s">
        <v>732</v>
      </c>
    </row>
    <row r="709" spans="1:83" ht="12.65" customHeight="1" x14ac:dyDescent="0.3">
      <c r="A709" s="147">
        <v>7400</v>
      </c>
      <c r="B709" s="149" t="s">
        <v>733</v>
      </c>
      <c r="C709" s="1">
        <f>AR71</f>
        <v>2784239</v>
      </c>
      <c r="D709" s="1">
        <f>(D615/D612)*AR76</f>
        <v>0</v>
      </c>
      <c r="E709" s="1">
        <f>(E623/E612)*SUM(C709:D709)</f>
        <v>186068.03218862935</v>
      </c>
      <c r="F709" s="1">
        <f>(F624/F612)*AR64</f>
        <v>1915.9670768431959</v>
      </c>
      <c r="G709" s="1">
        <f>(G625/G612)*AR77</f>
        <v>0</v>
      </c>
      <c r="H709" s="1">
        <f>(H628/H612)*AR60</f>
        <v>76632.147384986441</v>
      </c>
      <c r="I709" s="1">
        <f>(I629/I612)*AR78</f>
        <v>0</v>
      </c>
      <c r="J709" s="1">
        <f>(J630/J612)*AR79</f>
        <v>0</v>
      </c>
      <c r="K709" s="1">
        <f>(K644/K612)*AR75</f>
        <v>69982.602025522632</v>
      </c>
      <c r="L709" s="1">
        <f>(L647/L612)*AR80</f>
        <v>0</v>
      </c>
      <c r="M709" s="1">
        <f t="shared" si="21"/>
        <v>334599</v>
      </c>
      <c r="N709" s="149" t="s">
        <v>734</v>
      </c>
    </row>
    <row r="710" spans="1:83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1"/>
        <v>0</v>
      </c>
      <c r="N710" s="149" t="s">
        <v>735</v>
      </c>
    </row>
    <row r="711" spans="1:83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1"/>
        <v>0</v>
      </c>
      <c r="N711" s="149" t="s">
        <v>737</v>
      </c>
    </row>
    <row r="712" spans="1:83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1"/>
        <v>0</v>
      </c>
      <c r="N712" s="149" t="s">
        <v>739</v>
      </c>
    </row>
    <row r="713" spans="1:83" ht="12.65" customHeight="1" x14ac:dyDescent="0.3">
      <c r="A713" s="147">
        <v>7490</v>
      </c>
      <c r="B713" s="149" t="s">
        <v>740</v>
      </c>
      <c r="C713" s="1">
        <f>AV71</f>
        <v>3110776</v>
      </c>
      <c r="D713" s="1">
        <f>(D615/D612)*AV76</f>
        <v>-94197.97838886088</v>
      </c>
      <c r="E713" s="1">
        <f>(E623/E612)*SUM(C713:D713)</f>
        <v>201595.02701623435</v>
      </c>
      <c r="F713" s="1">
        <f>(F624/F612)*AV64</f>
        <v>4782.7128693322775</v>
      </c>
      <c r="G713" s="1">
        <f>(G625/G612)*AV77</f>
        <v>0</v>
      </c>
      <c r="H713" s="1">
        <f>(H628/H612)*AV60</f>
        <v>9932.1094708246401</v>
      </c>
      <c r="I713" s="1">
        <f>(I629/I612)*AV78</f>
        <v>62507.136622823484</v>
      </c>
      <c r="J713" s="1">
        <f>(J630/J612)*AV79</f>
        <v>0</v>
      </c>
      <c r="K713" s="1">
        <f>(K644/K612)*AV75</f>
        <v>209492.24625633928</v>
      </c>
      <c r="L713" s="1">
        <f>(L647/L612)*AV80</f>
        <v>66736.726344413211</v>
      </c>
      <c r="M713" s="1">
        <f t="shared" si="21"/>
        <v>460848</v>
      </c>
      <c r="N713" s="150" t="s">
        <v>741</v>
      </c>
    </row>
    <row r="715" spans="1:83" ht="12.65" customHeight="1" x14ac:dyDescent="0.3">
      <c r="C715" s="1">
        <f>SUM(C614:C647)+SUM(C668:C713)</f>
        <v>130060881</v>
      </c>
      <c r="D715" s="1">
        <f>SUM(D616:D647)+SUM(D668:D713)</f>
        <v>-3124944</v>
      </c>
      <c r="E715" s="1">
        <f>SUM(E624:E647)+SUM(E668:E713)</f>
        <v>8147363.8684947453</v>
      </c>
      <c r="F715" s="1">
        <f>SUM(F625:F648)+SUM(F668:F713)</f>
        <v>455566.9400681759</v>
      </c>
      <c r="G715" s="1">
        <f>SUM(G626:G647)+SUM(G668:G713)</f>
        <v>1554620.8916459871</v>
      </c>
      <c r="H715" s="1">
        <f>SUM(H629:H647)+SUM(H668:H713)</f>
        <v>1738969.613251141</v>
      </c>
      <c r="I715" s="1">
        <f>SUM(I630:I647)+SUM(I668:I713)</f>
        <v>1695601.366163329</v>
      </c>
      <c r="J715" s="1">
        <f>SUM(J631:J647)+SUM(J668:J713)</f>
        <v>412616.55278210598</v>
      </c>
      <c r="K715" s="1">
        <f>SUM(K668:K713)</f>
        <v>8857233.2331726607</v>
      </c>
      <c r="L715" s="1">
        <f>SUM(L668:L713)</f>
        <v>3221526.6830170108</v>
      </c>
      <c r="M715" s="1">
        <f>SUM(M668:M713)</f>
        <v>22174072</v>
      </c>
      <c r="N715" s="149" t="s">
        <v>742</v>
      </c>
    </row>
    <row r="716" spans="1:83" ht="12.65" customHeight="1" x14ac:dyDescent="0.3">
      <c r="C716" s="1">
        <f>CE71</f>
        <v>130060881</v>
      </c>
      <c r="D716" s="1">
        <f>D615</f>
        <v>-3124944</v>
      </c>
      <c r="E716" s="1">
        <f>E623</f>
        <v>8147363.8684947444</v>
      </c>
      <c r="F716" s="1">
        <f>F624</f>
        <v>455566.94006817596</v>
      </c>
      <c r="G716" s="1">
        <f>G625</f>
        <v>1554620.8916459873</v>
      </c>
      <c r="H716" s="1">
        <f>H628</f>
        <v>1738969.6132511413</v>
      </c>
      <c r="I716" s="1">
        <f>I629</f>
        <v>1695601.366163329</v>
      </c>
      <c r="J716" s="1">
        <f>J630</f>
        <v>412616.55278210604</v>
      </c>
      <c r="K716" s="1">
        <f>K644</f>
        <v>8857233.2331726607</v>
      </c>
      <c r="L716" s="1">
        <f>L647</f>
        <v>3221526.6830170108</v>
      </c>
      <c r="M716" s="1">
        <f>C648</f>
        <v>22174071</v>
      </c>
      <c r="N716" s="149" t="s">
        <v>743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744</v>
      </c>
      <c r="B720" s="214"/>
      <c r="C720" s="214"/>
      <c r="D720" s="214"/>
      <c r="E720" s="214"/>
      <c r="F720" s="214"/>
      <c r="G720" s="214"/>
      <c r="H720" s="214"/>
      <c r="I720" s="214"/>
      <c r="J720" s="214"/>
      <c r="K720" s="214"/>
      <c r="L720" s="214"/>
      <c r="M720" s="214"/>
      <c r="N720" s="214"/>
      <c r="O720" s="214"/>
      <c r="P720" s="214"/>
      <c r="Q720" s="214"/>
      <c r="R720" s="214"/>
      <c r="S720" s="214"/>
      <c r="T720" s="214"/>
      <c r="U720" s="214"/>
      <c r="V720" s="214"/>
      <c r="W720" s="214"/>
      <c r="X720" s="214"/>
      <c r="Y720" s="214"/>
      <c r="Z720" s="214"/>
      <c r="AA720" s="214"/>
      <c r="AB720" s="214"/>
      <c r="AC720" s="214"/>
      <c r="AD720" s="214"/>
      <c r="AE720" s="214"/>
      <c r="AF720" s="214"/>
      <c r="AG720" s="214"/>
      <c r="AH720" s="214"/>
      <c r="AI720" s="214"/>
      <c r="AJ720" s="214"/>
      <c r="AK720" s="214"/>
      <c r="AL720" s="214"/>
      <c r="AM720" s="214"/>
      <c r="AN720" s="214"/>
      <c r="AO720" s="214"/>
      <c r="AP720" s="214"/>
      <c r="AQ720" s="214"/>
      <c r="AR720" s="214"/>
      <c r="AS720" s="214"/>
      <c r="AT720" s="214"/>
      <c r="AU720" s="214"/>
      <c r="AV720" s="214"/>
      <c r="AW720" s="214"/>
      <c r="AX720" s="214"/>
      <c r="AY720" s="214"/>
      <c r="AZ720" s="214"/>
      <c r="BA720" s="214"/>
      <c r="BB720" s="214"/>
      <c r="BC720" s="214"/>
      <c r="BD720" s="214"/>
      <c r="BE720" s="214"/>
      <c r="BF720" s="214"/>
      <c r="BG720" s="214"/>
      <c r="BH720" s="214"/>
      <c r="BI720" s="214"/>
      <c r="BJ720" s="214"/>
      <c r="BK720" s="214"/>
      <c r="BL720" s="214"/>
      <c r="BM720" s="214"/>
      <c r="BN720" s="214"/>
      <c r="BO720" s="214"/>
      <c r="BP720" s="214"/>
      <c r="BQ720" s="214"/>
      <c r="BR720" s="214"/>
      <c r="BS720" s="214"/>
      <c r="BT720" s="214"/>
      <c r="BU720" s="214"/>
      <c r="BV720" s="214"/>
      <c r="BW720" s="214"/>
      <c r="BX720" s="214"/>
      <c r="BY720" s="214"/>
      <c r="BZ720" s="214"/>
      <c r="CA720" s="214"/>
      <c r="CB720" s="214"/>
      <c r="CC720" s="214"/>
      <c r="CD720" s="214"/>
      <c r="CE720" s="214"/>
    </row>
    <row r="721" spans="1:84" s="154" customFormat="1" ht="12.65" customHeight="1" x14ac:dyDescent="0.3">
      <c r="A721" s="154" t="s">
        <v>745</v>
      </c>
      <c r="B721" s="154" t="s">
        <v>746</v>
      </c>
      <c r="C721" s="154" t="s">
        <v>747</v>
      </c>
      <c r="D721" s="154" t="s">
        <v>748</v>
      </c>
      <c r="E721" s="154" t="s">
        <v>749</v>
      </c>
      <c r="F721" s="154" t="s">
        <v>750</v>
      </c>
      <c r="G721" s="154" t="s">
        <v>751</v>
      </c>
      <c r="H721" s="154" t="s">
        <v>752</v>
      </c>
      <c r="I721" s="154" t="s">
        <v>753</v>
      </c>
      <c r="J721" s="154" t="s">
        <v>754</v>
      </c>
      <c r="K721" s="154" t="s">
        <v>755</v>
      </c>
      <c r="L721" s="154" t="s">
        <v>756</v>
      </c>
      <c r="M721" s="154" t="s">
        <v>757</v>
      </c>
      <c r="N721" s="154" t="s">
        <v>758</v>
      </c>
      <c r="O721" s="154" t="s">
        <v>759</v>
      </c>
      <c r="P721" s="154" t="s">
        <v>760</v>
      </c>
      <c r="Q721" s="154" t="s">
        <v>761</v>
      </c>
      <c r="R721" s="154" t="s">
        <v>762</v>
      </c>
      <c r="S721" s="154" t="s">
        <v>763</v>
      </c>
      <c r="T721" s="154" t="s">
        <v>764</v>
      </c>
      <c r="U721" s="154" t="s">
        <v>765</v>
      </c>
      <c r="V721" s="154" t="s">
        <v>766</v>
      </c>
      <c r="W721" s="154" t="s">
        <v>767</v>
      </c>
      <c r="X721" s="154" t="s">
        <v>768</v>
      </c>
      <c r="Y721" s="154" t="s">
        <v>769</v>
      </c>
      <c r="Z721" s="154" t="s">
        <v>770</v>
      </c>
      <c r="AA721" s="154" t="s">
        <v>771</v>
      </c>
      <c r="AB721" s="154" t="s">
        <v>772</v>
      </c>
      <c r="AC721" s="154" t="s">
        <v>773</v>
      </c>
      <c r="AD721" s="154" t="s">
        <v>774</v>
      </c>
      <c r="AE721" s="154" t="s">
        <v>775</v>
      </c>
      <c r="AF721" s="154" t="s">
        <v>776</v>
      </c>
      <c r="AG721" s="154" t="s">
        <v>777</v>
      </c>
      <c r="AH721" s="154" t="s">
        <v>778</v>
      </c>
      <c r="AI721" s="154" t="s">
        <v>779</v>
      </c>
      <c r="AJ721" s="154" t="s">
        <v>780</v>
      </c>
      <c r="AK721" s="154" t="s">
        <v>781</v>
      </c>
      <c r="AL721" s="154" t="s">
        <v>782</v>
      </c>
      <c r="AM721" s="154" t="s">
        <v>783</v>
      </c>
      <c r="AN721" s="154" t="s">
        <v>784</v>
      </c>
      <c r="AO721" s="154" t="s">
        <v>785</v>
      </c>
      <c r="AP721" s="154" t="s">
        <v>786</v>
      </c>
      <c r="AQ721" s="154" t="s">
        <v>787</v>
      </c>
      <c r="AR721" s="154" t="s">
        <v>788</v>
      </c>
      <c r="AS721" s="154" t="s">
        <v>789</v>
      </c>
      <c r="AT721" s="154" t="s">
        <v>790</v>
      </c>
      <c r="AU721" s="154" t="s">
        <v>791</v>
      </c>
      <c r="AV721" s="154" t="s">
        <v>792</v>
      </c>
      <c r="AW721" s="154" t="s">
        <v>793</v>
      </c>
      <c r="AX721" s="154" t="s">
        <v>794</v>
      </c>
      <c r="AY721" s="154" t="s">
        <v>795</v>
      </c>
      <c r="AZ721" s="154" t="s">
        <v>796</v>
      </c>
      <c r="BA721" s="154" t="s">
        <v>797</v>
      </c>
      <c r="BB721" s="154" t="s">
        <v>798</v>
      </c>
      <c r="BC721" s="154" t="s">
        <v>799</v>
      </c>
      <c r="BD721" s="154" t="s">
        <v>800</v>
      </c>
      <c r="BE721" s="154" t="s">
        <v>801</v>
      </c>
      <c r="BF721" s="154" t="s">
        <v>802</v>
      </c>
      <c r="BG721" s="154" t="s">
        <v>803</v>
      </c>
      <c r="BH721" s="154" t="s">
        <v>804</v>
      </c>
      <c r="BI721" s="154" t="s">
        <v>805</v>
      </c>
      <c r="BJ721" s="154" t="s">
        <v>806</v>
      </c>
      <c r="BK721" s="154" t="s">
        <v>807</v>
      </c>
      <c r="BL721" s="154" t="s">
        <v>808</v>
      </c>
      <c r="BM721" s="154" t="s">
        <v>809</v>
      </c>
      <c r="BN721" s="154" t="s">
        <v>810</v>
      </c>
      <c r="BO721" s="154" t="s">
        <v>811</v>
      </c>
      <c r="BP721" s="154" t="s">
        <v>812</v>
      </c>
      <c r="BQ721" s="154" t="s">
        <v>813</v>
      </c>
      <c r="BR721" s="154" t="s">
        <v>814</v>
      </c>
      <c r="BS721" s="154" t="s">
        <v>815</v>
      </c>
      <c r="BT721" s="154" t="s">
        <v>816</v>
      </c>
      <c r="BU721" s="154" t="s">
        <v>817</v>
      </c>
      <c r="BV721" s="154" t="s">
        <v>818</v>
      </c>
      <c r="BW721" s="154" t="s">
        <v>819</v>
      </c>
      <c r="BX721" s="154" t="s">
        <v>820</v>
      </c>
      <c r="BY721" s="154" t="s">
        <v>821</v>
      </c>
      <c r="BZ721" s="154" t="s">
        <v>822</v>
      </c>
      <c r="CA721" s="154" t="s">
        <v>823</v>
      </c>
      <c r="CB721" s="154" t="s">
        <v>824</v>
      </c>
      <c r="CC721" s="154" t="s">
        <v>825</v>
      </c>
      <c r="CD721" s="154" t="s">
        <v>1255</v>
      </c>
    </row>
    <row r="722" spans="1:84" s="152" customFormat="1" ht="12.65" customHeight="1" x14ac:dyDescent="0.3">
      <c r="A722" s="153" t="str">
        <f>RIGHT(C83,3)&amp;"*"&amp;RIGHT(C82,4)&amp;"*"&amp;"A"</f>
        <v>085*2021*A</v>
      </c>
      <c r="B722" s="214">
        <f>ROUND(C165,0)</f>
        <v>4687899</v>
      </c>
      <c r="C722" s="214">
        <f>ROUND(C166,0)</f>
        <v>209174</v>
      </c>
      <c r="D722" s="214">
        <f>ROUND(C167,0)</f>
        <v>572551</v>
      </c>
      <c r="E722" s="214">
        <f>ROUND(C168,0)</f>
        <v>7441852</v>
      </c>
      <c r="F722" s="214">
        <f>ROUND(C169,0)</f>
        <v>0</v>
      </c>
      <c r="G722" s="214">
        <f>ROUND(C170,0)</f>
        <v>2940698</v>
      </c>
      <c r="H722" s="214">
        <f>ROUND(C171+C172,0)</f>
        <v>65132</v>
      </c>
      <c r="I722" s="214">
        <f>ROUND(C175,0)</f>
        <v>661333</v>
      </c>
      <c r="J722" s="214">
        <f>ROUND(C176,0)</f>
        <v>1020159</v>
      </c>
      <c r="K722" s="214">
        <f>ROUND(C179,0)</f>
        <v>986267</v>
      </c>
      <c r="L722" s="214">
        <f>ROUND(C180,0)</f>
        <v>168482</v>
      </c>
      <c r="M722" s="214">
        <f>ROUND(C183,0)</f>
        <v>923436</v>
      </c>
      <c r="N722" s="214">
        <f>ROUND(C184,0)</f>
        <v>0</v>
      </c>
      <c r="O722" s="214">
        <f>ROUND(C185,0)</f>
        <v>0</v>
      </c>
      <c r="P722" s="214">
        <f>ROUND(C188,0)</f>
        <v>226838</v>
      </c>
      <c r="Q722" s="214">
        <f>ROUND(C189,0)</f>
        <v>743524</v>
      </c>
      <c r="R722" s="214">
        <f>ROUND(B195,0)</f>
        <v>1715331</v>
      </c>
      <c r="S722" s="214">
        <f>ROUND(C195,0)</f>
        <v>6840</v>
      </c>
      <c r="T722" s="214">
        <f>ROUND(D195,0)</f>
        <v>0</v>
      </c>
      <c r="U722" s="214">
        <f>ROUND(B196,0)</f>
        <v>4028158</v>
      </c>
      <c r="V722" s="214">
        <f>ROUND(C196,0)</f>
        <v>0</v>
      </c>
      <c r="W722" s="214">
        <f>ROUND(D196,0)</f>
        <v>0</v>
      </c>
      <c r="X722" s="214">
        <f>ROUND(B197,0)</f>
        <v>49251245</v>
      </c>
      <c r="Y722" s="214">
        <f>ROUND(C197,0)</f>
        <v>0</v>
      </c>
      <c r="Z722" s="214">
        <f>ROUND(D197,0)</f>
        <v>0</v>
      </c>
      <c r="AA722" s="214">
        <f>ROUND(B198,0)</f>
        <v>0</v>
      </c>
      <c r="AB722" s="214">
        <f>ROUND(C198,0)</f>
        <v>0</v>
      </c>
      <c r="AC722" s="214">
        <f>ROUND(D198,0)</f>
        <v>0</v>
      </c>
      <c r="AD722" s="214">
        <f>ROUND(B199,0)</f>
        <v>22403842</v>
      </c>
      <c r="AE722" s="214">
        <f>ROUND(C199,0)</f>
        <v>9389</v>
      </c>
      <c r="AF722" s="214">
        <f>ROUND(D199,0)</f>
        <v>0</v>
      </c>
      <c r="AG722" s="214">
        <f>ROUND(B200,0)</f>
        <v>10632459</v>
      </c>
      <c r="AH722" s="214">
        <f>ROUND(C200,0)</f>
        <v>103644</v>
      </c>
      <c r="AI722" s="214">
        <f>ROUND(D200,0)</f>
        <v>0</v>
      </c>
      <c r="AJ722" s="214">
        <f>ROUND(B201,0)</f>
        <v>0</v>
      </c>
      <c r="AK722" s="214">
        <f>ROUND(C201,0)</f>
        <v>0</v>
      </c>
      <c r="AL722" s="214">
        <f>ROUND(D201,0)</f>
        <v>0</v>
      </c>
      <c r="AM722" s="214">
        <f>ROUND(B202,0)</f>
        <v>1361180</v>
      </c>
      <c r="AN722" s="214">
        <f>ROUND(C202,0)</f>
        <v>0</v>
      </c>
      <c r="AO722" s="214">
        <f>ROUND(D202,0)</f>
        <v>0</v>
      </c>
      <c r="AP722" s="214">
        <f>ROUND(B203,0)</f>
        <v>995244</v>
      </c>
      <c r="AQ722" s="214">
        <f>ROUND(C203,0)</f>
        <v>399732</v>
      </c>
      <c r="AR722" s="214">
        <f>ROUND(D203,0)</f>
        <v>0</v>
      </c>
      <c r="AS722" s="214"/>
      <c r="AT722" s="214"/>
      <c r="AU722" s="214"/>
      <c r="AV722" s="214">
        <f>ROUND(B209,0)</f>
        <v>1766043</v>
      </c>
      <c r="AW722" s="214">
        <f>ROUND(C209,0)</f>
        <v>247941</v>
      </c>
      <c r="AX722" s="214">
        <f>ROUND(D209,0)</f>
        <v>0</v>
      </c>
      <c r="AY722" s="214">
        <f>ROUND(B210,0)</f>
        <v>21865252</v>
      </c>
      <c r="AZ722" s="214">
        <f>ROUND(C210,0)</f>
        <v>1567906</v>
      </c>
      <c r="BA722" s="214">
        <f>ROUND(D210,0)</f>
        <v>0</v>
      </c>
      <c r="BB722" s="214">
        <f>ROUND(B211,0)</f>
        <v>0</v>
      </c>
      <c r="BC722" s="214">
        <f>ROUND(C211,0)</f>
        <v>0</v>
      </c>
      <c r="BD722" s="214">
        <f>ROUND(D211,0)</f>
        <v>0</v>
      </c>
      <c r="BE722" s="214">
        <f>ROUND(B212,0)</f>
        <v>10236001</v>
      </c>
      <c r="BF722" s="214">
        <f>ROUND(C212,0)</f>
        <v>1485767</v>
      </c>
      <c r="BG722" s="214">
        <f>ROUND(D212,0)</f>
        <v>0</v>
      </c>
      <c r="BH722" s="214">
        <f>ROUND(B213,0)</f>
        <v>15024126</v>
      </c>
      <c r="BI722" s="214">
        <f>ROUND(C213,0)</f>
        <v>964538</v>
      </c>
      <c r="BJ722" s="214">
        <f>ROUND(D213,0)</f>
        <v>0</v>
      </c>
      <c r="BK722" s="214">
        <f>ROUND(B214,0)</f>
        <v>0</v>
      </c>
      <c r="BL722" s="214">
        <f>ROUND(C214,0)</f>
        <v>0</v>
      </c>
      <c r="BM722" s="214">
        <f>ROUND(D214,0)</f>
        <v>0</v>
      </c>
      <c r="BN722" s="214">
        <f>ROUND(B215,0)</f>
        <v>897717</v>
      </c>
      <c r="BO722" s="214">
        <f>ROUND(C215,0)</f>
        <v>110307</v>
      </c>
      <c r="BP722" s="214">
        <f>ROUND(D215,0)</f>
        <v>0</v>
      </c>
      <c r="BQ722" s="214">
        <f>ROUND(B216,0)</f>
        <v>0</v>
      </c>
      <c r="BR722" s="214">
        <f>ROUND(C216,0)</f>
        <v>0</v>
      </c>
      <c r="BS722" s="214">
        <f>ROUND(D216,0)</f>
        <v>0</v>
      </c>
      <c r="BT722" s="214">
        <f>ROUND(C223,0)</f>
        <v>100993077</v>
      </c>
      <c r="BU722" s="214">
        <f>ROUND(C224,0)</f>
        <v>24245019</v>
      </c>
      <c r="BV722" s="214">
        <f>ROUND(C225,0)</f>
        <v>0</v>
      </c>
      <c r="BW722" s="214">
        <f>ROUND(C226,0)</f>
        <v>0</v>
      </c>
      <c r="BX722" s="214">
        <f>ROUND(C227,0)</f>
        <v>0</v>
      </c>
      <c r="BY722" s="214">
        <f>ROUND(C228,0)</f>
        <v>26198456</v>
      </c>
      <c r="BZ722" s="214">
        <f>ROUND(C231,0)</f>
        <v>1259</v>
      </c>
      <c r="CA722" s="214">
        <f>ROUND(C233,0)</f>
        <v>-10000</v>
      </c>
      <c r="CB722" s="214">
        <f>ROUND(C234,0)</f>
        <v>3882263</v>
      </c>
      <c r="CC722" s="214">
        <f>ROUND(C238+C239,0)</f>
        <v>0</v>
      </c>
      <c r="CD722" s="214">
        <f>D221</f>
        <v>5525532</v>
      </c>
      <c r="CE722" s="214"/>
    </row>
    <row r="723" spans="1:84" ht="12.65" customHeight="1" x14ac:dyDescent="0.3">
      <c r="B723" s="215"/>
      <c r="C723" s="215"/>
      <c r="D723" s="215"/>
      <c r="E723" s="215"/>
      <c r="F723" s="215"/>
      <c r="G723" s="215"/>
      <c r="H723" s="215"/>
      <c r="I723" s="215"/>
      <c r="J723" s="215"/>
      <c r="K723" s="215"/>
      <c r="L723" s="215"/>
      <c r="M723" s="215"/>
      <c r="N723" s="215"/>
      <c r="O723" s="215"/>
      <c r="P723" s="215"/>
      <c r="Q723" s="215"/>
      <c r="R723" s="215"/>
      <c r="S723" s="215"/>
      <c r="T723" s="215"/>
      <c r="U723" s="215"/>
      <c r="V723" s="215"/>
      <c r="W723" s="215"/>
      <c r="X723" s="215"/>
      <c r="Y723" s="215"/>
      <c r="Z723" s="215"/>
      <c r="AA723" s="215"/>
      <c r="AB723" s="215"/>
      <c r="AC723" s="215"/>
      <c r="AD723" s="215"/>
      <c r="AE723" s="215"/>
      <c r="AF723" s="215"/>
      <c r="AG723" s="215"/>
      <c r="AH723" s="215"/>
      <c r="AI723" s="215"/>
      <c r="AJ723" s="215"/>
      <c r="AK723" s="215"/>
      <c r="AL723" s="215"/>
      <c r="AM723" s="215"/>
      <c r="AN723" s="215"/>
      <c r="AO723" s="215"/>
      <c r="AP723" s="215"/>
      <c r="AQ723" s="215"/>
      <c r="AR723" s="215"/>
      <c r="AS723" s="215"/>
      <c r="AT723" s="215"/>
      <c r="AU723" s="215"/>
      <c r="AV723" s="215"/>
      <c r="AW723" s="215"/>
      <c r="AX723" s="215"/>
      <c r="AY723" s="215"/>
      <c r="AZ723" s="215"/>
      <c r="BA723" s="215"/>
      <c r="BB723" s="215"/>
      <c r="BC723" s="215"/>
      <c r="BD723" s="215"/>
      <c r="BE723" s="215"/>
      <c r="BF723" s="215"/>
      <c r="BG723" s="215"/>
      <c r="BH723" s="215"/>
      <c r="BI723" s="215"/>
      <c r="BJ723" s="215"/>
      <c r="BK723" s="215"/>
      <c r="BL723" s="215"/>
      <c r="BM723" s="215"/>
      <c r="BN723" s="215"/>
      <c r="BO723" s="215"/>
      <c r="BP723" s="215"/>
      <c r="BQ723" s="215"/>
      <c r="BR723" s="215"/>
      <c r="BS723" s="215"/>
      <c r="BT723" s="215"/>
      <c r="BU723" s="215"/>
      <c r="BV723" s="215"/>
      <c r="BW723" s="215"/>
      <c r="BX723" s="215"/>
      <c r="BY723" s="215"/>
      <c r="BZ723" s="215"/>
      <c r="CA723" s="215"/>
      <c r="CB723" s="215"/>
      <c r="CC723" s="215"/>
      <c r="CD723" s="215"/>
      <c r="CE723" s="215"/>
    </row>
    <row r="724" spans="1:84" s="152" customFormat="1" ht="12.65" customHeight="1" x14ac:dyDescent="0.3">
      <c r="A724" s="152" t="s">
        <v>148</v>
      </c>
      <c r="B724" s="214"/>
      <c r="C724" s="214"/>
      <c r="D724" s="214"/>
      <c r="E724" s="214"/>
      <c r="F724" s="214"/>
      <c r="G724" s="214"/>
      <c r="H724" s="214"/>
      <c r="I724" s="214"/>
      <c r="J724" s="214"/>
      <c r="K724" s="214"/>
      <c r="L724" s="214"/>
      <c r="M724" s="214"/>
      <c r="N724" s="214"/>
      <c r="O724" s="214"/>
      <c r="P724" s="214"/>
      <c r="Q724" s="214"/>
      <c r="R724" s="214"/>
      <c r="S724" s="214"/>
      <c r="T724" s="214"/>
      <c r="U724" s="214"/>
      <c r="V724" s="214"/>
      <c r="W724" s="214"/>
      <c r="X724" s="214"/>
      <c r="Y724" s="214"/>
      <c r="Z724" s="214"/>
      <c r="AA724" s="214"/>
      <c r="AB724" s="214"/>
      <c r="AC724" s="214"/>
      <c r="AD724" s="214"/>
      <c r="AE724" s="214"/>
      <c r="AF724" s="214"/>
      <c r="AG724" s="214"/>
      <c r="AH724" s="214"/>
      <c r="AI724" s="214"/>
      <c r="AJ724" s="214"/>
      <c r="AK724" s="214"/>
      <c r="AL724" s="214"/>
      <c r="AM724" s="214"/>
      <c r="AN724" s="214"/>
      <c r="AO724" s="214"/>
      <c r="AP724" s="214"/>
      <c r="AQ724" s="214"/>
      <c r="AR724" s="214"/>
      <c r="AS724" s="214"/>
      <c r="AT724" s="214"/>
      <c r="AU724" s="214"/>
      <c r="AV724" s="214"/>
      <c r="AW724" s="214"/>
      <c r="AX724" s="214"/>
      <c r="AY724" s="214"/>
      <c r="AZ724" s="214"/>
      <c r="BA724" s="214"/>
      <c r="BB724" s="214"/>
      <c r="BC724" s="214"/>
      <c r="BD724" s="214"/>
      <c r="BE724" s="214"/>
      <c r="BF724" s="214"/>
      <c r="BG724" s="214"/>
      <c r="BH724" s="214"/>
      <c r="BI724" s="214"/>
      <c r="BJ724" s="214"/>
      <c r="BK724" s="214"/>
      <c r="BL724" s="214"/>
      <c r="BM724" s="214"/>
      <c r="BN724" s="214"/>
      <c r="BO724" s="214"/>
      <c r="BP724" s="214"/>
      <c r="BQ724" s="214"/>
      <c r="BR724" s="214"/>
      <c r="BS724" s="214"/>
      <c r="BT724" s="214"/>
      <c r="BU724" s="214"/>
      <c r="BV724" s="214"/>
      <c r="BW724" s="214"/>
      <c r="BX724" s="214"/>
      <c r="BY724" s="214"/>
      <c r="BZ724" s="214"/>
      <c r="CA724" s="214"/>
      <c r="CB724" s="214"/>
      <c r="CC724" s="214"/>
      <c r="CD724" s="214"/>
      <c r="CE724" s="214"/>
    </row>
    <row r="725" spans="1:84" s="154" customFormat="1" ht="12.65" customHeight="1" x14ac:dyDescent="0.3">
      <c r="A725" s="154" t="s">
        <v>745</v>
      </c>
      <c r="B725" s="154" t="s">
        <v>826</v>
      </c>
      <c r="C725" s="154" t="s">
        <v>827</v>
      </c>
      <c r="D725" s="154" t="s">
        <v>828</v>
      </c>
      <c r="E725" s="154" t="s">
        <v>829</v>
      </c>
      <c r="F725" s="154" t="s">
        <v>830</v>
      </c>
      <c r="G725" s="154" t="s">
        <v>831</v>
      </c>
      <c r="H725" s="154" t="s">
        <v>832</v>
      </c>
      <c r="I725" s="154" t="s">
        <v>833</v>
      </c>
      <c r="J725" s="154" t="s">
        <v>834</v>
      </c>
      <c r="K725" s="154" t="s">
        <v>835</v>
      </c>
      <c r="L725" s="154" t="s">
        <v>836</v>
      </c>
      <c r="M725" s="154" t="s">
        <v>837</v>
      </c>
      <c r="N725" s="154" t="s">
        <v>838</v>
      </c>
      <c r="O725" s="154" t="s">
        <v>839</v>
      </c>
      <c r="P725" s="154" t="s">
        <v>840</v>
      </c>
      <c r="Q725" s="154" t="s">
        <v>841</v>
      </c>
      <c r="R725" s="154" t="s">
        <v>842</v>
      </c>
      <c r="S725" s="154" t="s">
        <v>843</v>
      </c>
      <c r="T725" s="154" t="s">
        <v>844</v>
      </c>
      <c r="U725" s="154" t="s">
        <v>845</v>
      </c>
      <c r="V725" s="154" t="s">
        <v>846</v>
      </c>
      <c r="W725" s="154" t="s">
        <v>847</v>
      </c>
      <c r="X725" s="154" t="s">
        <v>848</v>
      </c>
      <c r="Y725" s="154" t="s">
        <v>849</v>
      </c>
      <c r="Z725" s="154" t="s">
        <v>850</v>
      </c>
      <c r="AA725" s="154" t="s">
        <v>851</v>
      </c>
      <c r="AB725" s="154" t="s">
        <v>852</v>
      </c>
      <c r="AC725" s="154" t="s">
        <v>853</v>
      </c>
      <c r="AD725" s="154" t="s">
        <v>854</v>
      </c>
      <c r="AE725" s="154" t="s">
        <v>855</v>
      </c>
      <c r="AF725" s="154" t="s">
        <v>856</v>
      </c>
      <c r="AG725" s="154" t="s">
        <v>857</v>
      </c>
      <c r="AH725" s="154" t="s">
        <v>858</v>
      </c>
      <c r="AI725" s="154" t="s">
        <v>859</v>
      </c>
      <c r="AJ725" s="154" t="s">
        <v>860</v>
      </c>
      <c r="AK725" s="154" t="s">
        <v>861</v>
      </c>
      <c r="AL725" s="154" t="s">
        <v>862</v>
      </c>
      <c r="AM725" s="154" t="s">
        <v>863</v>
      </c>
      <c r="AN725" s="154" t="s">
        <v>864</v>
      </c>
      <c r="AO725" s="154" t="s">
        <v>865</v>
      </c>
      <c r="AP725" s="154" t="s">
        <v>866</v>
      </c>
      <c r="AQ725" s="154" t="s">
        <v>867</v>
      </c>
      <c r="AR725" s="154" t="s">
        <v>868</v>
      </c>
      <c r="AS725" s="154" t="s">
        <v>869</v>
      </c>
      <c r="AT725" s="154" t="s">
        <v>870</v>
      </c>
      <c r="AU725" s="154" t="s">
        <v>871</v>
      </c>
      <c r="AV725" s="154" t="s">
        <v>872</v>
      </c>
      <c r="AW725" s="154" t="s">
        <v>873</v>
      </c>
      <c r="AX725" s="154" t="s">
        <v>874</v>
      </c>
      <c r="AY725" s="154" t="s">
        <v>875</v>
      </c>
      <c r="AZ725" s="154" t="s">
        <v>876</v>
      </c>
      <c r="BA725" s="154" t="s">
        <v>877</v>
      </c>
      <c r="BB725" s="154" t="s">
        <v>878</v>
      </c>
      <c r="BC725" s="154" t="s">
        <v>879</v>
      </c>
      <c r="BD725" s="154" t="s">
        <v>880</v>
      </c>
      <c r="BE725" s="154" t="s">
        <v>881</v>
      </c>
      <c r="BF725" s="154" t="s">
        <v>882</v>
      </c>
      <c r="BG725" s="154" t="s">
        <v>883</v>
      </c>
      <c r="BH725" s="154" t="s">
        <v>884</v>
      </c>
      <c r="BI725" s="154" t="s">
        <v>885</v>
      </c>
      <c r="BJ725" s="154" t="s">
        <v>886</v>
      </c>
      <c r="BK725" s="154" t="s">
        <v>887</v>
      </c>
      <c r="BL725" s="154" t="s">
        <v>888</v>
      </c>
      <c r="BM725" s="154" t="s">
        <v>889</v>
      </c>
      <c r="BN725" s="154" t="s">
        <v>890</v>
      </c>
      <c r="BO725" s="154" t="s">
        <v>891</v>
      </c>
      <c r="BP725" s="154" t="s">
        <v>892</v>
      </c>
      <c r="BQ725" s="154" t="s">
        <v>893</v>
      </c>
      <c r="BR725" s="154" t="s">
        <v>894</v>
      </c>
    </row>
    <row r="726" spans="1:84" s="152" customFormat="1" ht="12.65" customHeight="1" x14ac:dyDescent="0.3">
      <c r="A726" s="153" t="str">
        <f>RIGHT(C83,3)&amp;"*"&amp;RIGHT(C82,4)&amp;"*"&amp;"A"</f>
        <v>085*2021*A</v>
      </c>
      <c r="B726" s="214">
        <f>ROUND(C111,0)</f>
        <v>1261</v>
      </c>
      <c r="C726" s="214">
        <f>ROUND(C112,0)</f>
        <v>16</v>
      </c>
      <c r="D726" s="214">
        <f>ROUND(C113,0)</f>
        <v>0</v>
      </c>
      <c r="E726" s="214">
        <f>ROUND(C114,0)</f>
        <v>87</v>
      </c>
      <c r="F726" s="214">
        <f>ROUND(D111,0)</f>
        <v>3611</v>
      </c>
      <c r="G726" s="214">
        <f>ROUND(D112,0)</f>
        <v>127</v>
      </c>
      <c r="H726" s="214">
        <f>ROUND(D113,0)</f>
        <v>0</v>
      </c>
      <c r="I726" s="214">
        <f>ROUND(D114,0)</f>
        <v>162</v>
      </c>
      <c r="J726" s="214">
        <f>ROUND(C116,0)</f>
        <v>6</v>
      </c>
      <c r="K726" s="214">
        <f>ROUND(C117,0)</f>
        <v>0</v>
      </c>
      <c r="L726" s="214">
        <f>ROUND(C118,0)</f>
        <v>19</v>
      </c>
      <c r="M726" s="214">
        <f>ROUND(C119,0)</f>
        <v>0</v>
      </c>
      <c r="N726" s="214">
        <f>ROUND(C120,0)</f>
        <v>0</v>
      </c>
      <c r="O726" s="214">
        <f>ROUND(C121,0)</f>
        <v>0</v>
      </c>
      <c r="P726" s="214">
        <f>ROUND(C122,0)</f>
        <v>0</v>
      </c>
      <c r="Q726" s="214">
        <f>ROUND(C123,0)</f>
        <v>0</v>
      </c>
      <c r="R726" s="214">
        <f>ROUND(C124,0)</f>
        <v>0</v>
      </c>
      <c r="S726" s="214">
        <f>ROUND(C125,0)</f>
        <v>0</v>
      </c>
      <c r="T726" s="214"/>
      <c r="U726" s="214">
        <f>ROUND(C126,0)</f>
        <v>0</v>
      </c>
      <c r="V726" s="214">
        <f>ROUND(C128,0)</f>
        <v>0</v>
      </c>
      <c r="W726" s="214">
        <f>ROUND(C129,0)</f>
        <v>4</v>
      </c>
      <c r="X726" s="214">
        <f>ROUND(B138,0)</f>
        <v>723</v>
      </c>
      <c r="Y726" s="214">
        <f>ROUND(B139,0)</f>
        <v>2444</v>
      </c>
      <c r="Z726" s="214">
        <f>ROUND(B140,0)</f>
        <v>0</v>
      </c>
      <c r="AA726" s="214">
        <f>ROUND(B141,0)</f>
        <v>25351609</v>
      </c>
      <c r="AB726" s="214">
        <f>ROUND(B142,0)</f>
        <v>157489454</v>
      </c>
      <c r="AC726" s="214">
        <f>ROUND(C138,0)</f>
        <v>12</v>
      </c>
      <c r="AD726" s="214">
        <f>ROUND(C139,0)</f>
        <v>16</v>
      </c>
      <c r="AE726" s="214">
        <f>ROUND(C140,0)</f>
        <v>0</v>
      </c>
      <c r="AF726" s="214">
        <f>ROUND(C141,0)</f>
        <v>6367904</v>
      </c>
      <c r="AG726" s="214">
        <f>ROUND(C142,0)</f>
        <v>35081137</v>
      </c>
      <c r="AH726" s="214">
        <f>ROUND(D138,0)</f>
        <v>526</v>
      </c>
      <c r="AI726" s="214">
        <f>ROUND(D139,0)</f>
        <v>1151</v>
      </c>
      <c r="AJ726" s="214">
        <f>ROUND(D140,0)</f>
        <v>0</v>
      </c>
      <c r="AK726" s="214">
        <f>ROUND(D141,0)</f>
        <v>8078721</v>
      </c>
      <c r="AL726" s="214">
        <f>ROUND(D142,0)</f>
        <v>65626757</v>
      </c>
      <c r="AM726" s="214">
        <f>ROUND(B144,0)</f>
        <v>13</v>
      </c>
      <c r="AN726" s="214">
        <f>ROUND(B145,0)</f>
        <v>95</v>
      </c>
      <c r="AO726" s="214">
        <f>ROUND(B146,0)</f>
        <v>0</v>
      </c>
      <c r="AP726" s="214">
        <f>ROUND(B147,0)</f>
        <v>0</v>
      </c>
      <c r="AQ726" s="214">
        <f>ROUND(B148,0)</f>
        <v>0</v>
      </c>
      <c r="AR726" s="214">
        <f>ROUND(C144,0)</f>
        <v>2</v>
      </c>
      <c r="AS726" s="214">
        <f>ROUND(C145,0)</f>
        <v>19</v>
      </c>
      <c r="AT726" s="214">
        <f>ROUND(C146,0)</f>
        <v>0</v>
      </c>
      <c r="AU726" s="214">
        <f>ROUND(C147,0)</f>
        <v>0</v>
      </c>
      <c r="AV726" s="214">
        <f>ROUND(C148,0)</f>
        <v>0</v>
      </c>
      <c r="AW726" s="214">
        <f>ROUND(D144,0)</f>
        <v>1</v>
      </c>
      <c r="AX726" s="214">
        <f>ROUND(D145,0)</f>
        <v>13</v>
      </c>
      <c r="AY726" s="214">
        <f>ROUND(D146,0)</f>
        <v>0</v>
      </c>
      <c r="AZ726" s="214">
        <f>ROUND(D147,0)</f>
        <v>0</v>
      </c>
      <c r="BA726" s="214">
        <f>ROUND(D148,0)</f>
        <v>0</v>
      </c>
      <c r="BB726" s="214">
        <f>ROUND(B150,0)</f>
        <v>0</v>
      </c>
      <c r="BC726" s="214">
        <f>ROUND(B151,0)</f>
        <v>0</v>
      </c>
      <c r="BD726" s="214">
        <f>ROUND(B152,0)</f>
        <v>0</v>
      </c>
      <c r="BE726" s="214">
        <f>ROUND(B153,0)</f>
        <v>0</v>
      </c>
      <c r="BF726" s="214">
        <f>ROUND(B154,0)</f>
        <v>0</v>
      </c>
      <c r="BG726" s="214">
        <f>ROUND(C150,0)</f>
        <v>0</v>
      </c>
      <c r="BH726" s="214">
        <f>ROUND(C151,0)</f>
        <v>0</v>
      </c>
      <c r="BI726" s="214">
        <f>ROUND(C152,0)</f>
        <v>0</v>
      </c>
      <c r="BJ726" s="214">
        <f>ROUND(C153,0)</f>
        <v>0</v>
      </c>
      <c r="BK726" s="214">
        <f>ROUND(C154,0)</f>
        <v>0</v>
      </c>
      <c r="BL726" s="214">
        <f>ROUND(D150,0)</f>
        <v>0</v>
      </c>
      <c r="BM726" s="214">
        <f>ROUND(D151,0)</f>
        <v>0</v>
      </c>
      <c r="BN726" s="214">
        <f>ROUND(D152,0)</f>
        <v>0</v>
      </c>
      <c r="BO726" s="214">
        <f>ROUND(D153,0)</f>
        <v>0</v>
      </c>
      <c r="BP726" s="214">
        <f>ROUND(D154,0)</f>
        <v>0</v>
      </c>
      <c r="BQ726" s="214">
        <f>ROUND(B157,0)</f>
        <v>35918599</v>
      </c>
      <c r="BR726" s="214">
        <f>ROUND(C157,0)</f>
        <v>12993167</v>
      </c>
      <c r="BS726" s="214"/>
      <c r="BT726" s="214"/>
      <c r="BU726" s="214"/>
      <c r="BV726" s="214"/>
      <c r="BW726" s="214"/>
      <c r="BX726" s="214"/>
      <c r="BY726" s="214"/>
      <c r="BZ726" s="214"/>
      <c r="CA726" s="214"/>
      <c r="CB726" s="214"/>
      <c r="CC726" s="214"/>
      <c r="CD726" s="214"/>
      <c r="CE726" s="214"/>
    </row>
    <row r="727" spans="1:84" ht="12.65" customHeight="1" x14ac:dyDescent="0.3">
      <c r="B727" s="215"/>
      <c r="C727" s="215"/>
      <c r="D727" s="215"/>
      <c r="E727" s="215"/>
      <c r="F727" s="215"/>
      <c r="G727" s="215"/>
      <c r="H727" s="215"/>
      <c r="I727" s="215"/>
      <c r="J727" s="215"/>
      <c r="K727" s="215"/>
      <c r="L727" s="215"/>
      <c r="M727" s="215"/>
      <c r="N727" s="215"/>
      <c r="O727" s="215"/>
      <c r="P727" s="215"/>
      <c r="Q727" s="215"/>
      <c r="R727" s="215"/>
      <c r="S727" s="215"/>
      <c r="T727" s="215"/>
      <c r="U727" s="215"/>
      <c r="V727" s="215"/>
      <c r="W727" s="215"/>
      <c r="X727" s="215"/>
      <c r="Y727" s="215"/>
      <c r="Z727" s="215"/>
      <c r="AA727" s="215"/>
      <c r="AB727" s="215"/>
      <c r="AC727" s="215"/>
      <c r="AD727" s="215"/>
      <c r="AE727" s="215"/>
      <c r="AF727" s="215"/>
      <c r="AG727" s="215"/>
      <c r="AH727" s="215"/>
      <c r="AI727" s="215"/>
      <c r="AJ727" s="215"/>
      <c r="AK727" s="215"/>
      <c r="AL727" s="215"/>
      <c r="AM727" s="215"/>
      <c r="AN727" s="215"/>
      <c r="AO727" s="215"/>
      <c r="AP727" s="215"/>
      <c r="AQ727" s="215"/>
      <c r="AR727" s="215"/>
      <c r="AS727" s="215"/>
      <c r="AT727" s="215"/>
      <c r="AU727" s="215"/>
      <c r="AV727" s="215"/>
      <c r="AW727" s="215"/>
      <c r="AX727" s="215"/>
      <c r="AY727" s="215"/>
      <c r="AZ727" s="215"/>
      <c r="BA727" s="215"/>
      <c r="BB727" s="215"/>
      <c r="BC727" s="215"/>
      <c r="BD727" s="215"/>
      <c r="BE727" s="215"/>
      <c r="BF727" s="215"/>
      <c r="BG727" s="215"/>
      <c r="BH727" s="215"/>
      <c r="BI727" s="215"/>
      <c r="BJ727" s="215"/>
      <c r="BK727" s="215"/>
      <c r="BL727" s="215"/>
      <c r="BM727" s="215"/>
      <c r="BN727" s="215"/>
      <c r="BO727" s="215"/>
      <c r="BP727" s="215"/>
      <c r="BQ727" s="215"/>
      <c r="BR727" s="215"/>
      <c r="BS727" s="215"/>
      <c r="BT727" s="215"/>
      <c r="BU727" s="215"/>
      <c r="BV727" s="215"/>
      <c r="BW727" s="215"/>
      <c r="BX727" s="215"/>
      <c r="BY727" s="215"/>
      <c r="BZ727" s="215"/>
      <c r="CA727" s="215"/>
      <c r="CB727" s="215"/>
      <c r="CC727" s="215"/>
      <c r="CD727" s="215"/>
      <c r="CE727" s="215"/>
    </row>
    <row r="728" spans="1:84" s="152" customFormat="1" ht="12.65" customHeight="1" x14ac:dyDescent="0.3">
      <c r="A728" s="152" t="s">
        <v>895</v>
      </c>
      <c r="B728" s="214"/>
      <c r="C728" s="214"/>
      <c r="D728" s="214"/>
      <c r="E728" s="214"/>
      <c r="F728" s="214"/>
      <c r="G728" s="214"/>
      <c r="H728" s="214"/>
      <c r="I728" s="214"/>
      <c r="J728" s="214"/>
      <c r="K728" s="214"/>
      <c r="L728" s="214"/>
      <c r="M728" s="214"/>
      <c r="N728" s="214"/>
      <c r="O728" s="214"/>
      <c r="P728" s="214"/>
      <c r="Q728" s="214"/>
      <c r="R728" s="214"/>
      <c r="S728" s="214"/>
      <c r="T728" s="214"/>
      <c r="U728" s="214"/>
      <c r="V728" s="214"/>
      <c r="W728" s="214"/>
      <c r="X728" s="214"/>
      <c r="Y728" s="214"/>
      <c r="Z728" s="214"/>
      <c r="AA728" s="214"/>
      <c r="AB728" s="214"/>
      <c r="AC728" s="214"/>
      <c r="AD728" s="214"/>
      <c r="AE728" s="214"/>
      <c r="AF728" s="214"/>
      <c r="AG728" s="214"/>
      <c r="AH728" s="214"/>
      <c r="AI728" s="214"/>
      <c r="AJ728" s="214"/>
      <c r="AK728" s="214"/>
      <c r="AL728" s="214"/>
      <c r="AM728" s="214"/>
      <c r="AN728" s="214"/>
      <c r="AO728" s="214"/>
      <c r="AP728" s="214"/>
      <c r="AQ728" s="214"/>
      <c r="AR728" s="214"/>
      <c r="AS728" s="214"/>
      <c r="AT728" s="214"/>
      <c r="AU728" s="214"/>
      <c r="AV728" s="214"/>
      <c r="AW728" s="214"/>
      <c r="AX728" s="214"/>
      <c r="AY728" s="214"/>
      <c r="AZ728" s="214"/>
      <c r="BA728" s="214"/>
      <c r="BB728" s="214"/>
      <c r="BC728" s="214"/>
      <c r="BD728" s="214"/>
      <c r="BE728" s="214"/>
      <c r="BF728" s="214"/>
      <c r="BG728" s="214"/>
      <c r="BH728" s="214"/>
      <c r="BI728" s="214"/>
      <c r="BJ728" s="214"/>
      <c r="BK728" s="214"/>
      <c r="BL728" s="214"/>
      <c r="BM728" s="214"/>
      <c r="BN728" s="214"/>
      <c r="BO728" s="214"/>
      <c r="BP728" s="214"/>
      <c r="BQ728" s="214"/>
      <c r="BR728" s="214"/>
      <c r="BS728" s="214"/>
      <c r="BT728" s="214"/>
      <c r="BU728" s="214"/>
      <c r="BV728" s="214"/>
      <c r="BW728" s="214"/>
      <c r="BX728" s="214"/>
      <c r="BY728" s="214"/>
      <c r="BZ728" s="214"/>
      <c r="CA728" s="214"/>
      <c r="CB728" s="214"/>
      <c r="CC728" s="214"/>
      <c r="CD728" s="214"/>
      <c r="CE728" s="214"/>
    </row>
    <row r="729" spans="1:84" s="154" customFormat="1" ht="12.65" customHeight="1" x14ac:dyDescent="0.3">
      <c r="A729" s="154" t="s">
        <v>745</v>
      </c>
      <c r="B729" s="154" t="s">
        <v>896</v>
      </c>
      <c r="C729" s="154" t="s">
        <v>897</v>
      </c>
      <c r="D729" s="154" t="s">
        <v>898</v>
      </c>
      <c r="E729" s="154" t="s">
        <v>899</v>
      </c>
      <c r="F729" s="154" t="s">
        <v>900</v>
      </c>
      <c r="G729" s="154" t="s">
        <v>901</v>
      </c>
      <c r="H729" s="154" t="s">
        <v>902</v>
      </c>
      <c r="I729" s="154" t="s">
        <v>903</v>
      </c>
      <c r="J729" s="154" t="s">
        <v>904</v>
      </c>
      <c r="K729" s="154" t="s">
        <v>905</v>
      </c>
      <c r="L729" s="154" t="s">
        <v>906</v>
      </c>
      <c r="M729" s="154" t="s">
        <v>907</v>
      </c>
      <c r="N729" s="154" t="s">
        <v>908</v>
      </c>
      <c r="O729" s="154" t="s">
        <v>909</v>
      </c>
      <c r="P729" s="154" t="s">
        <v>910</v>
      </c>
      <c r="Q729" s="154" t="s">
        <v>911</v>
      </c>
      <c r="R729" s="154" t="s">
        <v>912</v>
      </c>
      <c r="S729" s="154" t="s">
        <v>913</v>
      </c>
      <c r="T729" s="154" t="s">
        <v>914</v>
      </c>
      <c r="U729" s="154" t="s">
        <v>915</v>
      </c>
      <c r="V729" s="154" t="s">
        <v>916</v>
      </c>
      <c r="W729" s="154" t="s">
        <v>917</v>
      </c>
      <c r="X729" s="154" t="s">
        <v>918</v>
      </c>
      <c r="Y729" s="154" t="s">
        <v>919</v>
      </c>
      <c r="Z729" s="154" t="s">
        <v>920</v>
      </c>
      <c r="AA729" s="154" t="s">
        <v>921</v>
      </c>
      <c r="AB729" s="154" t="s">
        <v>922</v>
      </c>
      <c r="AC729" s="154" t="s">
        <v>923</v>
      </c>
      <c r="AD729" s="154" t="s">
        <v>924</v>
      </c>
      <c r="AE729" s="154" t="s">
        <v>925</v>
      </c>
      <c r="AF729" s="154" t="s">
        <v>926</v>
      </c>
      <c r="AG729" s="154" t="s">
        <v>927</v>
      </c>
      <c r="AH729" s="154" t="s">
        <v>928</v>
      </c>
      <c r="AI729" s="154" t="s">
        <v>929</v>
      </c>
      <c r="AJ729" s="154" t="s">
        <v>930</v>
      </c>
      <c r="AK729" s="154" t="s">
        <v>931</v>
      </c>
      <c r="AL729" s="154" t="s">
        <v>932</v>
      </c>
      <c r="AM729" s="154" t="s">
        <v>933</v>
      </c>
      <c r="AN729" s="154" t="s">
        <v>934</v>
      </c>
      <c r="AO729" s="154" t="s">
        <v>935</v>
      </c>
      <c r="AP729" s="154" t="s">
        <v>936</v>
      </c>
      <c r="AQ729" s="154" t="s">
        <v>937</v>
      </c>
      <c r="AR729" s="154" t="s">
        <v>938</v>
      </c>
      <c r="AS729" s="154" t="s">
        <v>939</v>
      </c>
      <c r="AT729" s="154" t="s">
        <v>940</v>
      </c>
      <c r="AU729" s="154" t="s">
        <v>941</v>
      </c>
      <c r="AV729" s="154" t="s">
        <v>942</v>
      </c>
      <c r="AW729" s="154" t="s">
        <v>943</v>
      </c>
      <c r="AX729" s="154" t="s">
        <v>944</v>
      </c>
      <c r="AY729" s="154" t="s">
        <v>945</v>
      </c>
      <c r="AZ729" s="154" t="s">
        <v>946</v>
      </c>
      <c r="BA729" s="154" t="s">
        <v>947</v>
      </c>
      <c r="BB729" s="154" t="s">
        <v>948</v>
      </c>
      <c r="BC729" s="154" t="s">
        <v>949</v>
      </c>
      <c r="BD729" s="154" t="s">
        <v>950</v>
      </c>
      <c r="BE729" s="154" t="s">
        <v>951</v>
      </c>
      <c r="BF729" s="154" t="s">
        <v>952</v>
      </c>
      <c r="BG729" s="154" t="s">
        <v>953</v>
      </c>
      <c r="BH729" s="154" t="s">
        <v>954</v>
      </c>
      <c r="BI729" s="154" t="s">
        <v>955</v>
      </c>
      <c r="BJ729" s="154" t="s">
        <v>956</v>
      </c>
      <c r="BK729" s="154" t="s">
        <v>957</v>
      </c>
      <c r="BL729" s="154" t="s">
        <v>958</v>
      </c>
      <c r="BM729" s="154" t="s">
        <v>959</v>
      </c>
      <c r="BN729" s="154" t="s">
        <v>960</v>
      </c>
      <c r="BO729" s="154" t="s">
        <v>961</v>
      </c>
      <c r="BP729" s="154" t="s">
        <v>962</v>
      </c>
      <c r="BQ729" s="154" t="s">
        <v>963</v>
      </c>
      <c r="BR729" s="154" t="s">
        <v>964</v>
      </c>
      <c r="BS729" s="154" t="s">
        <v>965</v>
      </c>
      <c r="BT729" s="154" t="s">
        <v>966</v>
      </c>
      <c r="BU729" s="154" t="s">
        <v>967</v>
      </c>
      <c r="BV729" s="154" t="s">
        <v>968</v>
      </c>
      <c r="BW729" s="154" t="s">
        <v>969</v>
      </c>
      <c r="BX729" s="154" t="s">
        <v>970</v>
      </c>
      <c r="BY729" s="154" t="s">
        <v>971</v>
      </c>
      <c r="BZ729" s="154" t="s">
        <v>972</v>
      </c>
      <c r="CA729" s="154" t="s">
        <v>973</v>
      </c>
      <c r="CB729" s="154" t="s">
        <v>974</v>
      </c>
      <c r="CC729" s="154" t="s">
        <v>975</v>
      </c>
      <c r="CD729" s="154" t="s">
        <v>976</v>
      </c>
      <c r="CE729" s="154" t="s">
        <v>977</v>
      </c>
      <c r="CF729" s="154" t="s">
        <v>978</v>
      </c>
    </row>
    <row r="730" spans="1:84" s="152" customFormat="1" ht="12.65" customHeight="1" x14ac:dyDescent="0.3">
      <c r="A730" s="153" t="str">
        <f>RIGHT(C83,3)&amp;"*"&amp;RIGHT(C82,4)&amp;"*"&amp;"A"</f>
        <v>085*2021*A</v>
      </c>
      <c r="B730" s="214">
        <f>ROUND(C250,0)</f>
        <v>64455434</v>
      </c>
      <c r="C730" s="214">
        <f>ROUND(C251,0)</f>
        <v>0</v>
      </c>
      <c r="D730" s="214">
        <f>ROUND(C252,0)</f>
        <v>36791422</v>
      </c>
      <c r="E730" s="214">
        <f>ROUND(C253,0)</f>
        <v>19844000</v>
      </c>
      <c r="F730" s="214">
        <f>ROUND(C254,0)</f>
        <v>0</v>
      </c>
      <c r="G730" s="214">
        <f>ROUND(C255,0)</f>
        <v>1988668</v>
      </c>
      <c r="H730" s="214">
        <f>ROUND(C256,0)</f>
        <v>0</v>
      </c>
      <c r="I730" s="214">
        <f>ROUND(C257,0)</f>
        <v>5195882</v>
      </c>
      <c r="J730" s="214">
        <f>ROUND(C258,0)</f>
        <v>1513047</v>
      </c>
      <c r="K730" s="214">
        <f>ROUND(C259,0)</f>
        <v>0</v>
      </c>
      <c r="L730" s="214">
        <f>ROUND(C262,0)</f>
        <v>0</v>
      </c>
      <c r="M730" s="214">
        <f>ROUND(C263,0)</f>
        <v>0</v>
      </c>
      <c r="N730" s="214">
        <f>ROUND(C264,0)</f>
        <v>0</v>
      </c>
      <c r="O730" s="214">
        <f>ROUND(C267,0)</f>
        <v>1722171</v>
      </c>
      <c r="P730" s="214">
        <f>ROUND(C268,0)</f>
        <v>4028158</v>
      </c>
      <c r="Q730" s="214">
        <f>ROUND(C269,0)</f>
        <v>49251245</v>
      </c>
      <c r="R730" s="214">
        <f>ROUND(C270,0)</f>
        <v>0</v>
      </c>
      <c r="S730" s="214">
        <f>ROUND(C271,0)</f>
        <v>22413231</v>
      </c>
      <c r="T730" s="214">
        <f>ROUND(C272,0)</f>
        <v>10736103</v>
      </c>
      <c r="U730" s="214">
        <f>ROUND(C273,0)</f>
        <v>1361180</v>
      </c>
      <c r="V730" s="214">
        <f>ROUND(C274,0)</f>
        <v>1394976</v>
      </c>
      <c r="W730" s="214">
        <f>ROUND(C275,0)</f>
        <v>0</v>
      </c>
      <c r="X730" s="214">
        <f>ROUND(C276,0)</f>
        <v>54165598</v>
      </c>
      <c r="Y730" s="214">
        <f>ROUND(C279,0)</f>
        <v>0</v>
      </c>
      <c r="Z730" s="214">
        <f>ROUND(C280,0)</f>
        <v>0</v>
      </c>
      <c r="AA730" s="214">
        <f>ROUND(C281,0)</f>
        <v>0</v>
      </c>
      <c r="AB730" s="214">
        <f>ROUND(C282,0)</f>
        <v>0</v>
      </c>
      <c r="AC730" s="214">
        <f>ROUND(C286,0)</f>
        <v>0</v>
      </c>
      <c r="AD730" s="214">
        <f>ROUND(C287,0)</f>
        <v>0</v>
      </c>
      <c r="AE730" s="214">
        <f>ROUND(C288,0)</f>
        <v>0</v>
      </c>
      <c r="AF730" s="214">
        <f>ROUND(C289,0)</f>
        <v>0</v>
      </c>
      <c r="AG730" s="214">
        <f>ROUND(C304,0)</f>
        <v>0</v>
      </c>
      <c r="AH730" s="214">
        <f>ROUND(C305,0)</f>
        <v>3264310</v>
      </c>
      <c r="AI730" s="214">
        <f>ROUND(C306,0)</f>
        <v>9522030</v>
      </c>
      <c r="AJ730" s="214">
        <f>ROUND(C307,0)</f>
        <v>276085</v>
      </c>
      <c r="AK730" s="214">
        <f>ROUND(C308,0)</f>
        <v>4600412</v>
      </c>
      <c r="AL730" s="214">
        <f>ROUND(C309,0)</f>
        <v>0</v>
      </c>
      <c r="AM730" s="214">
        <f>ROUND(C310,0)</f>
        <v>0</v>
      </c>
      <c r="AN730" s="214">
        <f>ROUND(C311,0)</f>
        <v>0</v>
      </c>
      <c r="AO730" s="214">
        <f>ROUND(C312,0)</f>
        <v>8966970</v>
      </c>
      <c r="AP730" s="214">
        <f>ROUND(C313,0)</f>
        <v>1540013</v>
      </c>
      <c r="AQ730" s="214">
        <f>ROUND(C316,0)</f>
        <v>0</v>
      </c>
      <c r="AR730" s="214">
        <f>ROUND(C317,0)</f>
        <v>2645331</v>
      </c>
      <c r="AS730" s="214">
        <f>ROUND(C318,0)</f>
        <v>0</v>
      </c>
      <c r="AT730" s="214">
        <f>ROUND(C321,0)</f>
        <v>0</v>
      </c>
      <c r="AU730" s="214">
        <f>ROUND(C322,0)</f>
        <v>0</v>
      </c>
      <c r="AV730" s="214">
        <f>ROUND(C323,0)</f>
        <v>0</v>
      </c>
      <c r="AW730" s="214">
        <f>ROUND(C324,0)</f>
        <v>185580</v>
      </c>
      <c r="AX730" s="214">
        <f>ROUND(C325,0)</f>
        <v>26616677</v>
      </c>
      <c r="AY730" s="214">
        <f>ROUND(C326,0)</f>
        <v>0</v>
      </c>
      <c r="AZ730" s="214">
        <f>ROUND(C327,0)</f>
        <v>0</v>
      </c>
      <c r="BA730" s="214">
        <f>ROUND(C328,0)</f>
        <v>0</v>
      </c>
      <c r="BB730" s="214">
        <f>ROUND(C332,0)</f>
        <v>70764524</v>
      </c>
      <c r="BC730" s="214"/>
      <c r="BD730" s="214"/>
      <c r="BE730" s="214">
        <f>ROUND(C337,0)</f>
        <v>0</v>
      </c>
      <c r="BF730" s="214">
        <f>ROUND(C336,0)</f>
        <v>0</v>
      </c>
      <c r="BG730" s="214"/>
      <c r="BH730" s="214"/>
      <c r="BI730" s="214">
        <f>ROUND(CE60,2)</f>
        <v>652.29</v>
      </c>
      <c r="BJ730" s="214">
        <f>ROUND(C359,0)</f>
        <v>39798234</v>
      </c>
      <c r="BK730" s="214">
        <f>ROUND(C360,0)</f>
        <v>258197348</v>
      </c>
      <c r="BL730" s="214">
        <f>ROUND(C364,0)</f>
        <v>151436552</v>
      </c>
      <c r="BM730" s="214">
        <f>ROUND(C365,0)</f>
        <v>3872263</v>
      </c>
      <c r="BN730" s="214">
        <f>ROUND(C366,0)</f>
        <v>0</v>
      </c>
      <c r="BO730" s="214">
        <f>ROUND(C370,0)</f>
        <v>9226620</v>
      </c>
      <c r="BP730" s="214">
        <f>ROUND(C371,0)</f>
        <v>503708</v>
      </c>
      <c r="BQ730" s="214">
        <f>ROUND(C378,0)</f>
        <v>70571034</v>
      </c>
      <c r="BR730" s="214">
        <f>ROUND(C379,0)</f>
        <v>15917306</v>
      </c>
      <c r="BS730" s="214">
        <f>ROUND(C380,0)</f>
        <v>3069586</v>
      </c>
      <c r="BT730" s="214">
        <f>ROUND(C381,0)</f>
        <v>28439638</v>
      </c>
      <c r="BU730" s="214">
        <f>ROUND(C382,0)</f>
        <v>1192355</v>
      </c>
      <c r="BV730" s="214">
        <f>ROUND(C383,0)</f>
        <v>8621439</v>
      </c>
      <c r="BW730" s="214">
        <f>ROUND(C384,0)</f>
        <v>4376458</v>
      </c>
      <c r="BX730" s="214">
        <f>ROUND(C385,0)</f>
        <v>1681492</v>
      </c>
      <c r="BY730" s="214">
        <f>ROUND(C386,0)</f>
        <v>1154749</v>
      </c>
      <c r="BZ730" s="214">
        <f>ROUND(C387,0)</f>
        <v>923436</v>
      </c>
      <c r="CA730" s="214">
        <f>ROUND(C388,0)</f>
        <v>970362</v>
      </c>
      <c r="CB730" s="214">
        <f>C363</f>
        <v>5525532</v>
      </c>
      <c r="CC730" s="214">
        <f>ROUND(C389,0)</f>
        <v>2369520</v>
      </c>
      <c r="CD730" s="214">
        <f>ROUND(C392,0)</f>
        <v>0</v>
      </c>
      <c r="CE730" s="214">
        <f>ROUND(C394,0)</f>
        <v>0</v>
      </c>
      <c r="CF730" s="152">
        <f>ROUND(C395,0)</f>
        <v>0</v>
      </c>
    </row>
    <row r="731" spans="1:84" ht="12.65" customHeight="1" x14ac:dyDescent="0.3">
      <c r="B731" s="215"/>
      <c r="C731" s="215"/>
      <c r="D731" s="215"/>
      <c r="E731" s="215"/>
      <c r="F731" s="215"/>
      <c r="G731" s="215"/>
      <c r="H731" s="215"/>
      <c r="I731" s="215"/>
      <c r="J731" s="215"/>
      <c r="K731" s="215"/>
      <c r="L731" s="215"/>
      <c r="M731" s="215"/>
      <c r="N731" s="215"/>
      <c r="O731" s="215"/>
      <c r="P731" s="215"/>
      <c r="Q731" s="215"/>
      <c r="R731" s="215"/>
      <c r="S731" s="215"/>
      <c r="T731" s="215"/>
      <c r="U731" s="215"/>
      <c r="V731" s="215"/>
      <c r="W731" s="215"/>
      <c r="X731" s="215"/>
      <c r="Y731" s="215"/>
      <c r="Z731" s="215"/>
      <c r="AA731" s="215"/>
      <c r="AB731" s="215"/>
      <c r="AC731" s="215"/>
      <c r="AD731" s="215"/>
      <c r="AE731" s="215"/>
      <c r="AF731" s="215"/>
      <c r="AG731" s="215"/>
      <c r="AH731" s="215"/>
      <c r="AI731" s="215"/>
      <c r="AJ731" s="215"/>
      <c r="AK731" s="215"/>
      <c r="AL731" s="215"/>
      <c r="AM731" s="215"/>
      <c r="AN731" s="215"/>
      <c r="AO731" s="215"/>
      <c r="AP731" s="215"/>
      <c r="AQ731" s="215"/>
      <c r="AR731" s="215"/>
      <c r="AS731" s="215"/>
      <c r="AT731" s="215"/>
      <c r="AU731" s="215"/>
      <c r="AV731" s="215"/>
      <c r="AW731" s="215"/>
      <c r="AX731" s="215"/>
      <c r="AY731" s="215"/>
      <c r="AZ731" s="215"/>
      <c r="BA731" s="215"/>
      <c r="BB731" s="215"/>
      <c r="BC731" s="215"/>
      <c r="BD731" s="215"/>
      <c r="BE731" s="215"/>
      <c r="BF731" s="215"/>
      <c r="BG731" s="215"/>
      <c r="BH731" s="215"/>
      <c r="BI731" s="215"/>
      <c r="BJ731" s="215"/>
      <c r="BK731" s="215"/>
      <c r="BL731" s="215"/>
      <c r="BM731" s="215"/>
      <c r="BN731" s="215"/>
      <c r="BO731" s="215"/>
      <c r="BP731" s="215"/>
      <c r="BQ731" s="215"/>
      <c r="BR731" s="215"/>
      <c r="BS731" s="215"/>
      <c r="BT731" s="215"/>
      <c r="BU731" s="215"/>
      <c r="BV731" s="215"/>
      <c r="BW731" s="215"/>
      <c r="BX731" s="215"/>
      <c r="BY731" s="215"/>
      <c r="BZ731" s="215"/>
      <c r="CA731" s="215"/>
      <c r="CB731" s="215"/>
      <c r="CC731" s="215"/>
      <c r="CD731" s="215"/>
      <c r="CE731" s="215"/>
    </row>
    <row r="732" spans="1:84" s="152" customFormat="1" ht="12.65" customHeight="1" x14ac:dyDescent="0.3">
      <c r="A732" s="152" t="s">
        <v>979</v>
      </c>
      <c r="B732" s="214"/>
      <c r="C732" s="214"/>
      <c r="D732" s="214"/>
      <c r="E732" s="214"/>
      <c r="F732" s="214"/>
      <c r="G732" s="214"/>
      <c r="H732" s="214"/>
      <c r="I732" s="214"/>
      <c r="J732" s="214"/>
      <c r="K732" s="214"/>
      <c r="L732" s="214"/>
      <c r="M732" s="214"/>
      <c r="N732" s="214"/>
      <c r="O732" s="214"/>
      <c r="P732" s="214"/>
      <c r="Q732" s="214"/>
      <c r="R732" s="214"/>
      <c r="S732" s="214"/>
      <c r="T732" s="214"/>
      <c r="U732" s="214"/>
      <c r="V732" s="214"/>
      <c r="W732" s="214"/>
      <c r="X732" s="214"/>
      <c r="Y732" s="214"/>
      <c r="Z732" s="214"/>
      <c r="AA732" s="214"/>
      <c r="AB732" s="214"/>
      <c r="AC732" s="214"/>
      <c r="AD732" s="214"/>
      <c r="AE732" s="214"/>
      <c r="AF732" s="214"/>
      <c r="AG732" s="214"/>
      <c r="AH732" s="214"/>
      <c r="AI732" s="214"/>
      <c r="AJ732" s="214"/>
      <c r="AK732" s="214"/>
      <c r="AL732" s="214"/>
      <c r="AM732" s="214"/>
      <c r="AN732" s="214"/>
      <c r="AO732" s="214"/>
      <c r="AP732" s="214"/>
      <c r="AQ732" s="214"/>
      <c r="AR732" s="214"/>
      <c r="AS732" s="214"/>
      <c r="AT732" s="214"/>
      <c r="AU732" s="214"/>
      <c r="AV732" s="214"/>
      <c r="AW732" s="214"/>
      <c r="AX732" s="214"/>
      <c r="AY732" s="214"/>
      <c r="AZ732" s="214"/>
      <c r="BA732" s="214"/>
      <c r="BB732" s="214"/>
      <c r="BC732" s="214"/>
      <c r="BD732" s="214"/>
      <c r="BE732" s="214"/>
      <c r="BF732" s="214"/>
      <c r="BG732" s="214"/>
      <c r="BH732" s="214"/>
      <c r="BI732" s="214"/>
      <c r="BJ732" s="214"/>
      <c r="BK732" s="214"/>
      <c r="BL732" s="214"/>
      <c r="BM732" s="214"/>
      <c r="BN732" s="214"/>
      <c r="BO732" s="214"/>
      <c r="BP732" s="214"/>
      <c r="BQ732" s="214"/>
      <c r="BR732" s="214"/>
      <c r="BS732" s="214"/>
      <c r="BT732" s="214"/>
      <c r="BU732" s="214"/>
      <c r="BV732" s="214"/>
      <c r="BW732" s="214"/>
      <c r="BX732" s="214"/>
      <c r="BY732" s="214"/>
      <c r="BZ732" s="214"/>
      <c r="CA732" s="214"/>
      <c r="CB732" s="214"/>
      <c r="CC732" s="214"/>
      <c r="CD732" s="214"/>
      <c r="CE732" s="214"/>
    </row>
    <row r="733" spans="1:84" s="154" customFormat="1" ht="12.65" customHeight="1" x14ac:dyDescent="0.3">
      <c r="A733" s="154" t="s">
        <v>745</v>
      </c>
      <c r="B733" s="154" t="s">
        <v>980</v>
      </c>
      <c r="C733" s="154" t="s">
        <v>981</v>
      </c>
      <c r="D733" s="154" t="s">
        <v>982</v>
      </c>
      <c r="E733" s="154" t="s">
        <v>983</v>
      </c>
      <c r="F733" s="154" t="s">
        <v>984</v>
      </c>
      <c r="G733" s="154" t="s">
        <v>985</v>
      </c>
      <c r="H733" s="154" t="s">
        <v>986</v>
      </c>
      <c r="I733" s="154" t="s">
        <v>987</v>
      </c>
      <c r="J733" s="154" t="s">
        <v>988</v>
      </c>
      <c r="K733" s="154" t="s">
        <v>989</v>
      </c>
      <c r="L733" s="154" t="s">
        <v>990</v>
      </c>
      <c r="M733" s="154" t="s">
        <v>991</v>
      </c>
      <c r="N733" s="154" t="s">
        <v>992</v>
      </c>
      <c r="O733" s="154" t="s">
        <v>993</v>
      </c>
      <c r="P733" s="154" t="s">
        <v>994</v>
      </c>
      <c r="Q733" s="154" t="s">
        <v>995</v>
      </c>
      <c r="R733" s="154" t="s">
        <v>996</v>
      </c>
      <c r="S733" s="154" t="s">
        <v>997</v>
      </c>
      <c r="T733" s="154" t="s">
        <v>998</v>
      </c>
      <c r="U733" s="154" t="s">
        <v>999</v>
      </c>
      <c r="V733" s="154" t="s">
        <v>1000</v>
      </c>
      <c r="W733" s="154" t="s">
        <v>1001</v>
      </c>
      <c r="X733" s="154" t="s">
        <v>1002</v>
      </c>
      <c r="Y733" s="154" t="s">
        <v>1003</v>
      </c>
    </row>
    <row r="734" spans="1:84" s="152" customFormat="1" ht="12.65" customHeight="1" x14ac:dyDescent="0.3">
      <c r="A734" s="153" t="str">
        <f>RIGHT($C$83,3)&amp;"*"&amp;RIGHT($C$82,4)&amp;"*"&amp;C$55&amp;"*"&amp;"A"</f>
        <v>085*2021*6010*A</v>
      </c>
      <c r="B734" s="214">
        <f>ROUND(C59,0)</f>
        <v>320</v>
      </c>
      <c r="C734" s="214">
        <f>ROUND(C60,2)</f>
        <v>8.7799999999999994</v>
      </c>
      <c r="D734" s="214">
        <f>ROUND(C61,0)</f>
        <v>1000475</v>
      </c>
      <c r="E734" s="214">
        <f>ROUND(C62,0)</f>
        <v>225657</v>
      </c>
      <c r="F734" s="214">
        <f>ROUND(C63,0)</f>
        <v>51431</v>
      </c>
      <c r="G734" s="214">
        <f>ROUND(C64,0)</f>
        <v>82884</v>
      </c>
      <c r="H734" s="214">
        <f>ROUND(C65,0)</f>
        <v>0</v>
      </c>
      <c r="I734" s="214">
        <f>ROUND(C66,0)</f>
        <v>0</v>
      </c>
      <c r="J734" s="214">
        <f>ROUND(C67,0)</f>
        <v>81240</v>
      </c>
      <c r="K734" s="214">
        <f>ROUND(C68,0)</f>
        <v>0</v>
      </c>
      <c r="L734" s="214">
        <f>ROUND(C69,0)</f>
        <v>3529</v>
      </c>
      <c r="M734" s="214">
        <f>ROUND(C70,0)</f>
        <v>0</v>
      </c>
      <c r="N734" s="214">
        <f>ROUND(C75,0)</f>
        <v>3410685</v>
      </c>
      <c r="O734" s="214">
        <f>ROUND(C73,0)</f>
        <v>3388000</v>
      </c>
      <c r="P734" s="214">
        <f>IF(C76&gt;0,ROUND(C76,0),0)</f>
        <v>2605</v>
      </c>
      <c r="Q734" s="214">
        <f>IF(C77&gt;0,ROUND(C77,0),0)</f>
        <v>1200</v>
      </c>
      <c r="R734" s="214">
        <f>IF(C78&gt;0,ROUND(C78,0),0)</f>
        <v>880</v>
      </c>
      <c r="S734" s="214">
        <f>IF(C79&gt;0,ROUND(C79,0),0)</f>
        <v>10328</v>
      </c>
      <c r="T734" s="214">
        <f>IF(C80&gt;0,ROUND(C80,2),0)</f>
        <v>8.7799999999999994</v>
      </c>
      <c r="U734" s="214"/>
      <c r="V734" s="214"/>
      <c r="W734" s="214"/>
      <c r="X734" s="214"/>
      <c r="Y734" s="214">
        <f>IF(M668&lt;&gt;0,ROUND(M668,0),0)</f>
        <v>517420</v>
      </c>
      <c r="Z734" s="214"/>
      <c r="AA734" s="214"/>
      <c r="AB734" s="214"/>
      <c r="AC734" s="214"/>
      <c r="AD734" s="214"/>
      <c r="AE734" s="214"/>
      <c r="AF734" s="214"/>
      <c r="AG734" s="214"/>
      <c r="AH734" s="214"/>
      <c r="AI734" s="214"/>
      <c r="AJ734" s="214"/>
      <c r="AK734" s="214"/>
      <c r="AL734" s="214"/>
      <c r="AM734" s="214"/>
      <c r="AN734" s="214"/>
      <c r="AO734" s="214"/>
      <c r="AP734" s="214"/>
      <c r="AQ734" s="214"/>
      <c r="AR734" s="214"/>
      <c r="AS734" s="214"/>
      <c r="AT734" s="214"/>
      <c r="AU734" s="214"/>
      <c r="AV734" s="214"/>
      <c r="AW734" s="214"/>
      <c r="AX734" s="214"/>
      <c r="AY734" s="214"/>
      <c r="AZ734" s="214"/>
      <c r="BA734" s="214"/>
      <c r="BB734" s="214"/>
      <c r="BC734" s="214"/>
      <c r="BD734" s="214"/>
      <c r="BE734" s="214"/>
      <c r="BF734" s="214"/>
      <c r="BG734" s="214"/>
      <c r="BH734" s="214"/>
      <c r="BI734" s="214"/>
      <c r="BJ734" s="214"/>
      <c r="BK734" s="214"/>
      <c r="BL734" s="214"/>
      <c r="BM734" s="214"/>
      <c r="BN734" s="214"/>
      <c r="BO734" s="214"/>
      <c r="BP734" s="214"/>
      <c r="BQ734" s="214"/>
      <c r="BR734" s="214"/>
      <c r="BS734" s="214"/>
      <c r="BT734" s="214"/>
      <c r="BU734" s="214"/>
      <c r="BV734" s="214"/>
      <c r="BW734" s="214"/>
      <c r="BX734" s="214"/>
      <c r="BY734" s="214"/>
      <c r="BZ734" s="214"/>
      <c r="CA734" s="214"/>
      <c r="CB734" s="214"/>
      <c r="CC734" s="214"/>
      <c r="CD734" s="214"/>
      <c r="CE734" s="214"/>
    </row>
    <row r="735" spans="1:84" ht="12.65" customHeight="1" x14ac:dyDescent="0.3">
      <c r="A735" s="160" t="str">
        <f>RIGHT($C$83,3)&amp;"*"&amp;RIGHT($C$82,4)&amp;"*"&amp;D$55&amp;"*"&amp;"A"</f>
        <v>085*2021*6030*A</v>
      </c>
      <c r="B735" s="214">
        <f>ROUND(D59,0)</f>
        <v>0</v>
      </c>
      <c r="C735" s="216">
        <f>ROUND(D60,2)</f>
        <v>0</v>
      </c>
      <c r="D735" s="214">
        <f>ROUND(D61,0)</f>
        <v>0</v>
      </c>
      <c r="E735" s="214">
        <f>ROUND(D62,0)</f>
        <v>0</v>
      </c>
      <c r="F735" s="214">
        <f>ROUND(D63,0)</f>
        <v>0</v>
      </c>
      <c r="G735" s="214">
        <f>ROUND(D64,0)</f>
        <v>0</v>
      </c>
      <c r="H735" s="214">
        <f>ROUND(D65,0)</f>
        <v>0</v>
      </c>
      <c r="I735" s="214">
        <f>ROUND(D66,0)</f>
        <v>0</v>
      </c>
      <c r="J735" s="214">
        <f>ROUND(D67,0)</f>
        <v>0</v>
      </c>
      <c r="K735" s="214">
        <f>ROUND(D68,0)</f>
        <v>0</v>
      </c>
      <c r="L735" s="214">
        <f>ROUND(D69,0)</f>
        <v>0</v>
      </c>
      <c r="M735" s="214">
        <f>ROUND(D70,0)</f>
        <v>0</v>
      </c>
      <c r="N735" s="214">
        <f>ROUND(D75,0)</f>
        <v>0</v>
      </c>
      <c r="O735" s="214">
        <f>ROUND(D73,0)</f>
        <v>0</v>
      </c>
      <c r="P735" s="214">
        <f>IF(D76&gt;0,ROUND(D76,0),0)</f>
        <v>0</v>
      </c>
      <c r="Q735" s="214">
        <f>IF(D77&gt;0,ROUND(D77,0),0)</f>
        <v>0</v>
      </c>
      <c r="R735" s="214">
        <f>IF(D78&gt;0,ROUND(D78,0),0)</f>
        <v>0</v>
      </c>
      <c r="S735" s="214">
        <f>IF(D79&gt;0,ROUND(D79,0),0)</f>
        <v>0</v>
      </c>
      <c r="T735" s="216">
        <f>IF(D80&gt;0,ROUND(D80,2),0)</f>
        <v>0</v>
      </c>
      <c r="U735" s="214"/>
      <c r="V735" s="215"/>
      <c r="W735" s="214"/>
      <c r="X735" s="214"/>
      <c r="Y735" s="214">
        <f t="shared" ref="Y735:Y779" si="22">IF(M669&lt;&gt;0,ROUND(M669,0),0)</f>
        <v>0</v>
      </c>
      <c r="Z735" s="215"/>
      <c r="AA735" s="215"/>
      <c r="AB735" s="215"/>
      <c r="AC735" s="215"/>
      <c r="AD735" s="215"/>
      <c r="AE735" s="215"/>
      <c r="AF735" s="215"/>
      <c r="AG735" s="215"/>
      <c r="AH735" s="215"/>
      <c r="AI735" s="215"/>
      <c r="AJ735" s="215"/>
      <c r="AK735" s="215"/>
      <c r="AL735" s="215"/>
      <c r="AM735" s="215"/>
      <c r="AN735" s="215"/>
      <c r="AO735" s="215"/>
      <c r="AP735" s="215"/>
      <c r="AQ735" s="215"/>
      <c r="AR735" s="215"/>
      <c r="AS735" s="215"/>
      <c r="AT735" s="215"/>
      <c r="AU735" s="215"/>
      <c r="AV735" s="215"/>
      <c r="AW735" s="215"/>
      <c r="AX735" s="215"/>
      <c r="AY735" s="215"/>
      <c r="AZ735" s="215"/>
      <c r="BA735" s="215"/>
      <c r="BB735" s="215"/>
      <c r="BC735" s="215"/>
      <c r="BD735" s="215"/>
      <c r="BE735" s="215"/>
      <c r="BF735" s="215"/>
      <c r="BG735" s="215"/>
      <c r="BH735" s="215"/>
      <c r="BI735" s="215"/>
      <c r="BJ735" s="215"/>
      <c r="BK735" s="215"/>
      <c r="BL735" s="215"/>
      <c r="BM735" s="215"/>
      <c r="BN735" s="215"/>
      <c r="BO735" s="215"/>
      <c r="BP735" s="215"/>
      <c r="BQ735" s="215"/>
      <c r="BR735" s="215"/>
      <c r="BS735" s="215"/>
      <c r="BT735" s="215"/>
      <c r="BU735" s="215"/>
      <c r="BV735" s="215"/>
      <c r="BW735" s="215"/>
      <c r="BX735" s="215"/>
      <c r="BY735" s="215"/>
      <c r="BZ735" s="215"/>
      <c r="CA735" s="215"/>
      <c r="CB735" s="215"/>
      <c r="CC735" s="215"/>
      <c r="CD735" s="215"/>
      <c r="CE735" s="215"/>
    </row>
    <row r="736" spans="1:84" ht="12.65" customHeight="1" x14ac:dyDescent="0.3">
      <c r="A736" s="160" t="str">
        <f>RIGHT($C$83,3)&amp;"*"&amp;RIGHT($C$82,4)&amp;"*"&amp;E$55&amp;"*"&amp;"A"</f>
        <v>085*2021*6070*A</v>
      </c>
      <c r="B736" s="214">
        <f>ROUND(E59,0)</f>
        <v>3611</v>
      </c>
      <c r="C736" s="216">
        <f>ROUND(E60,2)</f>
        <v>41.38</v>
      </c>
      <c r="D736" s="214">
        <f>ROUND(E61,0)</f>
        <v>5717146</v>
      </c>
      <c r="E736" s="214">
        <f>ROUND(E62,0)</f>
        <v>1289503</v>
      </c>
      <c r="F736" s="214">
        <f>ROUND(E63,0)</f>
        <v>6259</v>
      </c>
      <c r="G736" s="214">
        <f>ROUND(E64,0)</f>
        <v>339387</v>
      </c>
      <c r="H736" s="214">
        <f>ROUND(E65,0)</f>
        <v>0</v>
      </c>
      <c r="I736" s="214">
        <f>ROUND(E66,0)</f>
        <v>8629</v>
      </c>
      <c r="J736" s="214">
        <f>ROUND(E67,0)</f>
        <v>293244</v>
      </c>
      <c r="K736" s="214">
        <f>ROUND(E68,0)</f>
        <v>0</v>
      </c>
      <c r="L736" s="214">
        <f>ROUND(E69,0)</f>
        <v>36794</v>
      </c>
      <c r="M736" s="214">
        <f>ROUND(E70,0)</f>
        <v>0</v>
      </c>
      <c r="N736" s="214">
        <f>ROUND(E75,0)</f>
        <v>11298511</v>
      </c>
      <c r="O736" s="214">
        <f>ROUND(E73,0)</f>
        <v>9327211</v>
      </c>
      <c r="P736" s="214">
        <f>IF(E76&gt;0,ROUND(E76,0),0)</f>
        <v>9403</v>
      </c>
      <c r="Q736" s="214">
        <f>IF(E77&gt;0,ROUND(E77,0),0)</f>
        <v>13544</v>
      </c>
      <c r="R736" s="214">
        <f>IF(E78&gt;0,ROUND(E78,0),0)</f>
        <v>3175</v>
      </c>
      <c r="S736" s="214">
        <f>IF(E79&gt;0,ROUND(E79,0),0)</f>
        <v>44607</v>
      </c>
      <c r="T736" s="216">
        <f>IF(E80&gt;0,ROUND(E80,2),0)</f>
        <v>41.38</v>
      </c>
      <c r="U736" s="214"/>
      <c r="V736" s="215"/>
      <c r="W736" s="214"/>
      <c r="X736" s="214"/>
      <c r="Y736" s="214">
        <f t="shared" si="22"/>
        <v>3182484</v>
      </c>
      <c r="Z736" s="215"/>
      <c r="AA736" s="215"/>
      <c r="AB736" s="215"/>
      <c r="AC736" s="215"/>
      <c r="AD736" s="215"/>
      <c r="AE736" s="215"/>
      <c r="AF736" s="215"/>
      <c r="AG736" s="215"/>
      <c r="AH736" s="215"/>
      <c r="AI736" s="215"/>
      <c r="AJ736" s="215"/>
      <c r="AK736" s="215"/>
      <c r="AL736" s="215"/>
      <c r="AM736" s="215"/>
      <c r="AN736" s="215"/>
      <c r="AO736" s="215"/>
      <c r="AP736" s="215"/>
      <c r="AQ736" s="215"/>
      <c r="AR736" s="215"/>
      <c r="AS736" s="215"/>
      <c r="AT736" s="215"/>
      <c r="AU736" s="215"/>
      <c r="AV736" s="215"/>
      <c r="AW736" s="215"/>
      <c r="AX736" s="215"/>
      <c r="AY736" s="215"/>
      <c r="AZ736" s="215"/>
      <c r="BA736" s="215"/>
      <c r="BB736" s="215"/>
      <c r="BC736" s="215"/>
      <c r="BD736" s="215"/>
      <c r="BE736" s="215"/>
      <c r="BF736" s="215"/>
      <c r="BG736" s="215"/>
      <c r="BH736" s="215"/>
      <c r="BI736" s="215"/>
      <c r="BJ736" s="215"/>
      <c r="BK736" s="215"/>
      <c r="BL736" s="215"/>
      <c r="BM736" s="215"/>
      <c r="BN736" s="215"/>
      <c r="BO736" s="215"/>
      <c r="BP736" s="215"/>
      <c r="BQ736" s="215"/>
      <c r="BR736" s="215"/>
      <c r="BS736" s="215"/>
      <c r="BT736" s="215"/>
      <c r="BU736" s="215"/>
      <c r="BV736" s="215"/>
      <c r="BW736" s="215"/>
      <c r="BX736" s="215"/>
      <c r="BY736" s="215"/>
      <c r="BZ736" s="215"/>
      <c r="CA736" s="215"/>
      <c r="CB736" s="215"/>
      <c r="CC736" s="215"/>
      <c r="CD736" s="215"/>
      <c r="CE736" s="215"/>
    </row>
    <row r="737" spans="1:83" ht="12.65" customHeight="1" x14ac:dyDescent="0.3">
      <c r="A737" s="160" t="str">
        <f>RIGHT($C$83,3)&amp;"*"&amp;RIGHT($C$82,4)&amp;"*"&amp;F$55&amp;"*"&amp;"A"</f>
        <v>085*2021*6100*A</v>
      </c>
      <c r="B737" s="214">
        <f>ROUND(F59,0)</f>
        <v>0</v>
      </c>
      <c r="C737" s="216">
        <f>ROUND(F60,2)</f>
        <v>0</v>
      </c>
      <c r="D737" s="214">
        <f>ROUND(F61,0)</f>
        <v>0</v>
      </c>
      <c r="E737" s="214">
        <f>ROUND(F62,0)</f>
        <v>0</v>
      </c>
      <c r="F737" s="214">
        <f>ROUND(F63,0)</f>
        <v>0</v>
      </c>
      <c r="G737" s="214">
        <f>ROUND(F64,0)</f>
        <v>0</v>
      </c>
      <c r="H737" s="214">
        <f>ROUND(F65,0)</f>
        <v>0</v>
      </c>
      <c r="I737" s="214">
        <f>ROUND(F66,0)</f>
        <v>0</v>
      </c>
      <c r="J737" s="214">
        <f>ROUND(F67,0)</f>
        <v>0</v>
      </c>
      <c r="K737" s="214">
        <f>ROUND(F68,0)</f>
        <v>0</v>
      </c>
      <c r="L737" s="214">
        <f>ROUND(F69,0)</f>
        <v>0</v>
      </c>
      <c r="M737" s="214">
        <f>ROUND(F70,0)</f>
        <v>0</v>
      </c>
      <c r="N737" s="214">
        <f>ROUND(F75,0)</f>
        <v>0</v>
      </c>
      <c r="O737" s="214">
        <f>ROUND(F73,0)</f>
        <v>0</v>
      </c>
      <c r="P737" s="214">
        <f>IF(F76&gt;0,ROUND(F76,0),0)</f>
        <v>0</v>
      </c>
      <c r="Q737" s="214">
        <f>IF(F77&gt;0,ROUND(F77,0),0)</f>
        <v>0</v>
      </c>
      <c r="R737" s="214">
        <f>IF(F78&gt;0,ROUND(F78,0),0)</f>
        <v>0</v>
      </c>
      <c r="S737" s="214">
        <f>IF(F79&gt;0,ROUND(F79,0),0)</f>
        <v>0</v>
      </c>
      <c r="T737" s="216">
        <f>IF(F80&gt;0,ROUND(F80,2),0)</f>
        <v>0</v>
      </c>
      <c r="U737" s="214"/>
      <c r="V737" s="215"/>
      <c r="W737" s="214"/>
      <c r="X737" s="214"/>
      <c r="Y737" s="214">
        <f t="shared" si="22"/>
        <v>0</v>
      </c>
      <c r="Z737" s="215"/>
      <c r="AA737" s="215"/>
      <c r="AB737" s="215"/>
      <c r="AC737" s="215"/>
      <c r="AD737" s="215"/>
      <c r="AE737" s="215"/>
      <c r="AF737" s="215"/>
      <c r="AG737" s="215"/>
      <c r="AH737" s="215"/>
      <c r="AI737" s="215"/>
      <c r="AJ737" s="215"/>
      <c r="AK737" s="215"/>
      <c r="AL737" s="215"/>
      <c r="AM737" s="215"/>
      <c r="AN737" s="215"/>
      <c r="AO737" s="215"/>
      <c r="AP737" s="215"/>
      <c r="AQ737" s="215"/>
      <c r="AR737" s="215"/>
      <c r="AS737" s="215"/>
      <c r="AT737" s="215"/>
      <c r="AU737" s="215"/>
      <c r="AV737" s="215"/>
      <c r="AW737" s="215"/>
      <c r="AX737" s="215"/>
      <c r="AY737" s="215"/>
      <c r="AZ737" s="215"/>
      <c r="BA737" s="215"/>
      <c r="BB737" s="215"/>
      <c r="BC737" s="215"/>
      <c r="BD737" s="215"/>
      <c r="BE737" s="215"/>
      <c r="BF737" s="215"/>
      <c r="BG737" s="215"/>
      <c r="BH737" s="215"/>
      <c r="BI737" s="215"/>
      <c r="BJ737" s="215"/>
      <c r="BK737" s="215"/>
      <c r="BL737" s="215"/>
      <c r="BM737" s="215"/>
      <c r="BN737" s="215"/>
      <c r="BO737" s="215"/>
      <c r="BP737" s="215"/>
      <c r="BQ737" s="215"/>
      <c r="BR737" s="215"/>
      <c r="BS737" s="215"/>
      <c r="BT737" s="215"/>
      <c r="BU737" s="215"/>
      <c r="BV737" s="215"/>
      <c r="BW737" s="215"/>
      <c r="BX737" s="215"/>
      <c r="BY737" s="215"/>
      <c r="BZ737" s="215"/>
      <c r="CA737" s="215"/>
      <c r="CB737" s="215"/>
      <c r="CC737" s="215"/>
      <c r="CD737" s="215"/>
      <c r="CE737" s="215"/>
    </row>
    <row r="738" spans="1:83" ht="12.65" customHeight="1" x14ac:dyDescent="0.3">
      <c r="A738" s="160" t="str">
        <f>RIGHT($C$83,3)&amp;"*"&amp;RIGHT($C$82,4)&amp;"*"&amp;G$55&amp;"*"&amp;"A"</f>
        <v>085*2021*6120*A</v>
      </c>
      <c r="B738" s="214">
        <f>ROUND(G59,0)</f>
        <v>0</v>
      </c>
      <c r="C738" s="216">
        <f>ROUND(G60,2)</f>
        <v>0</v>
      </c>
      <c r="D738" s="214">
        <f>ROUND(G61,0)</f>
        <v>0</v>
      </c>
      <c r="E738" s="214">
        <f>ROUND(G62,0)</f>
        <v>0</v>
      </c>
      <c r="F738" s="214">
        <f>ROUND(G63,0)</f>
        <v>0</v>
      </c>
      <c r="G738" s="214">
        <f>ROUND(G64,0)</f>
        <v>0</v>
      </c>
      <c r="H738" s="214">
        <f>ROUND(G65,0)</f>
        <v>0</v>
      </c>
      <c r="I738" s="214">
        <f>ROUND(G66,0)</f>
        <v>0</v>
      </c>
      <c r="J738" s="214">
        <f>ROUND(G67,0)</f>
        <v>0</v>
      </c>
      <c r="K738" s="214">
        <f>ROUND(G68,0)</f>
        <v>0</v>
      </c>
      <c r="L738" s="214">
        <f>ROUND(G69,0)</f>
        <v>0</v>
      </c>
      <c r="M738" s="214">
        <f>ROUND(G70,0)</f>
        <v>0</v>
      </c>
      <c r="N738" s="214">
        <f>ROUND(G75,0)</f>
        <v>0</v>
      </c>
      <c r="O738" s="214">
        <f>ROUND(G73,0)</f>
        <v>0</v>
      </c>
      <c r="P738" s="214">
        <f>IF(G76&gt;0,ROUND(G76,0),0)</f>
        <v>0</v>
      </c>
      <c r="Q738" s="214">
        <f>IF(G77&gt;0,ROUND(G77,0),0)</f>
        <v>0</v>
      </c>
      <c r="R738" s="214">
        <f>IF(G78&gt;0,ROUND(G78,0),0)</f>
        <v>0</v>
      </c>
      <c r="S738" s="214">
        <f>IF(G79&gt;0,ROUND(G79,0),0)</f>
        <v>0</v>
      </c>
      <c r="T738" s="216">
        <f>IF(G80&gt;0,ROUND(G80,2),0)</f>
        <v>0</v>
      </c>
      <c r="U738" s="214"/>
      <c r="V738" s="215"/>
      <c r="W738" s="214"/>
      <c r="X738" s="214"/>
      <c r="Y738" s="214">
        <f t="shared" si="22"/>
        <v>0</v>
      </c>
      <c r="Z738" s="215"/>
      <c r="AA738" s="215"/>
      <c r="AB738" s="215"/>
      <c r="AC738" s="215"/>
      <c r="AD738" s="215"/>
      <c r="AE738" s="215"/>
      <c r="AF738" s="215"/>
      <c r="AG738" s="215"/>
      <c r="AH738" s="215"/>
      <c r="AI738" s="215"/>
      <c r="AJ738" s="215"/>
      <c r="AK738" s="215"/>
      <c r="AL738" s="215"/>
      <c r="AM738" s="215"/>
      <c r="AN738" s="215"/>
      <c r="AO738" s="215"/>
      <c r="AP738" s="215"/>
      <c r="AQ738" s="215"/>
      <c r="AR738" s="215"/>
      <c r="AS738" s="215"/>
      <c r="AT738" s="215"/>
      <c r="AU738" s="215"/>
      <c r="AV738" s="215"/>
      <c r="AW738" s="215"/>
      <c r="AX738" s="215"/>
      <c r="AY738" s="215"/>
      <c r="AZ738" s="215"/>
      <c r="BA738" s="215"/>
      <c r="BB738" s="215"/>
      <c r="BC738" s="215"/>
      <c r="BD738" s="215"/>
      <c r="BE738" s="215"/>
      <c r="BF738" s="215"/>
      <c r="BG738" s="215"/>
      <c r="BH738" s="215"/>
      <c r="BI738" s="215"/>
      <c r="BJ738" s="215"/>
      <c r="BK738" s="215"/>
      <c r="BL738" s="215"/>
      <c r="BM738" s="215"/>
      <c r="BN738" s="215"/>
      <c r="BO738" s="215"/>
      <c r="BP738" s="215"/>
      <c r="BQ738" s="215"/>
      <c r="BR738" s="215"/>
      <c r="BS738" s="215"/>
      <c r="BT738" s="215"/>
      <c r="BU738" s="215"/>
      <c r="BV738" s="215"/>
      <c r="BW738" s="215"/>
      <c r="BX738" s="215"/>
      <c r="BY738" s="215"/>
      <c r="BZ738" s="215"/>
      <c r="CA738" s="215"/>
      <c r="CB738" s="215"/>
      <c r="CC738" s="215"/>
      <c r="CD738" s="215"/>
      <c r="CE738" s="215"/>
    </row>
    <row r="739" spans="1:83" ht="12.65" customHeight="1" x14ac:dyDescent="0.3">
      <c r="A739" s="160" t="str">
        <f>RIGHT($C$83,3)&amp;"*"&amp;RIGHT($C$82,4)&amp;"*"&amp;H$55&amp;"*"&amp;"A"</f>
        <v>085*2021*6140*A</v>
      </c>
      <c r="B739" s="214">
        <f>ROUND(H59,0)</f>
        <v>0</v>
      </c>
      <c r="C739" s="216">
        <f>ROUND(H60,2)</f>
        <v>0</v>
      </c>
      <c r="D739" s="214">
        <f>ROUND(H61,0)</f>
        <v>0</v>
      </c>
      <c r="E739" s="214">
        <f>ROUND(H62,0)</f>
        <v>0</v>
      </c>
      <c r="F739" s="214">
        <f>ROUND(H63,0)</f>
        <v>0</v>
      </c>
      <c r="G739" s="214">
        <f>ROUND(H64,0)</f>
        <v>0</v>
      </c>
      <c r="H739" s="214">
        <f>ROUND(H65,0)</f>
        <v>0</v>
      </c>
      <c r="I739" s="214">
        <f>ROUND(H66,0)</f>
        <v>0</v>
      </c>
      <c r="J739" s="214">
        <f>ROUND(H67,0)</f>
        <v>0</v>
      </c>
      <c r="K739" s="214">
        <f>ROUND(H68,0)</f>
        <v>0</v>
      </c>
      <c r="L739" s="214">
        <f>ROUND(H69,0)</f>
        <v>0</v>
      </c>
      <c r="M739" s="214">
        <f>ROUND(H70,0)</f>
        <v>0</v>
      </c>
      <c r="N739" s="214">
        <f>ROUND(H75,0)</f>
        <v>0</v>
      </c>
      <c r="O739" s="214">
        <f>ROUND(H73,0)</f>
        <v>0</v>
      </c>
      <c r="P739" s="214">
        <f>IF(H76&gt;0,ROUND(H76,0),0)</f>
        <v>0</v>
      </c>
      <c r="Q739" s="214">
        <f>IF(H77&gt;0,ROUND(H77,0),0)</f>
        <v>0</v>
      </c>
      <c r="R739" s="214">
        <f>IF(H78&gt;0,ROUND(H78,0),0)</f>
        <v>0</v>
      </c>
      <c r="S739" s="214">
        <f>IF(H79&gt;0,ROUND(H79,0),0)</f>
        <v>0</v>
      </c>
      <c r="T739" s="216">
        <f>IF(H80&gt;0,ROUND(H80,2),0)</f>
        <v>0</v>
      </c>
      <c r="U739" s="214"/>
      <c r="V739" s="215"/>
      <c r="W739" s="214"/>
      <c r="X739" s="214"/>
      <c r="Y739" s="214">
        <f t="shared" si="22"/>
        <v>0</v>
      </c>
      <c r="Z739" s="215"/>
      <c r="AA739" s="215"/>
      <c r="AB739" s="215"/>
      <c r="AC739" s="215"/>
      <c r="AD739" s="215"/>
      <c r="AE739" s="215"/>
      <c r="AF739" s="215"/>
      <c r="AG739" s="215"/>
      <c r="AH739" s="215"/>
      <c r="AI739" s="215"/>
      <c r="AJ739" s="215"/>
      <c r="AK739" s="215"/>
      <c r="AL739" s="215"/>
      <c r="AM739" s="215"/>
      <c r="AN739" s="215"/>
      <c r="AO739" s="215"/>
      <c r="AP739" s="215"/>
      <c r="AQ739" s="215"/>
      <c r="AR739" s="215"/>
      <c r="AS739" s="215"/>
      <c r="AT739" s="215"/>
      <c r="AU739" s="215"/>
      <c r="AV739" s="215"/>
      <c r="AW739" s="215"/>
      <c r="AX739" s="215"/>
      <c r="AY739" s="215"/>
      <c r="AZ739" s="215"/>
      <c r="BA739" s="215"/>
      <c r="BB739" s="215"/>
      <c r="BC739" s="215"/>
      <c r="BD739" s="215"/>
      <c r="BE739" s="215"/>
      <c r="BF739" s="215"/>
      <c r="BG739" s="215"/>
      <c r="BH739" s="215"/>
      <c r="BI739" s="215"/>
      <c r="BJ739" s="215"/>
      <c r="BK739" s="215"/>
      <c r="BL739" s="215"/>
      <c r="BM739" s="215"/>
      <c r="BN739" s="215"/>
      <c r="BO739" s="215"/>
      <c r="BP739" s="215"/>
      <c r="BQ739" s="215"/>
      <c r="BR739" s="215"/>
      <c r="BS739" s="215"/>
      <c r="BT739" s="215"/>
      <c r="BU739" s="215"/>
      <c r="BV739" s="215"/>
      <c r="BW739" s="215"/>
      <c r="BX739" s="215"/>
      <c r="BY739" s="215"/>
      <c r="BZ739" s="215"/>
      <c r="CA739" s="215"/>
      <c r="CB739" s="215"/>
      <c r="CC739" s="215"/>
      <c r="CD739" s="215"/>
      <c r="CE739" s="215"/>
    </row>
    <row r="740" spans="1:83" ht="12.65" customHeight="1" x14ac:dyDescent="0.3">
      <c r="A740" s="160" t="str">
        <f>RIGHT($C$83,3)&amp;"*"&amp;RIGHT($C$82,4)&amp;"*"&amp;I$55&amp;"*"&amp;"A"</f>
        <v>085*2021*6150*A</v>
      </c>
      <c r="B740" s="214">
        <f>ROUND(I59,0)</f>
        <v>0</v>
      </c>
      <c r="C740" s="216">
        <f>ROUND(I60,2)</f>
        <v>0</v>
      </c>
      <c r="D740" s="214">
        <f>ROUND(I61,0)</f>
        <v>0</v>
      </c>
      <c r="E740" s="214">
        <f>ROUND(I62,0)</f>
        <v>0</v>
      </c>
      <c r="F740" s="214">
        <f>ROUND(I63,0)</f>
        <v>0</v>
      </c>
      <c r="G740" s="214">
        <f>ROUND(I64,0)</f>
        <v>0</v>
      </c>
      <c r="H740" s="214">
        <f>ROUND(I65,0)</f>
        <v>0</v>
      </c>
      <c r="I740" s="214">
        <f>ROUND(I66,0)</f>
        <v>0</v>
      </c>
      <c r="J740" s="214">
        <f>ROUND(I67,0)</f>
        <v>0</v>
      </c>
      <c r="K740" s="214">
        <f>ROUND(I68,0)</f>
        <v>0</v>
      </c>
      <c r="L740" s="214">
        <f>ROUND(I69,0)</f>
        <v>0</v>
      </c>
      <c r="M740" s="214">
        <f>ROUND(I70,0)</f>
        <v>0</v>
      </c>
      <c r="N740" s="214">
        <f>ROUND(I75,0)</f>
        <v>0</v>
      </c>
      <c r="O740" s="214">
        <f>ROUND(I73,0)</f>
        <v>0</v>
      </c>
      <c r="P740" s="214">
        <f>IF(I76&gt;0,ROUND(I76,0),0)</f>
        <v>0</v>
      </c>
      <c r="Q740" s="214">
        <f>IF(I77&gt;0,ROUND(I77,0),0)</f>
        <v>0</v>
      </c>
      <c r="R740" s="214">
        <f>IF(I78&gt;0,ROUND(I78,0),0)</f>
        <v>0</v>
      </c>
      <c r="S740" s="214">
        <f>IF(I79&gt;0,ROUND(I79,0),0)</f>
        <v>0</v>
      </c>
      <c r="T740" s="216">
        <f>IF(I80&gt;0,ROUND(I80,2),0)</f>
        <v>0</v>
      </c>
      <c r="U740" s="214"/>
      <c r="V740" s="215"/>
      <c r="W740" s="214"/>
      <c r="X740" s="214"/>
      <c r="Y740" s="214">
        <f t="shared" si="22"/>
        <v>0</v>
      </c>
      <c r="Z740" s="215"/>
      <c r="AA740" s="215"/>
      <c r="AB740" s="215"/>
      <c r="AC740" s="215"/>
      <c r="AD740" s="215"/>
      <c r="AE740" s="215"/>
      <c r="AF740" s="215"/>
      <c r="AG740" s="215"/>
      <c r="AH740" s="215"/>
      <c r="AI740" s="215"/>
      <c r="AJ740" s="215"/>
      <c r="AK740" s="215"/>
      <c r="AL740" s="215"/>
      <c r="AM740" s="215"/>
      <c r="AN740" s="215"/>
      <c r="AO740" s="215"/>
      <c r="AP740" s="215"/>
      <c r="AQ740" s="215"/>
      <c r="AR740" s="215"/>
      <c r="AS740" s="215"/>
      <c r="AT740" s="215"/>
      <c r="AU740" s="215"/>
      <c r="AV740" s="215"/>
      <c r="AW740" s="215"/>
      <c r="AX740" s="215"/>
      <c r="AY740" s="215"/>
      <c r="AZ740" s="215"/>
      <c r="BA740" s="215"/>
      <c r="BB740" s="215"/>
      <c r="BC740" s="215"/>
      <c r="BD740" s="215"/>
      <c r="BE740" s="215"/>
      <c r="BF740" s="215"/>
      <c r="BG740" s="215"/>
      <c r="BH740" s="215"/>
      <c r="BI740" s="215"/>
      <c r="BJ740" s="215"/>
      <c r="BK740" s="215"/>
      <c r="BL740" s="215"/>
      <c r="BM740" s="215"/>
      <c r="BN740" s="215"/>
      <c r="BO740" s="215"/>
      <c r="BP740" s="215"/>
      <c r="BQ740" s="215"/>
      <c r="BR740" s="215"/>
      <c r="BS740" s="215"/>
      <c r="BT740" s="215"/>
      <c r="BU740" s="215"/>
      <c r="BV740" s="215"/>
      <c r="BW740" s="215"/>
      <c r="BX740" s="215"/>
      <c r="BY740" s="215"/>
      <c r="BZ740" s="215"/>
      <c r="CA740" s="215"/>
      <c r="CB740" s="215"/>
      <c r="CC740" s="215"/>
      <c r="CD740" s="215"/>
      <c r="CE740" s="215"/>
    </row>
    <row r="741" spans="1:83" ht="12.65" customHeight="1" x14ac:dyDescent="0.3">
      <c r="A741" s="160" t="str">
        <f>RIGHT($C$83,3)&amp;"*"&amp;RIGHT($C$82,4)&amp;"*"&amp;J$55&amp;"*"&amp;"A"</f>
        <v>085*2021*6170*A</v>
      </c>
      <c r="B741" s="214">
        <f>ROUND(J59,0)</f>
        <v>162</v>
      </c>
      <c r="C741" s="216">
        <f>ROUND(J60,2)</f>
        <v>1.86</v>
      </c>
      <c r="D741" s="214">
        <f>ROUND(J61,0)</f>
        <v>256488</v>
      </c>
      <c r="E741" s="214">
        <f>ROUND(J62,0)</f>
        <v>57851</v>
      </c>
      <c r="F741" s="214">
        <f>ROUND(J63,0)</f>
        <v>281</v>
      </c>
      <c r="G741" s="214">
        <f>ROUND(J64,0)</f>
        <v>15226</v>
      </c>
      <c r="H741" s="214">
        <f>ROUND(J65,0)</f>
        <v>0</v>
      </c>
      <c r="I741" s="214">
        <f>ROUND(J66,0)</f>
        <v>387</v>
      </c>
      <c r="J741" s="214">
        <f>ROUND(J67,0)</f>
        <v>13161</v>
      </c>
      <c r="K741" s="214">
        <f>ROUND(J68,0)</f>
        <v>0</v>
      </c>
      <c r="L741" s="214">
        <f>ROUND(J69,0)</f>
        <v>1651</v>
      </c>
      <c r="M741" s="214">
        <f>ROUND(J70,0)</f>
        <v>0</v>
      </c>
      <c r="N741" s="214">
        <f>ROUND(J75,0)</f>
        <v>506884</v>
      </c>
      <c r="O741" s="214">
        <f>ROUND(J73,0)</f>
        <v>418446</v>
      </c>
      <c r="P741" s="214">
        <f>IF(J76&gt;0,ROUND(J76,0),0)</f>
        <v>422</v>
      </c>
      <c r="Q741" s="214">
        <f>IF(J77&gt;0,ROUND(J77,0),0)</f>
        <v>0</v>
      </c>
      <c r="R741" s="214">
        <f>IF(J78&gt;0,ROUND(J78,0),0)</f>
        <v>142</v>
      </c>
      <c r="S741" s="214">
        <f>IF(J79&gt;0,ROUND(J79,0),0)</f>
        <v>2001</v>
      </c>
      <c r="T741" s="216">
        <f>IF(J80&gt;0,ROUND(J80,2),0)</f>
        <v>1.86</v>
      </c>
      <c r="U741" s="214"/>
      <c r="V741" s="215"/>
      <c r="W741" s="214"/>
      <c r="X741" s="214"/>
      <c r="Y741" s="214">
        <f t="shared" si="22"/>
        <v>80686</v>
      </c>
      <c r="Z741" s="215"/>
      <c r="AA741" s="215"/>
      <c r="AB741" s="215"/>
      <c r="AC741" s="215"/>
      <c r="AD741" s="215"/>
      <c r="AE741" s="215"/>
      <c r="AF741" s="215"/>
      <c r="AG741" s="215"/>
      <c r="AH741" s="215"/>
      <c r="AI741" s="215"/>
      <c r="AJ741" s="215"/>
      <c r="AK741" s="215"/>
      <c r="AL741" s="215"/>
      <c r="AM741" s="215"/>
      <c r="AN741" s="215"/>
      <c r="AO741" s="215"/>
      <c r="AP741" s="215"/>
      <c r="AQ741" s="215"/>
      <c r="AR741" s="215"/>
      <c r="AS741" s="215"/>
      <c r="AT741" s="215"/>
      <c r="AU741" s="215"/>
      <c r="AV741" s="215"/>
      <c r="AW741" s="215"/>
      <c r="AX741" s="215"/>
      <c r="AY741" s="215"/>
      <c r="AZ741" s="215"/>
      <c r="BA741" s="215"/>
      <c r="BB741" s="215"/>
      <c r="BC741" s="215"/>
      <c r="BD741" s="215"/>
      <c r="BE741" s="215"/>
      <c r="BF741" s="215"/>
      <c r="BG741" s="215"/>
      <c r="BH741" s="215"/>
      <c r="BI741" s="215"/>
      <c r="BJ741" s="215"/>
      <c r="BK741" s="215"/>
      <c r="BL741" s="215"/>
      <c r="BM741" s="215"/>
      <c r="BN741" s="215"/>
      <c r="BO741" s="215"/>
      <c r="BP741" s="215"/>
      <c r="BQ741" s="215"/>
      <c r="BR741" s="215"/>
      <c r="BS741" s="215"/>
      <c r="BT741" s="215"/>
      <c r="BU741" s="215"/>
      <c r="BV741" s="215"/>
      <c r="BW741" s="215"/>
      <c r="BX741" s="215"/>
      <c r="BY741" s="215"/>
      <c r="BZ741" s="215"/>
      <c r="CA741" s="215"/>
      <c r="CB741" s="215"/>
      <c r="CC741" s="215"/>
      <c r="CD741" s="215"/>
      <c r="CE741" s="215"/>
    </row>
    <row r="742" spans="1:83" ht="12.65" customHeight="1" x14ac:dyDescent="0.3">
      <c r="A742" s="160" t="str">
        <f>RIGHT($C$83,3)&amp;"*"&amp;RIGHT($C$82,4)&amp;"*"&amp;K$55&amp;"*"&amp;"A"</f>
        <v>085*2021*6200*A</v>
      </c>
      <c r="B742" s="214">
        <f>ROUND(K59,0)</f>
        <v>0</v>
      </c>
      <c r="C742" s="216">
        <f>ROUND(K60,2)</f>
        <v>0</v>
      </c>
      <c r="D742" s="214">
        <f>ROUND(K61,0)</f>
        <v>0</v>
      </c>
      <c r="E742" s="214">
        <f>ROUND(K62,0)</f>
        <v>0</v>
      </c>
      <c r="F742" s="214">
        <f>ROUND(K63,0)</f>
        <v>0</v>
      </c>
      <c r="G742" s="214">
        <f>ROUND(K64,0)</f>
        <v>0</v>
      </c>
      <c r="H742" s="214">
        <f>ROUND(K65,0)</f>
        <v>0</v>
      </c>
      <c r="I742" s="214">
        <f>ROUND(K66,0)</f>
        <v>0</v>
      </c>
      <c r="J742" s="214">
        <f>ROUND(K67,0)</f>
        <v>0</v>
      </c>
      <c r="K742" s="214">
        <f>ROUND(K68,0)</f>
        <v>0</v>
      </c>
      <c r="L742" s="214">
        <f>ROUND(K69,0)</f>
        <v>0</v>
      </c>
      <c r="M742" s="214">
        <f>ROUND(K70,0)</f>
        <v>0</v>
      </c>
      <c r="N742" s="214">
        <f>ROUND(K75,0)</f>
        <v>0</v>
      </c>
      <c r="O742" s="214">
        <f>ROUND(K73,0)</f>
        <v>0</v>
      </c>
      <c r="P742" s="214">
        <f>IF(K76&gt;0,ROUND(K76,0),0)</f>
        <v>0</v>
      </c>
      <c r="Q742" s="214">
        <f>IF(K77&gt;0,ROUND(K77,0),0)</f>
        <v>0</v>
      </c>
      <c r="R742" s="214">
        <f>IF(K78&gt;0,ROUND(K78,0),0)</f>
        <v>0</v>
      </c>
      <c r="S742" s="214">
        <f>IF(K79&gt;0,ROUND(K79,0),0)</f>
        <v>0</v>
      </c>
      <c r="T742" s="216">
        <f>IF(K80&gt;0,ROUND(K80,2),0)</f>
        <v>0</v>
      </c>
      <c r="U742" s="214"/>
      <c r="V742" s="215"/>
      <c r="W742" s="214"/>
      <c r="X742" s="214"/>
      <c r="Y742" s="214">
        <f t="shared" si="22"/>
        <v>0</v>
      </c>
      <c r="Z742" s="215"/>
      <c r="AA742" s="215"/>
      <c r="AB742" s="215"/>
      <c r="AC742" s="215"/>
      <c r="AD742" s="215"/>
      <c r="AE742" s="215"/>
      <c r="AF742" s="215"/>
      <c r="AG742" s="215"/>
      <c r="AH742" s="215"/>
      <c r="AI742" s="215"/>
      <c r="AJ742" s="215"/>
      <c r="AK742" s="215"/>
      <c r="AL742" s="215"/>
      <c r="AM742" s="215"/>
      <c r="AN742" s="215"/>
      <c r="AO742" s="215"/>
      <c r="AP742" s="215"/>
      <c r="AQ742" s="215"/>
      <c r="AR742" s="215"/>
      <c r="AS742" s="215"/>
      <c r="AT742" s="215"/>
      <c r="AU742" s="215"/>
      <c r="AV742" s="215"/>
      <c r="AW742" s="215"/>
      <c r="AX742" s="215"/>
      <c r="AY742" s="215"/>
      <c r="AZ742" s="215"/>
      <c r="BA742" s="215"/>
      <c r="BB742" s="215"/>
      <c r="BC742" s="215"/>
      <c r="BD742" s="215"/>
      <c r="BE742" s="215"/>
      <c r="BF742" s="215"/>
      <c r="BG742" s="215"/>
      <c r="BH742" s="215"/>
      <c r="BI742" s="215"/>
      <c r="BJ742" s="215"/>
      <c r="BK742" s="215"/>
      <c r="BL742" s="215"/>
      <c r="BM742" s="215"/>
      <c r="BN742" s="215"/>
      <c r="BO742" s="215"/>
      <c r="BP742" s="215"/>
      <c r="BQ742" s="215"/>
      <c r="BR742" s="215"/>
      <c r="BS742" s="215"/>
      <c r="BT742" s="215"/>
      <c r="BU742" s="215"/>
      <c r="BV742" s="215"/>
      <c r="BW742" s="215"/>
      <c r="BX742" s="215"/>
      <c r="BY742" s="215"/>
      <c r="BZ742" s="215"/>
      <c r="CA742" s="215"/>
      <c r="CB742" s="215"/>
      <c r="CC742" s="215"/>
      <c r="CD742" s="215"/>
      <c r="CE742" s="215"/>
    </row>
    <row r="743" spans="1:83" ht="12.65" customHeight="1" x14ac:dyDescent="0.3">
      <c r="A743" s="160" t="str">
        <f>RIGHT($C$83,3)&amp;"*"&amp;RIGHT($C$82,4)&amp;"*"&amp;L$55&amp;"*"&amp;"A"</f>
        <v>085*2021*6210*A</v>
      </c>
      <c r="B743" s="214">
        <f>ROUND(L59,0)</f>
        <v>127</v>
      </c>
      <c r="C743" s="216">
        <f>ROUND(L60,2)</f>
        <v>1.46</v>
      </c>
      <c r="D743" s="214">
        <f>ROUND(L61,0)</f>
        <v>201074</v>
      </c>
      <c r="E743" s="214">
        <f>ROUND(L62,0)</f>
        <v>45352</v>
      </c>
      <c r="F743" s="214">
        <f>ROUND(L63,0)</f>
        <v>220</v>
      </c>
      <c r="G743" s="214">
        <f>ROUND(L64,0)</f>
        <v>11936</v>
      </c>
      <c r="H743" s="214">
        <f>ROUND(L65,0)</f>
        <v>0</v>
      </c>
      <c r="I743" s="214">
        <f>ROUND(L66,0)</f>
        <v>303</v>
      </c>
      <c r="J743" s="214">
        <f>ROUND(L67,0)</f>
        <v>10323</v>
      </c>
      <c r="K743" s="214">
        <f>ROUND(L68,0)</f>
        <v>0</v>
      </c>
      <c r="L743" s="214">
        <f>ROUND(L69,0)</f>
        <v>1294</v>
      </c>
      <c r="M743" s="214">
        <f>ROUND(L70,0)</f>
        <v>0</v>
      </c>
      <c r="N743" s="214">
        <f>ROUND(L75,0)</f>
        <v>397372</v>
      </c>
      <c r="O743" s="214">
        <f>ROUND(L73,0)</f>
        <v>328041</v>
      </c>
      <c r="P743" s="214">
        <f>IF(L76&gt;0,ROUND(L76,0),0)</f>
        <v>331</v>
      </c>
      <c r="Q743" s="214">
        <f>IF(L77&gt;0,ROUND(L77,0),0)</f>
        <v>476</v>
      </c>
      <c r="R743" s="214">
        <f>IF(L78&gt;0,ROUND(L78,0),0)</f>
        <v>112</v>
      </c>
      <c r="S743" s="214">
        <f>IF(L79&gt;0,ROUND(L79,0),0)</f>
        <v>1569</v>
      </c>
      <c r="T743" s="216">
        <f>IF(L80&gt;0,ROUND(L80,2),0)</f>
        <v>1.46</v>
      </c>
      <c r="U743" s="214"/>
      <c r="V743" s="215"/>
      <c r="W743" s="214"/>
      <c r="X743" s="214"/>
      <c r="Y743" s="214">
        <f t="shared" si="22"/>
        <v>111903</v>
      </c>
      <c r="Z743" s="215"/>
      <c r="AA743" s="215"/>
      <c r="AB743" s="215"/>
      <c r="AC743" s="215"/>
      <c r="AD743" s="215"/>
      <c r="AE743" s="215"/>
      <c r="AF743" s="215"/>
      <c r="AG743" s="215"/>
      <c r="AH743" s="215"/>
      <c r="AI743" s="215"/>
      <c r="AJ743" s="215"/>
      <c r="AK743" s="215"/>
      <c r="AL743" s="215"/>
      <c r="AM743" s="215"/>
      <c r="AN743" s="215"/>
      <c r="AO743" s="215"/>
      <c r="AP743" s="215"/>
      <c r="AQ743" s="215"/>
      <c r="AR743" s="215"/>
      <c r="AS743" s="215"/>
      <c r="AT743" s="215"/>
      <c r="AU743" s="215"/>
      <c r="AV743" s="215"/>
      <c r="AW743" s="215"/>
      <c r="AX743" s="215"/>
      <c r="AY743" s="215"/>
      <c r="AZ743" s="215"/>
      <c r="BA743" s="215"/>
      <c r="BB743" s="215"/>
      <c r="BC743" s="215"/>
      <c r="BD743" s="215"/>
      <c r="BE743" s="215"/>
      <c r="BF743" s="215"/>
      <c r="BG743" s="215"/>
      <c r="BH743" s="215"/>
      <c r="BI743" s="215"/>
      <c r="BJ743" s="215"/>
      <c r="BK743" s="215"/>
      <c r="BL743" s="215"/>
      <c r="BM743" s="215"/>
      <c r="BN743" s="215"/>
      <c r="BO743" s="215"/>
      <c r="BP743" s="215"/>
      <c r="BQ743" s="215"/>
      <c r="BR743" s="215"/>
      <c r="BS743" s="215"/>
      <c r="BT743" s="215"/>
      <c r="BU743" s="215"/>
      <c r="BV743" s="215"/>
      <c r="BW743" s="215"/>
      <c r="BX743" s="215"/>
      <c r="BY743" s="215"/>
      <c r="BZ743" s="215"/>
      <c r="CA743" s="215"/>
      <c r="CB743" s="215"/>
      <c r="CC743" s="215"/>
      <c r="CD743" s="215"/>
      <c r="CE743" s="215"/>
    </row>
    <row r="744" spans="1:83" ht="12.65" customHeight="1" x14ac:dyDescent="0.3">
      <c r="A744" s="160" t="str">
        <f>RIGHT($C$83,3)&amp;"*"&amp;RIGHT($C$82,4)&amp;"*"&amp;M$55&amp;"*"&amp;"A"</f>
        <v>085*2021*6330*A</v>
      </c>
      <c r="B744" s="214">
        <f>ROUND(M59,0)</f>
        <v>16183</v>
      </c>
      <c r="C744" s="216">
        <f>ROUND(M60,2)</f>
        <v>9.1300000000000008</v>
      </c>
      <c r="D744" s="214">
        <f>ROUND(M61,0)</f>
        <v>1272422</v>
      </c>
      <c r="E744" s="214">
        <f>ROUND(M62,0)</f>
        <v>286995</v>
      </c>
      <c r="F744" s="214">
        <f>ROUND(M63,0)</f>
        <v>0</v>
      </c>
      <c r="G744" s="214">
        <f>ROUND(M64,0)</f>
        <v>-4915</v>
      </c>
      <c r="H744" s="214">
        <f>ROUND(M65,0)</f>
        <v>2491</v>
      </c>
      <c r="I744" s="214">
        <f>ROUND(M66,0)</f>
        <v>264731</v>
      </c>
      <c r="J744" s="214">
        <f>ROUND(M67,0)</f>
        <v>0</v>
      </c>
      <c r="K744" s="214">
        <f>ROUND(M68,0)</f>
        <v>39177</v>
      </c>
      <c r="L744" s="214">
        <f>ROUND(M69,0)</f>
        <v>53710</v>
      </c>
      <c r="M744" s="214">
        <f>ROUND(M70,0)</f>
        <v>0</v>
      </c>
      <c r="N744" s="214">
        <f>ROUND(M75,0)</f>
        <v>3799340</v>
      </c>
      <c r="O744" s="214">
        <f>ROUND(M73,0)</f>
        <v>0</v>
      </c>
      <c r="P744" s="214">
        <f>IF(M76&gt;0,ROUND(M76,0),0)</f>
        <v>0</v>
      </c>
      <c r="Q744" s="214">
        <f>IF(M77&gt;0,ROUND(M77,0),0)</f>
        <v>0</v>
      </c>
      <c r="R744" s="214">
        <f>IF(M78&gt;0,ROUND(M78,0),0)</f>
        <v>0</v>
      </c>
      <c r="S744" s="214">
        <f>IF(M79&gt;0,ROUND(M79,0),0)</f>
        <v>0</v>
      </c>
      <c r="T744" s="216">
        <f>IF(M80&gt;0,ROUND(M80,2),0)</f>
        <v>0</v>
      </c>
      <c r="U744" s="214"/>
      <c r="V744" s="215"/>
      <c r="W744" s="214"/>
      <c r="X744" s="214"/>
      <c r="Y744" s="214">
        <f t="shared" si="22"/>
        <v>268530</v>
      </c>
      <c r="Z744" s="215"/>
      <c r="AA744" s="215"/>
      <c r="AB744" s="215"/>
      <c r="AC744" s="215"/>
      <c r="AD744" s="215"/>
      <c r="AE744" s="215"/>
      <c r="AF744" s="215"/>
      <c r="AG744" s="215"/>
      <c r="AH744" s="215"/>
      <c r="AI744" s="215"/>
      <c r="AJ744" s="215"/>
      <c r="AK744" s="215"/>
      <c r="AL744" s="215"/>
      <c r="AM744" s="215"/>
      <c r="AN744" s="215"/>
      <c r="AO744" s="215"/>
      <c r="AP744" s="215"/>
      <c r="AQ744" s="215"/>
      <c r="AR744" s="215"/>
      <c r="AS744" s="215"/>
      <c r="AT744" s="215"/>
      <c r="AU744" s="215"/>
      <c r="AV744" s="215"/>
      <c r="AW744" s="215"/>
      <c r="AX744" s="215"/>
      <c r="AY744" s="215"/>
      <c r="AZ744" s="215"/>
      <c r="BA744" s="215"/>
      <c r="BB744" s="215"/>
      <c r="BC744" s="215"/>
      <c r="BD744" s="215"/>
      <c r="BE744" s="215"/>
      <c r="BF744" s="215"/>
      <c r="BG744" s="215"/>
      <c r="BH744" s="215"/>
      <c r="BI744" s="215"/>
      <c r="BJ744" s="215"/>
      <c r="BK744" s="215"/>
      <c r="BL744" s="215"/>
      <c r="BM744" s="215"/>
      <c r="BN744" s="215"/>
      <c r="BO744" s="215"/>
      <c r="BP744" s="215"/>
      <c r="BQ744" s="215"/>
      <c r="BR744" s="215"/>
      <c r="BS744" s="215"/>
      <c r="BT744" s="215"/>
      <c r="BU744" s="215"/>
      <c r="BV744" s="215"/>
      <c r="BW744" s="215"/>
      <c r="BX744" s="215"/>
      <c r="BY744" s="215"/>
      <c r="BZ744" s="215"/>
      <c r="CA744" s="215"/>
      <c r="CB744" s="215"/>
      <c r="CC744" s="215"/>
      <c r="CD744" s="215"/>
      <c r="CE744" s="215"/>
    </row>
    <row r="745" spans="1:83" ht="12.65" customHeight="1" x14ac:dyDescent="0.3">
      <c r="A745" s="160" t="str">
        <f>RIGHT($C$83,3)&amp;"*"&amp;RIGHT($C$82,4)&amp;"*"&amp;N$55&amp;"*"&amp;"A"</f>
        <v>085*2021*6400*A</v>
      </c>
      <c r="B745" s="214">
        <f>ROUND(N59,0)</f>
        <v>0</v>
      </c>
      <c r="C745" s="216">
        <f>ROUND(N60,2)</f>
        <v>0</v>
      </c>
      <c r="D745" s="214">
        <f>ROUND(N61,0)</f>
        <v>0</v>
      </c>
      <c r="E745" s="214">
        <f>ROUND(N62,0)</f>
        <v>0</v>
      </c>
      <c r="F745" s="214">
        <f>ROUND(N63,0)</f>
        <v>0</v>
      </c>
      <c r="G745" s="214">
        <f>ROUND(N64,0)</f>
        <v>0</v>
      </c>
      <c r="H745" s="214">
        <f>ROUND(N65,0)</f>
        <v>0</v>
      </c>
      <c r="I745" s="214">
        <f>ROUND(N66,0)</f>
        <v>0</v>
      </c>
      <c r="J745" s="214">
        <f>ROUND(N67,0)</f>
        <v>0</v>
      </c>
      <c r="K745" s="214">
        <f>ROUND(N68,0)</f>
        <v>0</v>
      </c>
      <c r="L745" s="214">
        <f>ROUND(N69,0)</f>
        <v>0</v>
      </c>
      <c r="M745" s="214">
        <f>ROUND(N70,0)</f>
        <v>0</v>
      </c>
      <c r="N745" s="214">
        <f>ROUND(N75,0)</f>
        <v>0</v>
      </c>
      <c r="O745" s="214">
        <f>ROUND(N73,0)</f>
        <v>0</v>
      </c>
      <c r="P745" s="214">
        <f>IF(N76&gt;0,ROUND(N76,0),0)</f>
        <v>0</v>
      </c>
      <c r="Q745" s="214">
        <f>IF(N77&gt;0,ROUND(N77,0),0)</f>
        <v>0</v>
      </c>
      <c r="R745" s="214">
        <f>IF(N78&gt;0,ROUND(N78,0),0)</f>
        <v>0</v>
      </c>
      <c r="S745" s="214">
        <f>IF(N79&gt;0,ROUND(N79,0),0)</f>
        <v>0</v>
      </c>
      <c r="T745" s="216">
        <f>IF(N80&gt;0,ROUND(N80,2),0)</f>
        <v>0</v>
      </c>
      <c r="U745" s="214"/>
      <c r="V745" s="215"/>
      <c r="W745" s="214"/>
      <c r="X745" s="214"/>
      <c r="Y745" s="214">
        <f t="shared" si="22"/>
        <v>0</v>
      </c>
      <c r="Z745" s="215"/>
      <c r="AA745" s="215"/>
      <c r="AB745" s="215"/>
      <c r="AC745" s="215"/>
      <c r="AD745" s="215"/>
      <c r="AE745" s="215"/>
      <c r="AF745" s="215"/>
      <c r="AG745" s="215"/>
      <c r="AH745" s="215"/>
      <c r="AI745" s="215"/>
      <c r="AJ745" s="215"/>
      <c r="AK745" s="215"/>
      <c r="AL745" s="215"/>
      <c r="AM745" s="215"/>
      <c r="AN745" s="215"/>
      <c r="AO745" s="215"/>
      <c r="AP745" s="215"/>
      <c r="AQ745" s="215"/>
      <c r="AR745" s="215"/>
      <c r="AS745" s="215"/>
      <c r="AT745" s="215"/>
      <c r="AU745" s="215"/>
      <c r="AV745" s="215"/>
      <c r="AW745" s="215"/>
      <c r="AX745" s="215"/>
      <c r="AY745" s="215"/>
      <c r="AZ745" s="215"/>
      <c r="BA745" s="215"/>
      <c r="BB745" s="215"/>
      <c r="BC745" s="215"/>
      <c r="BD745" s="215"/>
      <c r="BE745" s="215"/>
      <c r="BF745" s="215"/>
      <c r="BG745" s="215"/>
      <c r="BH745" s="215"/>
      <c r="BI745" s="215"/>
      <c r="BJ745" s="215"/>
      <c r="BK745" s="215"/>
      <c r="BL745" s="215"/>
      <c r="BM745" s="215"/>
      <c r="BN745" s="215"/>
      <c r="BO745" s="215"/>
      <c r="BP745" s="215"/>
      <c r="BQ745" s="215"/>
      <c r="BR745" s="215"/>
      <c r="BS745" s="215"/>
      <c r="BT745" s="215"/>
      <c r="BU745" s="215"/>
      <c r="BV745" s="215"/>
      <c r="BW745" s="215"/>
      <c r="BX745" s="215"/>
      <c r="BY745" s="215"/>
      <c r="BZ745" s="215"/>
      <c r="CA745" s="215"/>
      <c r="CB745" s="215"/>
      <c r="CC745" s="215"/>
      <c r="CD745" s="215"/>
      <c r="CE745" s="215"/>
    </row>
    <row r="746" spans="1:83" ht="12.65" customHeight="1" x14ac:dyDescent="0.3">
      <c r="A746" s="160" t="str">
        <f>RIGHT($C$83,3)&amp;"*"&amp;RIGHT($C$82,4)&amp;"*"&amp;O$55&amp;"*"&amp;"A"</f>
        <v>085*2021*7010*A</v>
      </c>
      <c r="B746" s="214">
        <f>ROUND(O59,0)</f>
        <v>87</v>
      </c>
      <c r="C746" s="216">
        <f>ROUND(O60,2)</f>
        <v>1</v>
      </c>
      <c r="D746" s="214">
        <f>ROUND(O61,0)</f>
        <v>137743</v>
      </c>
      <c r="E746" s="214">
        <f>ROUND(O62,0)</f>
        <v>31068</v>
      </c>
      <c r="F746" s="214">
        <f>ROUND(O63,0)</f>
        <v>151</v>
      </c>
      <c r="G746" s="214">
        <f>ROUND(O64,0)</f>
        <v>8177</v>
      </c>
      <c r="H746" s="214">
        <f>ROUND(O65,0)</f>
        <v>0</v>
      </c>
      <c r="I746" s="214">
        <f>ROUND(O66,0)</f>
        <v>208</v>
      </c>
      <c r="J746" s="214">
        <f>ROUND(O67,0)</f>
        <v>7079</v>
      </c>
      <c r="K746" s="214">
        <f>ROUND(O68,0)</f>
        <v>0</v>
      </c>
      <c r="L746" s="214">
        <f>ROUND(O69,0)</f>
        <v>886</v>
      </c>
      <c r="M746" s="214">
        <f>ROUND(O70,0)</f>
        <v>0</v>
      </c>
      <c r="N746" s="214">
        <f>ROUND(O75,0)</f>
        <v>272216</v>
      </c>
      <c r="O746" s="214">
        <f>ROUND(O73,0)</f>
        <v>224721</v>
      </c>
      <c r="P746" s="214">
        <f>IF(O76&gt;0,ROUND(O76,0),0)</f>
        <v>227</v>
      </c>
      <c r="Q746" s="214">
        <f>IF(O77&gt;0,ROUND(O77,0),0)</f>
        <v>0</v>
      </c>
      <c r="R746" s="214">
        <f>IF(O78&gt;0,ROUND(O78,0),0)</f>
        <v>77</v>
      </c>
      <c r="S746" s="214">
        <f>IF(O79&gt;0,ROUND(O79,0),0)</f>
        <v>1075</v>
      </c>
      <c r="T746" s="216">
        <f>IF(O80&gt;0,ROUND(O80,2),0)</f>
        <v>1</v>
      </c>
      <c r="U746" s="214"/>
      <c r="V746" s="215"/>
      <c r="W746" s="214"/>
      <c r="X746" s="214"/>
      <c r="Y746" s="214">
        <f t="shared" si="22"/>
        <v>43358</v>
      </c>
      <c r="Z746" s="215"/>
      <c r="AA746" s="215"/>
      <c r="AB746" s="215"/>
      <c r="AC746" s="215"/>
      <c r="AD746" s="215"/>
      <c r="AE746" s="215"/>
      <c r="AF746" s="215"/>
      <c r="AG746" s="215"/>
      <c r="AH746" s="215"/>
      <c r="AI746" s="215"/>
      <c r="AJ746" s="215"/>
      <c r="AK746" s="215"/>
      <c r="AL746" s="215"/>
      <c r="AM746" s="215"/>
      <c r="AN746" s="215"/>
      <c r="AO746" s="215"/>
      <c r="AP746" s="215"/>
      <c r="AQ746" s="215"/>
      <c r="AR746" s="215"/>
      <c r="AS746" s="215"/>
      <c r="AT746" s="215"/>
      <c r="AU746" s="215"/>
      <c r="AV746" s="215"/>
      <c r="AW746" s="215"/>
      <c r="AX746" s="215"/>
      <c r="AY746" s="215"/>
      <c r="AZ746" s="215"/>
      <c r="BA746" s="215"/>
      <c r="BB746" s="215"/>
      <c r="BC746" s="215"/>
      <c r="BD746" s="215"/>
      <c r="BE746" s="215"/>
      <c r="BF746" s="215"/>
      <c r="BG746" s="215"/>
      <c r="BH746" s="215"/>
      <c r="BI746" s="215"/>
      <c r="BJ746" s="215"/>
      <c r="BK746" s="215"/>
      <c r="BL746" s="215"/>
      <c r="BM746" s="215"/>
      <c r="BN746" s="215"/>
      <c r="BO746" s="215"/>
      <c r="BP746" s="215"/>
      <c r="BQ746" s="215"/>
      <c r="BR746" s="215"/>
      <c r="BS746" s="215"/>
      <c r="BT746" s="215"/>
      <c r="BU746" s="215"/>
      <c r="BV746" s="215"/>
      <c r="BW746" s="215"/>
      <c r="BX746" s="215"/>
      <c r="BY746" s="215"/>
      <c r="BZ746" s="215"/>
      <c r="CA746" s="215"/>
      <c r="CB746" s="215"/>
      <c r="CC746" s="215"/>
      <c r="CD746" s="215"/>
      <c r="CE746" s="215"/>
    </row>
    <row r="747" spans="1:83" ht="12.65" customHeight="1" x14ac:dyDescent="0.3">
      <c r="A747" s="160" t="str">
        <f>RIGHT($C$83,3)&amp;"*"&amp;RIGHT($C$82,4)&amp;"*"&amp;P$55&amp;"*"&amp;"A"</f>
        <v>085*2021*7020*A</v>
      </c>
      <c r="B747" s="214">
        <f>ROUND(P59,0)</f>
        <v>202480</v>
      </c>
      <c r="C747" s="216">
        <f>ROUND(P60,2)</f>
        <v>18.940000000000001</v>
      </c>
      <c r="D747" s="214">
        <f>ROUND(P61,0)</f>
        <v>1529840</v>
      </c>
      <c r="E747" s="214">
        <f>ROUND(P62,0)</f>
        <v>345056</v>
      </c>
      <c r="F747" s="214">
        <f>ROUND(P63,0)</f>
        <v>1340</v>
      </c>
      <c r="G747" s="214">
        <f>ROUND(P64,0)</f>
        <v>629534</v>
      </c>
      <c r="H747" s="214">
        <f>ROUND(P65,0)</f>
        <v>5966</v>
      </c>
      <c r="I747" s="214">
        <f>ROUND(P66,0)</f>
        <v>107437</v>
      </c>
      <c r="J747" s="214">
        <f>ROUND(P67,0)</f>
        <v>372738</v>
      </c>
      <c r="K747" s="214">
        <f>ROUND(P68,0)</f>
        <v>256344</v>
      </c>
      <c r="L747" s="214">
        <f>ROUND(P69,0)</f>
        <v>62448</v>
      </c>
      <c r="M747" s="214">
        <f>ROUND(P70,0)</f>
        <v>0</v>
      </c>
      <c r="N747" s="214">
        <f>ROUND(P75,0)</f>
        <v>32759365</v>
      </c>
      <c r="O747" s="214">
        <f>ROUND(P73,0)</f>
        <v>7047727</v>
      </c>
      <c r="P747" s="214">
        <f>IF(P76&gt;0,ROUND(P76,0),0)</f>
        <v>11952</v>
      </c>
      <c r="Q747" s="214">
        <f>IF(P77&gt;0,ROUND(P77,0),0)</f>
        <v>0</v>
      </c>
      <c r="R747" s="214">
        <f>IF(P78&gt;0,ROUND(P78,0),0)</f>
        <v>4036</v>
      </c>
      <c r="S747" s="214">
        <f>IF(P79&gt;0,ROUND(P79,0),0)</f>
        <v>37824</v>
      </c>
      <c r="T747" s="216">
        <f>IF(P80&gt;0,ROUND(P80,2),0)</f>
        <v>18.940000000000001</v>
      </c>
      <c r="U747" s="214"/>
      <c r="V747" s="215"/>
      <c r="W747" s="214"/>
      <c r="X747" s="214"/>
      <c r="Y747" s="214">
        <f t="shared" si="22"/>
        <v>1587808</v>
      </c>
      <c r="Z747" s="215"/>
      <c r="AA747" s="215"/>
      <c r="AB747" s="215"/>
      <c r="AC747" s="215"/>
      <c r="AD747" s="215"/>
      <c r="AE747" s="215"/>
      <c r="AF747" s="215"/>
      <c r="AG747" s="215"/>
      <c r="AH747" s="215"/>
      <c r="AI747" s="215"/>
      <c r="AJ747" s="215"/>
      <c r="AK747" s="215"/>
      <c r="AL747" s="215"/>
      <c r="AM747" s="215"/>
      <c r="AN747" s="215"/>
      <c r="AO747" s="215"/>
      <c r="AP747" s="215"/>
      <c r="AQ747" s="215"/>
      <c r="AR747" s="215"/>
      <c r="AS747" s="215"/>
      <c r="AT747" s="215"/>
      <c r="AU747" s="215"/>
      <c r="AV747" s="215"/>
      <c r="AW747" s="215"/>
      <c r="AX747" s="215"/>
      <c r="AY747" s="215"/>
      <c r="AZ747" s="215"/>
      <c r="BA747" s="215"/>
      <c r="BB747" s="215"/>
      <c r="BC747" s="215"/>
      <c r="BD747" s="215"/>
      <c r="BE747" s="215"/>
      <c r="BF747" s="215"/>
      <c r="BG747" s="215"/>
      <c r="BH747" s="215"/>
      <c r="BI747" s="215"/>
      <c r="BJ747" s="215"/>
      <c r="BK747" s="215"/>
      <c r="BL747" s="215"/>
      <c r="BM747" s="215"/>
      <c r="BN747" s="215"/>
      <c r="BO747" s="215"/>
      <c r="BP747" s="215"/>
      <c r="BQ747" s="215"/>
      <c r="BR747" s="215"/>
      <c r="BS747" s="215"/>
      <c r="BT747" s="215"/>
      <c r="BU747" s="215"/>
      <c r="BV747" s="215"/>
      <c r="BW747" s="215"/>
      <c r="BX747" s="215"/>
      <c r="BY747" s="215"/>
      <c r="BZ747" s="215"/>
      <c r="CA747" s="215"/>
      <c r="CB747" s="215"/>
      <c r="CC747" s="215"/>
      <c r="CD747" s="215"/>
      <c r="CE747" s="215"/>
    </row>
    <row r="748" spans="1:83" ht="12.65" customHeight="1" x14ac:dyDescent="0.3">
      <c r="A748" s="160" t="str">
        <f>RIGHT($C$83,3)&amp;"*"&amp;RIGHT($C$82,4)&amp;"*"&amp;Q$55&amp;"*"&amp;"A"</f>
        <v>085*2021*7030*A</v>
      </c>
      <c r="B748" s="214">
        <f>ROUND(Q59,0)</f>
        <v>42396</v>
      </c>
      <c r="C748" s="216">
        <f>ROUND(Q60,2)</f>
        <v>2.95</v>
      </c>
      <c r="D748" s="214">
        <f>ROUND(Q61,0)</f>
        <v>669501</v>
      </c>
      <c r="E748" s="214">
        <f>ROUND(Q62,0)</f>
        <v>151006</v>
      </c>
      <c r="F748" s="214">
        <f>ROUND(Q63,0)</f>
        <v>0</v>
      </c>
      <c r="G748" s="214">
        <f>ROUND(Q64,0)</f>
        <v>31788</v>
      </c>
      <c r="H748" s="214">
        <f>ROUND(Q65,0)</f>
        <v>0</v>
      </c>
      <c r="I748" s="214">
        <f>ROUND(Q66,0)</f>
        <v>0</v>
      </c>
      <c r="J748" s="214">
        <f>ROUND(Q67,0)</f>
        <v>18369</v>
      </c>
      <c r="K748" s="214">
        <f>ROUND(Q68,0)</f>
        <v>0</v>
      </c>
      <c r="L748" s="214">
        <f>ROUND(Q69,0)</f>
        <v>0</v>
      </c>
      <c r="M748" s="214">
        <f>ROUND(Q70,0)</f>
        <v>0</v>
      </c>
      <c r="N748" s="214">
        <f>ROUND(Q75,0)</f>
        <v>5528093</v>
      </c>
      <c r="O748" s="214">
        <f>ROUND(Q73,0)</f>
        <v>449290</v>
      </c>
      <c r="P748" s="214">
        <f>IF(Q76&gt;0,ROUND(Q76,0),0)</f>
        <v>589</v>
      </c>
      <c r="Q748" s="214">
        <f>IF(Q77&gt;0,ROUND(Q77,0),0)</f>
        <v>0</v>
      </c>
      <c r="R748" s="214">
        <f>IF(Q78&gt;0,ROUND(Q78,0),0)</f>
        <v>199</v>
      </c>
      <c r="S748" s="214">
        <f>IF(Q79&gt;0,ROUND(Q79,0),0)</f>
        <v>8764</v>
      </c>
      <c r="T748" s="216">
        <f>IF(Q80&gt;0,ROUND(Q80,2),0)</f>
        <v>2.95</v>
      </c>
      <c r="U748" s="214"/>
      <c r="V748" s="215"/>
      <c r="W748" s="214"/>
      <c r="X748" s="214"/>
      <c r="Y748" s="214">
        <f t="shared" si="22"/>
        <v>299269</v>
      </c>
      <c r="Z748" s="215"/>
      <c r="AA748" s="215"/>
      <c r="AB748" s="215"/>
      <c r="AC748" s="215"/>
      <c r="AD748" s="215"/>
      <c r="AE748" s="215"/>
      <c r="AF748" s="215"/>
      <c r="AG748" s="215"/>
      <c r="AH748" s="215"/>
      <c r="AI748" s="215"/>
      <c r="AJ748" s="215"/>
      <c r="AK748" s="215"/>
      <c r="AL748" s="215"/>
      <c r="AM748" s="215"/>
      <c r="AN748" s="215"/>
      <c r="AO748" s="215"/>
      <c r="AP748" s="215"/>
      <c r="AQ748" s="215"/>
      <c r="AR748" s="215"/>
      <c r="AS748" s="215"/>
      <c r="AT748" s="215"/>
      <c r="AU748" s="215"/>
      <c r="AV748" s="215"/>
      <c r="AW748" s="215"/>
      <c r="AX748" s="215"/>
      <c r="AY748" s="215"/>
      <c r="AZ748" s="215"/>
      <c r="BA748" s="215"/>
      <c r="BB748" s="215"/>
      <c r="BC748" s="215"/>
      <c r="BD748" s="215"/>
      <c r="BE748" s="215"/>
      <c r="BF748" s="215"/>
      <c r="BG748" s="215"/>
      <c r="BH748" s="215"/>
      <c r="BI748" s="215"/>
      <c r="BJ748" s="215"/>
      <c r="BK748" s="215"/>
      <c r="BL748" s="215"/>
      <c r="BM748" s="215"/>
      <c r="BN748" s="215"/>
      <c r="BO748" s="215"/>
      <c r="BP748" s="215"/>
      <c r="BQ748" s="215"/>
      <c r="BR748" s="215"/>
      <c r="BS748" s="215"/>
      <c r="BT748" s="215"/>
      <c r="BU748" s="215"/>
      <c r="BV748" s="215"/>
      <c r="BW748" s="215"/>
      <c r="BX748" s="215"/>
      <c r="BY748" s="215"/>
      <c r="BZ748" s="215"/>
      <c r="CA748" s="215"/>
      <c r="CB748" s="215"/>
      <c r="CC748" s="215"/>
      <c r="CD748" s="215"/>
      <c r="CE748" s="215"/>
    </row>
    <row r="749" spans="1:83" ht="12.65" customHeight="1" x14ac:dyDescent="0.3">
      <c r="A749" s="160" t="str">
        <f>RIGHT($C$83,3)&amp;"*"&amp;RIGHT($C$82,4)&amp;"*"&amp;R$55&amp;"*"&amp;"A"</f>
        <v>085*2021*7040*A</v>
      </c>
      <c r="B749" s="214">
        <f>ROUND(R59,0)</f>
        <v>201254</v>
      </c>
      <c r="C749" s="216">
        <f>ROUND(R60,2)</f>
        <v>22.13</v>
      </c>
      <c r="D749" s="214">
        <f>ROUND(R61,0)</f>
        <v>1251534</v>
      </c>
      <c r="E749" s="214">
        <f>ROUND(R62,0)</f>
        <v>282284</v>
      </c>
      <c r="F749" s="214">
        <f>ROUND(R63,0)</f>
        <v>0</v>
      </c>
      <c r="G749" s="214">
        <f>ROUND(R64,0)</f>
        <v>78961</v>
      </c>
      <c r="H749" s="214">
        <f>ROUND(R65,0)</f>
        <v>0</v>
      </c>
      <c r="I749" s="214">
        <f>ROUND(R66,0)</f>
        <v>4356</v>
      </c>
      <c r="J749" s="214">
        <f>ROUND(R67,0)</f>
        <v>4241</v>
      </c>
      <c r="K749" s="214">
        <f>ROUND(R68,0)</f>
        <v>1564</v>
      </c>
      <c r="L749" s="214">
        <f>ROUND(R69,0)</f>
        <v>35672</v>
      </c>
      <c r="M749" s="214">
        <f>ROUND(R70,0)</f>
        <v>0</v>
      </c>
      <c r="N749" s="214">
        <f>ROUND(R75,0)</f>
        <v>11577346</v>
      </c>
      <c r="O749" s="214">
        <f>ROUND(R73,0)</f>
        <v>2332677</v>
      </c>
      <c r="P749" s="214">
        <f>IF(R76&gt;0,ROUND(R76,0),0)</f>
        <v>136</v>
      </c>
      <c r="Q749" s="214">
        <f>IF(R77&gt;0,ROUND(R77,0),0)</f>
        <v>0</v>
      </c>
      <c r="R749" s="214">
        <f>IF(R78&gt;0,ROUND(R78,0),0)</f>
        <v>46</v>
      </c>
      <c r="S749" s="214">
        <f>IF(R79&gt;0,ROUND(R79,0),0)</f>
        <v>7741</v>
      </c>
      <c r="T749" s="216">
        <f>IF(R80&gt;0,ROUND(R80,2),0)</f>
        <v>17.27</v>
      </c>
      <c r="U749" s="214"/>
      <c r="V749" s="215"/>
      <c r="W749" s="214"/>
      <c r="X749" s="214"/>
      <c r="Y749" s="214">
        <f t="shared" si="22"/>
        <v>885923</v>
      </c>
      <c r="Z749" s="215"/>
      <c r="AA749" s="215"/>
      <c r="AB749" s="215"/>
      <c r="AC749" s="215"/>
      <c r="AD749" s="215"/>
      <c r="AE749" s="215"/>
      <c r="AF749" s="215"/>
      <c r="AG749" s="215"/>
      <c r="AH749" s="215"/>
      <c r="AI749" s="215"/>
      <c r="AJ749" s="215"/>
      <c r="AK749" s="215"/>
      <c r="AL749" s="215"/>
      <c r="AM749" s="215"/>
      <c r="AN749" s="215"/>
      <c r="AO749" s="215"/>
      <c r="AP749" s="215"/>
      <c r="AQ749" s="215"/>
      <c r="AR749" s="215"/>
      <c r="AS749" s="215"/>
      <c r="AT749" s="215"/>
      <c r="AU749" s="215"/>
      <c r="AV749" s="215"/>
      <c r="AW749" s="215"/>
      <c r="AX749" s="215"/>
      <c r="AY749" s="215"/>
      <c r="AZ749" s="215"/>
      <c r="BA749" s="215"/>
      <c r="BB749" s="215"/>
      <c r="BC749" s="215"/>
      <c r="BD749" s="215"/>
      <c r="BE749" s="215"/>
      <c r="BF749" s="215"/>
      <c r="BG749" s="215"/>
      <c r="BH749" s="215"/>
      <c r="BI749" s="215"/>
      <c r="BJ749" s="215"/>
      <c r="BK749" s="215"/>
      <c r="BL749" s="215"/>
      <c r="BM749" s="215"/>
      <c r="BN749" s="215"/>
      <c r="BO749" s="215"/>
      <c r="BP749" s="215"/>
      <c r="BQ749" s="215"/>
      <c r="BR749" s="215"/>
      <c r="BS749" s="215"/>
      <c r="BT749" s="215"/>
      <c r="BU749" s="215"/>
      <c r="BV749" s="215"/>
      <c r="BW749" s="215"/>
      <c r="BX749" s="215"/>
      <c r="BY749" s="215"/>
      <c r="BZ749" s="215"/>
      <c r="CA749" s="215"/>
      <c r="CB749" s="215"/>
      <c r="CC749" s="215"/>
      <c r="CD749" s="215"/>
      <c r="CE749" s="215"/>
    </row>
    <row r="750" spans="1:83" ht="12.65" customHeight="1" x14ac:dyDescent="0.3">
      <c r="A750" s="160" t="str">
        <f>RIGHT($C$83,3)&amp;"*"&amp;RIGHT($C$82,4)&amp;"*"&amp;S$55&amp;"*"&amp;"A"</f>
        <v>085*2021*7050*A</v>
      </c>
      <c r="B750" s="214"/>
      <c r="C750" s="216">
        <f>ROUND(S60,2)</f>
        <v>3.78</v>
      </c>
      <c r="D750" s="214">
        <f>ROUND(S61,0)</f>
        <v>142447</v>
      </c>
      <c r="E750" s="214">
        <f>ROUND(S62,0)</f>
        <v>32129</v>
      </c>
      <c r="F750" s="214">
        <f>ROUND(S63,0)</f>
        <v>19912</v>
      </c>
      <c r="G750" s="214">
        <f>ROUND(S64,0)</f>
        <v>3363073</v>
      </c>
      <c r="H750" s="214">
        <f>ROUND(S65,0)</f>
        <v>2965</v>
      </c>
      <c r="I750" s="214">
        <f>ROUND(S66,0)</f>
        <v>5969</v>
      </c>
      <c r="J750" s="214">
        <f>ROUND(S67,0)</f>
        <v>99203</v>
      </c>
      <c r="K750" s="214">
        <f>ROUND(S68,0)</f>
        <v>39848</v>
      </c>
      <c r="L750" s="214">
        <f>ROUND(S69,0)</f>
        <v>-105097</v>
      </c>
      <c r="M750" s="214">
        <f>ROUND(S70,0)</f>
        <v>0</v>
      </c>
      <c r="N750" s="214">
        <f>ROUND(S75,0)</f>
        <v>488996</v>
      </c>
      <c r="O750" s="214">
        <f>ROUND(S73,0)</f>
        <v>10232</v>
      </c>
      <c r="P750" s="214">
        <f>IF(S76&gt;0,ROUND(S76,0),0)</f>
        <v>3181</v>
      </c>
      <c r="Q750" s="214">
        <f>IF(S77&gt;0,ROUND(S77,0),0)</f>
        <v>0</v>
      </c>
      <c r="R750" s="214">
        <f>IF(S78&gt;0,ROUND(S78,0),0)</f>
        <v>1074</v>
      </c>
      <c r="S750" s="214">
        <f>IF(S79&gt;0,ROUND(S79,0),0)</f>
        <v>0</v>
      </c>
      <c r="T750" s="216">
        <f>IF(S80&gt;0,ROUND(S80,2),0)</f>
        <v>0</v>
      </c>
      <c r="U750" s="214"/>
      <c r="V750" s="215"/>
      <c r="W750" s="214"/>
      <c r="X750" s="214"/>
      <c r="Y750" s="214">
        <f t="shared" si="22"/>
        <v>289743</v>
      </c>
      <c r="Z750" s="215"/>
      <c r="AA750" s="215"/>
      <c r="AB750" s="215"/>
      <c r="AC750" s="215"/>
      <c r="AD750" s="215"/>
      <c r="AE750" s="215"/>
      <c r="AF750" s="215"/>
      <c r="AG750" s="215"/>
      <c r="AH750" s="215"/>
      <c r="AI750" s="215"/>
      <c r="AJ750" s="215"/>
      <c r="AK750" s="215"/>
      <c r="AL750" s="215"/>
      <c r="AM750" s="215"/>
      <c r="AN750" s="215"/>
      <c r="AO750" s="215"/>
      <c r="AP750" s="215"/>
      <c r="AQ750" s="215"/>
      <c r="AR750" s="215"/>
      <c r="AS750" s="215"/>
      <c r="AT750" s="215"/>
      <c r="AU750" s="215"/>
      <c r="AV750" s="215"/>
      <c r="AW750" s="215"/>
      <c r="AX750" s="215"/>
      <c r="AY750" s="215"/>
      <c r="AZ750" s="215"/>
      <c r="BA750" s="215"/>
      <c r="BB750" s="215"/>
      <c r="BC750" s="215"/>
      <c r="BD750" s="215"/>
      <c r="BE750" s="215"/>
      <c r="BF750" s="215"/>
      <c r="BG750" s="215"/>
      <c r="BH750" s="215"/>
      <c r="BI750" s="215"/>
      <c r="BJ750" s="215"/>
      <c r="BK750" s="215"/>
      <c r="BL750" s="215"/>
      <c r="BM750" s="215"/>
      <c r="BN750" s="215"/>
      <c r="BO750" s="215"/>
      <c r="BP750" s="215"/>
      <c r="BQ750" s="215"/>
      <c r="BR750" s="215"/>
      <c r="BS750" s="215"/>
      <c r="BT750" s="215"/>
      <c r="BU750" s="215"/>
      <c r="BV750" s="215"/>
      <c r="BW750" s="215"/>
      <c r="BX750" s="215"/>
      <c r="BY750" s="215"/>
      <c r="BZ750" s="215"/>
      <c r="CA750" s="215"/>
      <c r="CB750" s="215"/>
      <c r="CC750" s="215"/>
      <c r="CD750" s="215"/>
      <c r="CE750" s="215"/>
    </row>
    <row r="751" spans="1:83" ht="12.65" customHeight="1" x14ac:dyDescent="0.3">
      <c r="A751" s="160" t="str">
        <f>RIGHT($C$83,3)&amp;"*"&amp;RIGHT($C$82,4)&amp;"*"&amp;T$55&amp;"*"&amp;"A"</f>
        <v>085*2021*7060*A</v>
      </c>
      <c r="B751" s="214"/>
      <c r="C751" s="216">
        <f>ROUND(T60,2)</f>
        <v>0</v>
      </c>
      <c r="D751" s="214">
        <f>ROUND(T61,0)</f>
        <v>0</v>
      </c>
      <c r="E751" s="214">
        <f>ROUND(T62,0)</f>
        <v>0</v>
      </c>
      <c r="F751" s="214">
        <f>ROUND(T63,0)</f>
        <v>0</v>
      </c>
      <c r="G751" s="214">
        <f>ROUND(T64,0)</f>
        <v>0</v>
      </c>
      <c r="H751" s="214">
        <f>ROUND(T65,0)</f>
        <v>0</v>
      </c>
      <c r="I751" s="214">
        <f>ROUND(T66,0)</f>
        <v>0</v>
      </c>
      <c r="J751" s="214">
        <f>ROUND(T67,0)</f>
        <v>0</v>
      </c>
      <c r="K751" s="214">
        <f>ROUND(T68,0)</f>
        <v>0</v>
      </c>
      <c r="L751" s="214">
        <f>ROUND(T69,0)</f>
        <v>0</v>
      </c>
      <c r="M751" s="214">
        <f>ROUND(T70,0)</f>
        <v>0</v>
      </c>
      <c r="N751" s="214">
        <f>ROUND(T75,0)</f>
        <v>0</v>
      </c>
      <c r="O751" s="214">
        <f>ROUND(T73,0)</f>
        <v>0</v>
      </c>
      <c r="P751" s="214">
        <f>IF(T76&gt;0,ROUND(T76,0),0)</f>
        <v>0</v>
      </c>
      <c r="Q751" s="214">
        <f>IF(T77&gt;0,ROUND(T77,0),0)</f>
        <v>0</v>
      </c>
      <c r="R751" s="214">
        <f>IF(T78&gt;0,ROUND(T78,0),0)</f>
        <v>0</v>
      </c>
      <c r="S751" s="214">
        <f>IF(T79&gt;0,ROUND(T79,0),0)</f>
        <v>0</v>
      </c>
      <c r="T751" s="216">
        <f>IF(T80&gt;0,ROUND(T80,2),0)</f>
        <v>0</v>
      </c>
      <c r="U751" s="214"/>
      <c r="V751" s="215"/>
      <c r="W751" s="214"/>
      <c r="X751" s="214"/>
      <c r="Y751" s="214">
        <f t="shared" si="22"/>
        <v>0</v>
      </c>
      <c r="Z751" s="215"/>
      <c r="AA751" s="215"/>
      <c r="AB751" s="215"/>
      <c r="AC751" s="215"/>
      <c r="AD751" s="215"/>
      <c r="AE751" s="215"/>
      <c r="AF751" s="215"/>
      <c r="AG751" s="215"/>
      <c r="AH751" s="215"/>
      <c r="AI751" s="215"/>
      <c r="AJ751" s="215"/>
      <c r="AK751" s="215"/>
      <c r="AL751" s="215"/>
      <c r="AM751" s="215"/>
      <c r="AN751" s="215"/>
      <c r="AO751" s="215"/>
      <c r="AP751" s="215"/>
      <c r="AQ751" s="215"/>
      <c r="AR751" s="215"/>
      <c r="AS751" s="215"/>
      <c r="AT751" s="215"/>
      <c r="AU751" s="215"/>
      <c r="AV751" s="215"/>
      <c r="AW751" s="215"/>
      <c r="AX751" s="215"/>
      <c r="AY751" s="215"/>
      <c r="AZ751" s="215"/>
      <c r="BA751" s="215"/>
      <c r="BB751" s="215"/>
      <c r="BC751" s="215"/>
      <c r="BD751" s="215"/>
      <c r="BE751" s="215"/>
      <c r="BF751" s="215"/>
      <c r="BG751" s="215"/>
      <c r="BH751" s="215"/>
      <c r="BI751" s="215"/>
      <c r="BJ751" s="215"/>
      <c r="BK751" s="215"/>
      <c r="BL751" s="215"/>
      <c r="BM751" s="215"/>
      <c r="BN751" s="215"/>
      <c r="BO751" s="215"/>
      <c r="BP751" s="215"/>
      <c r="BQ751" s="215"/>
      <c r="BR751" s="215"/>
      <c r="BS751" s="215"/>
      <c r="BT751" s="215"/>
      <c r="BU751" s="215"/>
      <c r="BV751" s="215"/>
      <c r="BW751" s="215"/>
      <c r="BX751" s="215"/>
      <c r="BY751" s="215"/>
      <c r="BZ751" s="215"/>
      <c r="CA751" s="215"/>
      <c r="CB751" s="215"/>
      <c r="CC751" s="215"/>
      <c r="CD751" s="215"/>
      <c r="CE751" s="215"/>
    </row>
    <row r="752" spans="1:83" ht="12.65" customHeight="1" x14ac:dyDescent="0.3">
      <c r="A752" s="160" t="str">
        <f>RIGHT($C$83,3)&amp;"*"&amp;RIGHT($C$82,4)&amp;"*"&amp;U$55&amp;"*"&amp;"A"</f>
        <v>085*2021*7070*A</v>
      </c>
      <c r="B752" s="214">
        <f>ROUND(U59,0)</f>
        <v>275292</v>
      </c>
      <c r="C752" s="216">
        <f>ROUND(U60,2)</f>
        <v>26.64</v>
      </c>
      <c r="D752" s="214">
        <f>ROUND(U61,0)</f>
        <v>1820987</v>
      </c>
      <c r="E752" s="214">
        <f>ROUND(U62,0)</f>
        <v>410724</v>
      </c>
      <c r="F752" s="214">
        <f>ROUND(U63,0)</f>
        <v>372280</v>
      </c>
      <c r="G752" s="214">
        <f>ROUND(U64,0)</f>
        <v>1960189</v>
      </c>
      <c r="H752" s="214">
        <f>ROUND(U65,0)</f>
        <v>364</v>
      </c>
      <c r="I752" s="214">
        <f>ROUND(U66,0)</f>
        <v>2569293</v>
      </c>
      <c r="J752" s="214">
        <f>ROUND(U67,0)</f>
        <v>122281</v>
      </c>
      <c r="K752" s="214">
        <f>ROUND(U68,0)</f>
        <v>172731</v>
      </c>
      <c r="L752" s="214">
        <f>ROUND(U69,0)</f>
        <v>158620</v>
      </c>
      <c r="M752" s="214">
        <f>ROUND(U70,0)</f>
        <v>0</v>
      </c>
      <c r="N752" s="214">
        <f>ROUND(U75,0)</f>
        <v>22613512</v>
      </c>
      <c r="O752" s="214">
        <f>ROUND(U73,0)</f>
        <v>2130036</v>
      </c>
      <c r="P752" s="214">
        <f>IF(U76&gt;0,ROUND(U76,0),0)</f>
        <v>3921</v>
      </c>
      <c r="Q752" s="214">
        <f>IF(U77&gt;0,ROUND(U77,0),0)</f>
        <v>0</v>
      </c>
      <c r="R752" s="214">
        <f>IF(U78&gt;0,ROUND(U78,0),0)</f>
        <v>1324</v>
      </c>
      <c r="S752" s="214">
        <f>IF(U79&gt;0,ROUND(U79,0),0)</f>
        <v>330</v>
      </c>
      <c r="T752" s="216">
        <f>IF(U80&gt;0,ROUND(U80,2),0)</f>
        <v>5.33</v>
      </c>
      <c r="U752" s="214"/>
      <c r="V752" s="215"/>
      <c r="W752" s="214"/>
      <c r="X752" s="214"/>
      <c r="Y752" s="214">
        <f t="shared" si="22"/>
        <v>1362651</v>
      </c>
      <c r="Z752" s="215"/>
      <c r="AA752" s="215"/>
      <c r="AB752" s="215"/>
      <c r="AC752" s="215"/>
      <c r="AD752" s="215"/>
      <c r="AE752" s="215"/>
      <c r="AF752" s="215"/>
      <c r="AG752" s="215"/>
      <c r="AH752" s="215"/>
      <c r="AI752" s="215"/>
      <c r="AJ752" s="215"/>
      <c r="AK752" s="215"/>
      <c r="AL752" s="215"/>
      <c r="AM752" s="215"/>
      <c r="AN752" s="215"/>
      <c r="AO752" s="215"/>
      <c r="AP752" s="215"/>
      <c r="AQ752" s="215"/>
      <c r="AR752" s="215"/>
      <c r="AS752" s="215"/>
      <c r="AT752" s="215"/>
      <c r="AU752" s="215"/>
      <c r="AV752" s="215"/>
      <c r="AW752" s="215"/>
      <c r="AX752" s="215"/>
      <c r="AY752" s="215"/>
      <c r="AZ752" s="215"/>
      <c r="BA752" s="215"/>
      <c r="BB752" s="215"/>
      <c r="BC752" s="215"/>
      <c r="BD752" s="215"/>
      <c r="BE752" s="215"/>
      <c r="BF752" s="215"/>
      <c r="BG752" s="215"/>
      <c r="BH752" s="215"/>
      <c r="BI752" s="215"/>
      <c r="BJ752" s="215"/>
      <c r="BK752" s="215"/>
      <c r="BL752" s="215"/>
      <c r="BM752" s="215"/>
      <c r="BN752" s="215"/>
      <c r="BO752" s="215"/>
      <c r="BP752" s="215"/>
      <c r="BQ752" s="215"/>
      <c r="BR752" s="215"/>
      <c r="BS752" s="215"/>
      <c r="BT752" s="215"/>
      <c r="BU752" s="215"/>
      <c r="BV752" s="215"/>
      <c r="BW752" s="215"/>
      <c r="BX752" s="215"/>
      <c r="BY752" s="215"/>
      <c r="BZ752" s="215"/>
      <c r="CA752" s="215"/>
      <c r="CB752" s="215"/>
      <c r="CC752" s="215"/>
      <c r="CD752" s="215"/>
      <c r="CE752" s="215"/>
    </row>
    <row r="753" spans="1:83" ht="12.65" customHeight="1" x14ac:dyDescent="0.3">
      <c r="A753" s="160" t="str">
        <f>RIGHT($C$83,3)&amp;"*"&amp;RIGHT($C$82,4)&amp;"*"&amp;V$55&amp;"*"&amp;"A"</f>
        <v>085*2021*7110*A</v>
      </c>
      <c r="B753" s="214">
        <f>ROUND(V59,0)</f>
        <v>0</v>
      </c>
      <c r="C753" s="216">
        <f>ROUND(V60,2)</f>
        <v>0</v>
      </c>
      <c r="D753" s="214">
        <f>ROUND(V61,0)</f>
        <v>0</v>
      </c>
      <c r="E753" s="214">
        <f>ROUND(V62,0)</f>
        <v>0</v>
      </c>
      <c r="F753" s="214">
        <f>ROUND(V63,0)</f>
        <v>0</v>
      </c>
      <c r="G753" s="214">
        <f>ROUND(V64,0)</f>
        <v>0</v>
      </c>
      <c r="H753" s="214">
        <f>ROUND(V65,0)</f>
        <v>0</v>
      </c>
      <c r="I753" s="214">
        <f>ROUND(V66,0)</f>
        <v>0</v>
      </c>
      <c r="J753" s="214">
        <f>ROUND(V67,0)</f>
        <v>0</v>
      </c>
      <c r="K753" s="214">
        <f>ROUND(V68,0)</f>
        <v>0</v>
      </c>
      <c r="L753" s="214">
        <f>ROUND(V69,0)</f>
        <v>0</v>
      </c>
      <c r="M753" s="214">
        <f>ROUND(V70,0)</f>
        <v>0</v>
      </c>
      <c r="N753" s="214">
        <f>ROUND(V75,0)</f>
        <v>0</v>
      </c>
      <c r="O753" s="214">
        <f>ROUND(V73,0)</f>
        <v>0</v>
      </c>
      <c r="P753" s="214">
        <f>IF(V76&gt;0,ROUND(V76,0),0)</f>
        <v>0</v>
      </c>
      <c r="Q753" s="214">
        <f>IF(V77&gt;0,ROUND(V77,0),0)</f>
        <v>0</v>
      </c>
      <c r="R753" s="214">
        <f>IF(V78&gt;0,ROUND(V78,0),0)</f>
        <v>0</v>
      </c>
      <c r="S753" s="214">
        <f>IF(V79&gt;0,ROUND(V79,0),0)</f>
        <v>0</v>
      </c>
      <c r="T753" s="216">
        <f>IF(V80&gt;0,ROUND(V80,2),0)</f>
        <v>0</v>
      </c>
      <c r="U753" s="214"/>
      <c r="V753" s="215"/>
      <c r="W753" s="214"/>
      <c r="X753" s="214"/>
      <c r="Y753" s="214">
        <f t="shared" si="22"/>
        <v>0</v>
      </c>
      <c r="Z753" s="215"/>
      <c r="AA753" s="215"/>
      <c r="AB753" s="215"/>
      <c r="AC753" s="215"/>
      <c r="AD753" s="215"/>
      <c r="AE753" s="215"/>
      <c r="AF753" s="215"/>
      <c r="AG753" s="215"/>
      <c r="AH753" s="215"/>
      <c r="AI753" s="215"/>
      <c r="AJ753" s="215"/>
      <c r="AK753" s="215"/>
      <c r="AL753" s="215"/>
      <c r="AM753" s="215"/>
      <c r="AN753" s="215"/>
      <c r="AO753" s="215"/>
      <c r="AP753" s="215"/>
      <c r="AQ753" s="215"/>
      <c r="AR753" s="215"/>
      <c r="AS753" s="215"/>
      <c r="AT753" s="215"/>
      <c r="AU753" s="215"/>
      <c r="AV753" s="215"/>
      <c r="AW753" s="215"/>
      <c r="AX753" s="215"/>
      <c r="AY753" s="215"/>
      <c r="AZ753" s="215"/>
      <c r="BA753" s="215"/>
      <c r="BB753" s="215"/>
      <c r="BC753" s="215"/>
      <c r="BD753" s="215"/>
      <c r="BE753" s="215"/>
      <c r="BF753" s="215"/>
      <c r="BG753" s="215"/>
      <c r="BH753" s="215"/>
      <c r="BI753" s="215"/>
      <c r="BJ753" s="215"/>
      <c r="BK753" s="215"/>
      <c r="BL753" s="215"/>
      <c r="BM753" s="215"/>
      <c r="BN753" s="215"/>
      <c r="BO753" s="215"/>
      <c r="BP753" s="215"/>
      <c r="BQ753" s="215"/>
      <c r="BR753" s="215"/>
      <c r="BS753" s="215"/>
      <c r="BT753" s="215"/>
      <c r="BU753" s="215"/>
      <c r="BV753" s="215"/>
      <c r="BW753" s="215"/>
      <c r="BX753" s="215"/>
      <c r="BY753" s="215"/>
      <c r="BZ753" s="215"/>
      <c r="CA753" s="215"/>
      <c r="CB753" s="215"/>
      <c r="CC753" s="215"/>
      <c r="CD753" s="215"/>
      <c r="CE753" s="215"/>
    </row>
    <row r="754" spans="1:83" ht="12.65" customHeight="1" x14ac:dyDescent="0.3">
      <c r="A754" s="160" t="str">
        <f>RIGHT($C$83,3)&amp;"*"&amp;RIGHT($C$82,4)&amp;"*"&amp;W$55&amp;"*"&amp;"A"</f>
        <v>085*2021*7120*A</v>
      </c>
      <c r="B754" s="214">
        <f>ROUND(W59,0)</f>
        <v>2482</v>
      </c>
      <c r="C754" s="216">
        <f>ROUND(W60,2)</f>
        <v>1.65</v>
      </c>
      <c r="D754" s="214">
        <f>ROUND(W61,0)</f>
        <v>142747</v>
      </c>
      <c r="E754" s="214">
        <f>ROUND(W62,0)</f>
        <v>32197</v>
      </c>
      <c r="F754" s="214">
        <f>ROUND(W63,0)</f>
        <v>2540</v>
      </c>
      <c r="G754" s="214">
        <f>ROUND(W64,0)</f>
        <v>27929</v>
      </c>
      <c r="H754" s="214">
        <f>ROUND(W65,0)</f>
        <v>0</v>
      </c>
      <c r="I754" s="214">
        <f>ROUND(W66,0)</f>
        <v>17975</v>
      </c>
      <c r="J754" s="214">
        <f>ROUND(W67,0)</f>
        <v>13566</v>
      </c>
      <c r="K754" s="214">
        <f>ROUND(W68,0)</f>
        <v>17791</v>
      </c>
      <c r="L754" s="214">
        <f>ROUND(W69,0)</f>
        <v>24306</v>
      </c>
      <c r="M754" s="214">
        <f>ROUND(W70,0)</f>
        <v>0</v>
      </c>
      <c r="N754" s="214">
        <f>ROUND(W75,0)</f>
        <v>5869949</v>
      </c>
      <c r="O754" s="214">
        <f>ROUND(W73,0)</f>
        <v>290978</v>
      </c>
      <c r="P754" s="214">
        <f>IF(W76&gt;0,ROUND(W76,0),0)</f>
        <v>435</v>
      </c>
      <c r="Q754" s="214">
        <f>IF(W77&gt;0,ROUND(W77,0),0)</f>
        <v>0</v>
      </c>
      <c r="R754" s="214">
        <f>IF(W78&gt;0,ROUND(W78,0),0)</f>
        <v>147</v>
      </c>
      <c r="S754" s="214">
        <f>IF(W79&gt;0,ROUND(W79,0),0)</f>
        <v>2208</v>
      </c>
      <c r="T754" s="216">
        <f>IF(W80&gt;0,ROUND(W80,2),0)</f>
        <v>0</v>
      </c>
      <c r="U754" s="214"/>
      <c r="V754" s="215"/>
      <c r="W754" s="214"/>
      <c r="X754" s="214"/>
      <c r="Y754" s="214">
        <f t="shared" si="22"/>
        <v>197572</v>
      </c>
      <c r="Z754" s="215"/>
      <c r="AA754" s="215"/>
      <c r="AB754" s="215"/>
      <c r="AC754" s="215"/>
      <c r="AD754" s="215"/>
      <c r="AE754" s="215"/>
      <c r="AF754" s="215"/>
      <c r="AG754" s="215"/>
      <c r="AH754" s="215"/>
      <c r="AI754" s="215"/>
      <c r="AJ754" s="215"/>
      <c r="AK754" s="215"/>
      <c r="AL754" s="215"/>
      <c r="AM754" s="215"/>
      <c r="AN754" s="215"/>
      <c r="AO754" s="215"/>
      <c r="AP754" s="215"/>
      <c r="AQ754" s="215"/>
      <c r="AR754" s="215"/>
      <c r="AS754" s="215"/>
      <c r="AT754" s="215"/>
      <c r="AU754" s="215"/>
      <c r="AV754" s="215"/>
      <c r="AW754" s="215"/>
      <c r="AX754" s="215"/>
      <c r="AY754" s="215"/>
      <c r="AZ754" s="215"/>
      <c r="BA754" s="215"/>
      <c r="BB754" s="215"/>
      <c r="BC754" s="215"/>
      <c r="BD754" s="215"/>
      <c r="BE754" s="215"/>
      <c r="BF754" s="215"/>
      <c r="BG754" s="215"/>
      <c r="BH754" s="215"/>
      <c r="BI754" s="215"/>
      <c r="BJ754" s="215"/>
      <c r="BK754" s="215"/>
      <c r="BL754" s="215"/>
      <c r="BM754" s="215"/>
      <c r="BN754" s="215"/>
      <c r="BO754" s="215"/>
      <c r="BP754" s="215"/>
      <c r="BQ754" s="215"/>
      <c r="BR754" s="215"/>
      <c r="BS754" s="215"/>
      <c r="BT754" s="215"/>
      <c r="BU754" s="215"/>
      <c r="BV754" s="215"/>
      <c r="BW754" s="215"/>
      <c r="BX754" s="215"/>
      <c r="BY754" s="215"/>
      <c r="BZ754" s="215"/>
      <c r="CA754" s="215"/>
      <c r="CB754" s="215"/>
      <c r="CC754" s="215"/>
      <c r="CD754" s="215"/>
      <c r="CE754" s="215"/>
    </row>
    <row r="755" spans="1:83" ht="12.65" customHeight="1" x14ac:dyDescent="0.3">
      <c r="A755" s="160" t="str">
        <f>RIGHT($C$83,3)&amp;"*"&amp;RIGHT($C$82,4)&amp;"*"&amp;X$55&amp;"*"&amp;"A"</f>
        <v>085*2021*7130*A</v>
      </c>
      <c r="B755" s="214">
        <f>ROUND(X59,0)</f>
        <v>6915</v>
      </c>
      <c r="C755" s="216">
        <f>ROUND(X60,2)</f>
        <v>4.59</v>
      </c>
      <c r="D755" s="214">
        <f>ROUND(X61,0)</f>
        <v>397701</v>
      </c>
      <c r="E755" s="214">
        <f>ROUND(X62,0)</f>
        <v>89702</v>
      </c>
      <c r="F755" s="214">
        <f>ROUND(X63,0)</f>
        <v>7077</v>
      </c>
      <c r="G755" s="214">
        <f>ROUND(X64,0)</f>
        <v>77811</v>
      </c>
      <c r="H755" s="214">
        <f>ROUND(X65,0)</f>
        <v>0</v>
      </c>
      <c r="I755" s="214">
        <f>ROUND(X66,0)</f>
        <v>50079</v>
      </c>
      <c r="J755" s="214">
        <f>ROUND(X67,0)</f>
        <v>37829</v>
      </c>
      <c r="K755" s="214">
        <f>ROUND(X68,0)</f>
        <v>49565</v>
      </c>
      <c r="L755" s="214">
        <f>ROUND(X69,0)</f>
        <v>67718</v>
      </c>
      <c r="M755" s="214">
        <f>ROUND(X70,0)</f>
        <v>0</v>
      </c>
      <c r="N755" s="214">
        <f>ROUND(X75,0)</f>
        <v>17429912</v>
      </c>
      <c r="O755" s="214">
        <f>ROUND(X73,0)</f>
        <v>1301388</v>
      </c>
      <c r="P755" s="214">
        <f>IF(X76&gt;0,ROUND(X76,0),0)</f>
        <v>1213</v>
      </c>
      <c r="Q755" s="214">
        <f>IF(X77&gt;0,ROUND(X77,0),0)</f>
        <v>0</v>
      </c>
      <c r="R755" s="214">
        <f>IF(X78&gt;0,ROUND(X78,0),0)</f>
        <v>409</v>
      </c>
      <c r="S755" s="214">
        <f>IF(X79&gt;0,ROUND(X79,0),0)</f>
        <v>6153</v>
      </c>
      <c r="T755" s="216">
        <f>IF(X80&gt;0,ROUND(X80,2),0)</f>
        <v>0</v>
      </c>
      <c r="U755" s="214"/>
      <c r="V755" s="215"/>
      <c r="W755" s="214"/>
      <c r="X755" s="214"/>
      <c r="Y755" s="214">
        <f t="shared" si="22"/>
        <v>582354</v>
      </c>
      <c r="Z755" s="215"/>
      <c r="AA755" s="215"/>
      <c r="AB755" s="215"/>
      <c r="AC755" s="215"/>
      <c r="AD755" s="215"/>
      <c r="AE755" s="215"/>
      <c r="AF755" s="215"/>
      <c r="AG755" s="215"/>
      <c r="AH755" s="215"/>
      <c r="AI755" s="215"/>
      <c r="AJ755" s="215"/>
      <c r="AK755" s="215"/>
      <c r="AL755" s="215"/>
      <c r="AM755" s="215"/>
      <c r="AN755" s="215"/>
      <c r="AO755" s="215"/>
      <c r="AP755" s="215"/>
      <c r="AQ755" s="215"/>
      <c r="AR755" s="215"/>
      <c r="AS755" s="215"/>
      <c r="AT755" s="215"/>
      <c r="AU755" s="215"/>
      <c r="AV755" s="215"/>
      <c r="AW755" s="215"/>
      <c r="AX755" s="215"/>
      <c r="AY755" s="215"/>
      <c r="AZ755" s="215"/>
      <c r="BA755" s="215"/>
      <c r="BB755" s="215"/>
      <c r="BC755" s="215"/>
      <c r="BD755" s="215"/>
      <c r="BE755" s="215"/>
      <c r="BF755" s="215"/>
      <c r="BG755" s="215"/>
      <c r="BH755" s="215"/>
      <c r="BI755" s="215"/>
      <c r="BJ755" s="215"/>
      <c r="BK755" s="215"/>
      <c r="BL755" s="215"/>
      <c r="BM755" s="215"/>
      <c r="BN755" s="215"/>
      <c r="BO755" s="215"/>
      <c r="BP755" s="215"/>
      <c r="BQ755" s="215"/>
      <c r="BR755" s="215"/>
      <c r="BS755" s="215"/>
      <c r="BT755" s="215"/>
      <c r="BU755" s="215"/>
      <c r="BV755" s="215"/>
      <c r="BW755" s="215"/>
      <c r="BX755" s="215"/>
      <c r="BY755" s="215"/>
      <c r="BZ755" s="215"/>
      <c r="CA755" s="215"/>
      <c r="CB755" s="215"/>
      <c r="CC755" s="215"/>
      <c r="CD755" s="215"/>
      <c r="CE755" s="215"/>
    </row>
    <row r="756" spans="1:83" ht="12.65" customHeight="1" x14ac:dyDescent="0.3">
      <c r="A756" s="160" t="str">
        <f>RIGHT($C$83,3)&amp;"*"&amp;RIGHT($C$82,4)&amp;"*"&amp;Y$55&amp;"*"&amp;"A"</f>
        <v>085*2021*7140*A</v>
      </c>
      <c r="B756" s="214">
        <f>ROUND(Y59,0)</f>
        <v>27682</v>
      </c>
      <c r="C756" s="216">
        <f>ROUND(Y60,2)</f>
        <v>18.38</v>
      </c>
      <c r="D756" s="214">
        <f>ROUND(Y61,0)</f>
        <v>1592071</v>
      </c>
      <c r="E756" s="214">
        <f>ROUND(Y62,0)</f>
        <v>359092</v>
      </c>
      <c r="F756" s="214">
        <f>ROUND(Y63,0)</f>
        <v>28332</v>
      </c>
      <c r="G756" s="214">
        <f>ROUND(Y64,0)</f>
        <v>311490</v>
      </c>
      <c r="H756" s="214">
        <f>ROUND(Y65,0)</f>
        <v>0</v>
      </c>
      <c r="I756" s="214">
        <f>ROUND(Y66,0)</f>
        <v>200473</v>
      </c>
      <c r="J756" s="214">
        <f>ROUND(Y67,0)</f>
        <v>151409</v>
      </c>
      <c r="K756" s="214">
        <f>ROUND(Y68,0)</f>
        <v>198420</v>
      </c>
      <c r="L756" s="214">
        <f>ROUND(Y69,0)</f>
        <v>271087</v>
      </c>
      <c r="M756" s="214">
        <f>ROUND(Y70,0)</f>
        <v>0</v>
      </c>
      <c r="N756" s="214">
        <f>ROUND(Y75,0)</f>
        <v>14549562</v>
      </c>
      <c r="O756" s="214">
        <f>ROUND(Y73,0)</f>
        <v>1248110</v>
      </c>
      <c r="P756" s="214">
        <f>IF(Y76&gt;0,ROUND(Y76,0),0)</f>
        <v>4855</v>
      </c>
      <c r="Q756" s="214">
        <f>IF(Y77&gt;0,ROUND(Y77,0),0)</f>
        <v>0</v>
      </c>
      <c r="R756" s="214">
        <f>IF(Y78&gt;0,ROUND(Y78,0),0)</f>
        <v>1639</v>
      </c>
      <c r="S756" s="214">
        <f>IF(Y79&gt;0,ROUND(Y79,0),0)</f>
        <v>24631</v>
      </c>
      <c r="T756" s="216">
        <f>IF(Y80&gt;0,ROUND(Y80,2),0)</f>
        <v>0</v>
      </c>
      <c r="U756" s="214"/>
      <c r="V756" s="215"/>
      <c r="W756" s="214"/>
      <c r="X756" s="214"/>
      <c r="Y756" s="214">
        <f t="shared" si="22"/>
        <v>689934</v>
      </c>
      <c r="Z756" s="215"/>
      <c r="AA756" s="215"/>
      <c r="AB756" s="215"/>
      <c r="AC756" s="215"/>
      <c r="AD756" s="215"/>
      <c r="AE756" s="215"/>
      <c r="AF756" s="215"/>
      <c r="AG756" s="215"/>
      <c r="AH756" s="215"/>
      <c r="AI756" s="215"/>
      <c r="AJ756" s="215"/>
      <c r="AK756" s="215"/>
      <c r="AL756" s="215"/>
      <c r="AM756" s="215"/>
      <c r="AN756" s="215"/>
      <c r="AO756" s="215"/>
      <c r="AP756" s="215"/>
      <c r="AQ756" s="215"/>
      <c r="AR756" s="215"/>
      <c r="AS756" s="215"/>
      <c r="AT756" s="215"/>
      <c r="AU756" s="215"/>
      <c r="AV756" s="215"/>
      <c r="AW756" s="215"/>
      <c r="AX756" s="215"/>
      <c r="AY756" s="215"/>
      <c r="AZ756" s="215"/>
      <c r="BA756" s="215"/>
      <c r="BB756" s="215"/>
      <c r="BC756" s="215"/>
      <c r="BD756" s="215"/>
      <c r="BE756" s="215"/>
      <c r="BF756" s="215"/>
      <c r="BG756" s="215"/>
      <c r="BH756" s="215"/>
      <c r="BI756" s="215"/>
      <c r="BJ756" s="215"/>
      <c r="BK756" s="215"/>
      <c r="BL756" s="215"/>
      <c r="BM756" s="215"/>
      <c r="BN756" s="215"/>
      <c r="BO756" s="215"/>
      <c r="BP756" s="215"/>
      <c r="BQ756" s="215"/>
      <c r="BR756" s="215"/>
      <c r="BS756" s="215"/>
      <c r="BT756" s="215"/>
      <c r="BU756" s="215"/>
      <c r="BV756" s="215"/>
      <c r="BW756" s="215"/>
      <c r="BX756" s="215"/>
      <c r="BY756" s="215"/>
      <c r="BZ756" s="215"/>
      <c r="CA756" s="215"/>
      <c r="CB756" s="215"/>
      <c r="CC756" s="215"/>
      <c r="CD756" s="215"/>
      <c r="CE756" s="215"/>
    </row>
    <row r="757" spans="1:83" ht="12.65" customHeight="1" x14ac:dyDescent="0.3">
      <c r="A757" s="160" t="str">
        <f>RIGHT($C$83,3)&amp;"*"&amp;RIGHT($C$82,4)&amp;"*"&amp;Z$55&amp;"*"&amp;"A"</f>
        <v>085*2021*7150*A</v>
      </c>
      <c r="B757" s="214">
        <f>ROUND(Z59,0)</f>
        <v>0</v>
      </c>
      <c r="C757" s="216">
        <f>ROUND(Z60,2)</f>
        <v>0</v>
      </c>
      <c r="D757" s="214">
        <f>ROUND(Z61,0)</f>
        <v>0</v>
      </c>
      <c r="E757" s="214">
        <f>ROUND(Z62,0)</f>
        <v>0</v>
      </c>
      <c r="F757" s="214">
        <f>ROUND(Z63,0)</f>
        <v>0</v>
      </c>
      <c r="G757" s="214">
        <f>ROUND(Z64,0)</f>
        <v>0</v>
      </c>
      <c r="H757" s="214">
        <f>ROUND(Z65,0)</f>
        <v>0</v>
      </c>
      <c r="I757" s="214">
        <f>ROUND(Z66,0)</f>
        <v>0</v>
      </c>
      <c r="J757" s="214">
        <f>ROUND(Z67,0)</f>
        <v>0</v>
      </c>
      <c r="K757" s="214">
        <f>ROUND(Z68,0)</f>
        <v>0</v>
      </c>
      <c r="L757" s="214">
        <f>ROUND(Z69,0)</f>
        <v>0</v>
      </c>
      <c r="M757" s="214">
        <f>ROUND(Z70,0)</f>
        <v>0</v>
      </c>
      <c r="N757" s="214">
        <f>ROUND(Z75,0)</f>
        <v>0</v>
      </c>
      <c r="O757" s="214">
        <f>ROUND(Z73,0)</f>
        <v>0</v>
      </c>
      <c r="P757" s="214">
        <f>IF(Z76&gt;0,ROUND(Z76,0),0)</f>
        <v>0</v>
      </c>
      <c r="Q757" s="214">
        <f>IF(Z77&gt;0,ROUND(Z77,0),0)</f>
        <v>0</v>
      </c>
      <c r="R757" s="214">
        <f>IF(Z78&gt;0,ROUND(Z78,0),0)</f>
        <v>0</v>
      </c>
      <c r="S757" s="214">
        <f>IF(Z79&gt;0,ROUND(Z79,0),0)</f>
        <v>0</v>
      </c>
      <c r="T757" s="216">
        <f>IF(Z80&gt;0,ROUND(Z80,2),0)</f>
        <v>0</v>
      </c>
      <c r="U757" s="214"/>
      <c r="V757" s="215"/>
      <c r="W757" s="214"/>
      <c r="X757" s="214"/>
      <c r="Y757" s="214">
        <f t="shared" si="22"/>
        <v>0</v>
      </c>
      <c r="Z757" s="215"/>
      <c r="AA757" s="215"/>
      <c r="AB757" s="215"/>
      <c r="AC757" s="215"/>
      <c r="AD757" s="215"/>
      <c r="AE757" s="215"/>
      <c r="AF757" s="215"/>
      <c r="AG757" s="215"/>
      <c r="AH757" s="215"/>
      <c r="AI757" s="215"/>
      <c r="AJ757" s="215"/>
      <c r="AK757" s="215"/>
      <c r="AL757" s="215"/>
      <c r="AM757" s="215"/>
      <c r="AN757" s="215"/>
      <c r="AO757" s="215"/>
      <c r="AP757" s="215"/>
      <c r="AQ757" s="215"/>
      <c r="AR757" s="215"/>
      <c r="AS757" s="215"/>
      <c r="AT757" s="215"/>
      <c r="AU757" s="215"/>
      <c r="AV757" s="215"/>
      <c r="AW757" s="215"/>
      <c r="AX757" s="215"/>
      <c r="AY757" s="215"/>
      <c r="AZ757" s="215"/>
      <c r="BA757" s="215"/>
      <c r="BB757" s="215"/>
      <c r="BC757" s="215"/>
      <c r="BD757" s="215"/>
      <c r="BE757" s="215"/>
      <c r="BF757" s="215"/>
      <c r="BG757" s="215"/>
      <c r="BH757" s="215"/>
      <c r="BI757" s="215"/>
      <c r="BJ757" s="215"/>
      <c r="BK757" s="215"/>
      <c r="BL757" s="215"/>
      <c r="BM757" s="215"/>
      <c r="BN757" s="215"/>
      <c r="BO757" s="215"/>
      <c r="BP757" s="215"/>
      <c r="BQ757" s="215"/>
      <c r="BR757" s="215"/>
      <c r="BS757" s="215"/>
      <c r="BT757" s="215"/>
      <c r="BU757" s="215"/>
      <c r="BV757" s="215"/>
      <c r="BW757" s="215"/>
      <c r="BX757" s="215"/>
      <c r="BY757" s="215"/>
      <c r="BZ757" s="215"/>
      <c r="CA757" s="215"/>
      <c r="CB757" s="215"/>
      <c r="CC757" s="215"/>
      <c r="CD757" s="215"/>
      <c r="CE757" s="215"/>
    </row>
    <row r="758" spans="1:83" ht="12.65" customHeight="1" x14ac:dyDescent="0.3">
      <c r="A758" s="160" t="str">
        <f>RIGHT($C$83,3)&amp;"*"&amp;RIGHT($C$82,4)&amp;"*"&amp;AA$55&amp;"*"&amp;"A"</f>
        <v>085*2021*7160*A</v>
      </c>
      <c r="B758" s="214">
        <f>ROUND(AA59,0)</f>
        <v>580</v>
      </c>
      <c r="C758" s="216">
        <f>ROUND(AA60,2)</f>
        <v>0.39</v>
      </c>
      <c r="D758" s="214">
        <f>ROUND(AA61,0)</f>
        <v>33357</v>
      </c>
      <c r="E758" s="214">
        <f>ROUND(AA62,0)</f>
        <v>7524</v>
      </c>
      <c r="F758" s="214">
        <f>ROUND(AA63,0)</f>
        <v>594</v>
      </c>
      <c r="G758" s="214">
        <f>ROUND(AA64,0)</f>
        <v>6526</v>
      </c>
      <c r="H758" s="214">
        <f>ROUND(AA65,0)</f>
        <v>0</v>
      </c>
      <c r="I758" s="214">
        <f>ROUND(AA66,0)</f>
        <v>4200</v>
      </c>
      <c r="J758" s="214">
        <f>ROUND(AA67,0)</f>
        <v>3181</v>
      </c>
      <c r="K758" s="214">
        <f>ROUND(AA68,0)</f>
        <v>4157</v>
      </c>
      <c r="L758" s="214">
        <f>ROUND(AA69,0)</f>
        <v>5680</v>
      </c>
      <c r="M758" s="214">
        <f>ROUND(AA70,0)</f>
        <v>0</v>
      </c>
      <c r="N758" s="214">
        <f>ROUND(AA75,0)</f>
        <v>2880325</v>
      </c>
      <c r="O758" s="214">
        <f>ROUND(AA73,0)</f>
        <v>5422</v>
      </c>
      <c r="P758" s="214">
        <f>IF(AA76&gt;0,ROUND(AA76,0),0)</f>
        <v>102</v>
      </c>
      <c r="Q758" s="214">
        <f>IF(AA77&gt;0,ROUND(AA77,0),0)</f>
        <v>0</v>
      </c>
      <c r="R758" s="214">
        <f>IF(AA78&gt;0,ROUND(AA78,0),0)</f>
        <v>34</v>
      </c>
      <c r="S758" s="214">
        <f>IF(AA79&gt;0,ROUND(AA79,0),0)</f>
        <v>516</v>
      </c>
      <c r="T758" s="216">
        <f>IF(AA80&gt;0,ROUND(AA80,2),0)</f>
        <v>0</v>
      </c>
      <c r="U758" s="214"/>
      <c r="V758" s="215"/>
      <c r="W758" s="214"/>
      <c r="X758" s="214"/>
      <c r="Y758" s="214">
        <f t="shared" si="22"/>
        <v>90998</v>
      </c>
      <c r="Z758" s="215"/>
      <c r="AA758" s="215"/>
      <c r="AB758" s="215"/>
      <c r="AC758" s="215"/>
      <c r="AD758" s="215"/>
      <c r="AE758" s="215"/>
      <c r="AF758" s="215"/>
      <c r="AG758" s="215"/>
      <c r="AH758" s="215"/>
      <c r="AI758" s="215"/>
      <c r="AJ758" s="215"/>
      <c r="AK758" s="215"/>
      <c r="AL758" s="215"/>
      <c r="AM758" s="215"/>
      <c r="AN758" s="215"/>
      <c r="AO758" s="215"/>
      <c r="AP758" s="215"/>
      <c r="AQ758" s="215"/>
      <c r="AR758" s="215"/>
      <c r="AS758" s="215"/>
      <c r="AT758" s="215"/>
      <c r="AU758" s="215"/>
      <c r="AV758" s="215"/>
      <c r="AW758" s="215"/>
      <c r="AX758" s="215"/>
      <c r="AY758" s="215"/>
      <c r="AZ758" s="215"/>
      <c r="BA758" s="215"/>
      <c r="BB758" s="215"/>
      <c r="BC758" s="215"/>
      <c r="BD758" s="215"/>
      <c r="BE758" s="215"/>
      <c r="BF758" s="215"/>
      <c r="BG758" s="215"/>
      <c r="BH758" s="215"/>
      <c r="BI758" s="215"/>
      <c r="BJ758" s="215"/>
      <c r="BK758" s="215"/>
      <c r="BL758" s="215"/>
      <c r="BM758" s="215"/>
      <c r="BN758" s="215"/>
      <c r="BO758" s="215"/>
      <c r="BP758" s="215"/>
      <c r="BQ758" s="215"/>
      <c r="BR758" s="215"/>
      <c r="BS758" s="215"/>
      <c r="BT758" s="215"/>
      <c r="BU758" s="215"/>
      <c r="BV758" s="215"/>
      <c r="BW758" s="215"/>
      <c r="BX758" s="215"/>
      <c r="BY758" s="215"/>
      <c r="BZ758" s="215"/>
      <c r="CA758" s="215"/>
      <c r="CB758" s="215"/>
      <c r="CC758" s="215"/>
      <c r="CD758" s="215"/>
      <c r="CE758" s="215"/>
    </row>
    <row r="759" spans="1:83" ht="12.65" customHeight="1" x14ac:dyDescent="0.3">
      <c r="A759" s="160" t="str">
        <f>RIGHT($C$83,3)&amp;"*"&amp;RIGHT($C$82,4)&amp;"*"&amp;AB$55&amp;"*"&amp;"A"</f>
        <v>085*2021*7170*A</v>
      </c>
      <c r="B759" s="214"/>
      <c r="C759" s="216">
        <f>ROUND(AB60,2)</f>
        <v>10.86</v>
      </c>
      <c r="D759" s="214">
        <f>ROUND(AB61,0)</f>
        <v>1269340</v>
      </c>
      <c r="E759" s="214">
        <f>ROUND(AB62,0)</f>
        <v>286300</v>
      </c>
      <c r="F759" s="214">
        <f>ROUND(AB63,0)</f>
        <v>750975</v>
      </c>
      <c r="G759" s="214">
        <f>ROUND(AB64,0)</f>
        <v>17540294</v>
      </c>
      <c r="H759" s="214">
        <f>ROUND(AB65,0)</f>
        <v>12274</v>
      </c>
      <c r="I759" s="214">
        <f>ROUND(AB66,0)</f>
        <v>225053</v>
      </c>
      <c r="J759" s="214">
        <f>ROUND(AB67,0)</f>
        <v>46998</v>
      </c>
      <c r="K759" s="214">
        <f>ROUND(AB68,0)</f>
        <v>266989</v>
      </c>
      <c r="L759" s="214">
        <f>ROUND(AB69,0)</f>
        <v>100293</v>
      </c>
      <c r="M759" s="214">
        <f>ROUND(AB70,0)</f>
        <v>0</v>
      </c>
      <c r="N759" s="214">
        <f>ROUND(AB75,0)</f>
        <v>53160386</v>
      </c>
      <c r="O759" s="214">
        <f>ROUND(AB73,0)</f>
        <v>4289660</v>
      </c>
      <c r="P759" s="214">
        <f>IF(AB76&gt;0,ROUND(AB76,0),0)</f>
        <v>1507</v>
      </c>
      <c r="Q759" s="214">
        <f>IF(AB77&gt;0,ROUND(AB77,0),0)</f>
        <v>0</v>
      </c>
      <c r="R759" s="214">
        <f>IF(AB78&gt;0,ROUND(AB78,0),0)</f>
        <v>509</v>
      </c>
      <c r="S759" s="214">
        <f>IF(AB79&gt;0,ROUND(AB79,0),0)</f>
        <v>0</v>
      </c>
      <c r="T759" s="216">
        <f>IF(AB80&gt;0,ROUND(AB80,2),0)</f>
        <v>10.86</v>
      </c>
      <c r="U759" s="214"/>
      <c r="V759" s="215"/>
      <c r="W759" s="214"/>
      <c r="X759" s="214"/>
      <c r="Y759" s="214">
        <f t="shared" si="22"/>
        <v>3472587</v>
      </c>
      <c r="Z759" s="215"/>
      <c r="AA759" s="215"/>
      <c r="AB759" s="215"/>
      <c r="AC759" s="215"/>
      <c r="AD759" s="215"/>
      <c r="AE759" s="215"/>
      <c r="AF759" s="215"/>
      <c r="AG759" s="215"/>
      <c r="AH759" s="215"/>
      <c r="AI759" s="215"/>
      <c r="AJ759" s="215"/>
      <c r="AK759" s="215"/>
      <c r="AL759" s="215"/>
      <c r="AM759" s="215"/>
      <c r="AN759" s="215"/>
      <c r="AO759" s="215"/>
      <c r="AP759" s="215"/>
      <c r="AQ759" s="215"/>
      <c r="AR759" s="215"/>
      <c r="AS759" s="215"/>
      <c r="AT759" s="215"/>
      <c r="AU759" s="215"/>
      <c r="AV759" s="215"/>
      <c r="AW759" s="215"/>
      <c r="AX759" s="215"/>
      <c r="AY759" s="215"/>
      <c r="AZ759" s="215"/>
      <c r="BA759" s="215"/>
      <c r="BB759" s="215"/>
      <c r="BC759" s="215"/>
      <c r="BD759" s="215"/>
      <c r="BE759" s="215"/>
      <c r="BF759" s="215"/>
      <c r="BG759" s="215"/>
      <c r="BH759" s="215"/>
      <c r="BI759" s="215"/>
      <c r="BJ759" s="215"/>
      <c r="BK759" s="215"/>
      <c r="BL759" s="215"/>
      <c r="BM759" s="215"/>
      <c r="BN759" s="215"/>
      <c r="BO759" s="215"/>
      <c r="BP759" s="215"/>
      <c r="BQ759" s="215"/>
      <c r="BR759" s="215"/>
      <c r="BS759" s="215"/>
      <c r="BT759" s="215"/>
      <c r="BU759" s="215"/>
      <c r="BV759" s="215"/>
      <c r="BW759" s="215"/>
      <c r="BX759" s="215"/>
      <c r="BY759" s="215"/>
      <c r="BZ759" s="215"/>
      <c r="CA759" s="215"/>
      <c r="CB759" s="215"/>
      <c r="CC759" s="215"/>
      <c r="CD759" s="215"/>
      <c r="CE759" s="215"/>
    </row>
    <row r="760" spans="1:83" ht="12.65" customHeight="1" x14ac:dyDescent="0.3">
      <c r="A760" s="160" t="str">
        <f>RIGHT($C$83,3)&amp;"*"&amp;RIGHT($C$82,4)&amp;"*"&amp;AC$55&amp;"*"&amp;"A"</f>
        <v>085*2021*7180*A</v>
      </c>
      <c r="B760" s="214">
        <f>ROUND(AC59,0)</f>
        <v>38682</v>
      </c>
      <c r="C760" s="216">
        <f>ROUND(AC60,2)</f>
        <v>16.579999999999998</v>
      </c>
      <c r="D760" s="214">
        <f>ROUND(AC61,0)</f>
        <v>1243103</v>
      </c>
      <c r="E760" s="214">
        <f>ROUND(AC62,0)</f>
        <v>280382</v>
      </c>
      <c r="F760" s="214">
        <f>ROUND(AC63,0)</f>
        <v>151159</v>
      </c>
      <c r="G760" s="214">
        <f>ROUND(AC64,0)</f>
        <v>89411</v>
      </c>
      <c r="H760" s="214">
        <f>ROUND(AC65,0)</f>
        <v>0</v>
      </c>
      <c r="I760" s="214">
        <f>ROUND(AC66,0)</f>
        <v>12474</v>
      </c>
      <c r="J760" s="214">
        <f>ROUND(AC67,0)</f>
        <v>119131</v>
      </c>
      <c r="K760" s="214">
        <f>ROUND(AC68,0)</f>
        <v>32728</v>
      </c>
      <c r="L760" s="214">
        <f>ROUND(AC69,0)</f>
        <v>20936</v>
      </c>
      <c r="M760" s="214">
        <f>ROUND(AC70,0)</f>
        <v>0</v>
      </c>
      <c r="N760" s="214">
        <f>ROUND(AC75,0)</f>
        <v>7234783</v>
      </c>
      <c r="O760" s="214">
        <f>ROUND(AC73,0)</f>
        <v>2082986</v>
      </c>
      <c r="P760" s="214">
        <f>IF(AC76&gt;0,ROUND(AC76,0),0)</f>
        <v>3820</v>
      </c>
      <c r="Q760" s="214">
        <f>IF(AC77&gt;0,ROUND(AC77,0),0)</f>
        <v>0</v>
      </c>
      <c r="R760" s="214">
        <f>IF(AC78&gt;0,ROUND(AC78,0),0)</f>
        <v>1290</v>
      </c>
      <c r="S760" s="214">
        <f>IF(AC79&gt;0,ROUND(AC79,0),0)</f>
        <v>5597</v>
      </c>
      <c r="T760" s="216">
        <f>IF(AC80&gt;0,ROUND(AC80,2),0)</f>
        <v>3.66</v>
      </c>
      <c r="U760" s="214"/>
      <c r="V760" s="215"/>
      <c r="W760" s="214"/>
      <c r="X760" s="214"/>
      <c r="Y760" s="214">
        <f t="shared" si="22"/>
        <v>442682</v>
      </c>
      <c r="Z760" s="215"/>
      <c r="AA760" s="215"/>
      <c r="AB760" s="215"/>
      <c r="AC760" s="215"/>
      <c r="AD760" s="215"/>
      <c r="AE760" s="215"/>
      <c r="AF760" s="215"/>
      <c r="AG760" s="215"/>
      <c r="AH760" s="215"/>
      <c r="AI760" s="215"/>
      <c r="AJ760" s="215"/>
      <c r="AK760" s="215"/>
      <c r="AL760" s="215"/>
      <c r="AM760" s="215"/>
      <c r="AN760" s="215"/>
      <c r="AO760" s="215"/>
      <c r="AP760" s="215"/>
      <c r="AQ760" s="215"/>
      <c r="AR760" s="215"/>
      <c r="AS760" s="215"/>
      <c r="AT760" s="215"/>
      <c r="AU760" s="215"/>
      <c r="AV760" s="215"/>
      <c r="AW760" s="215"/>
      <c r="AX760" s="215"/>
      <c r="AY760" s="215"/>
      <c r="AZ760" s="215"/>
      <c r="BA760" s="215"/>
      <c r="BB760" s="215"/>
      <c r="BC760" s="215"/>
      <c r="BD760" s="215"/>
      <c r="BE760" s="215"/>
      <c r="BF760" s="215"/>
      <c r="BG760" s="215"/>
      <c r="BH760" s="215"/>
      <c r="BI760" s="215"/>
      <c r="BJ760" s="215"/>
      <c r="BK760" s="215"/>
      <c r="BL760" s="215"/>
      <c r="BM760" s="215"/>
      <c r="BN760" s="215"/>
      <c r="BO760" s="215"/>
      <c r="BP760" s="215"/>
      <c r="BQ760" s="215"/>
      <c r="BR760" s="215"/>
      <c r="BS760" s="215"/>
      <c r="BT760" s="215"/>
      <c r="BU760" s="215"/>
      <c r="BV760" s="215"/>
      <c r="BW760" s="215"/>
      <c r="BX760" s="215"/>
      <c r="BY760" s="215"/>
      <c r="BZ760" s="215"/>
      <c r="CA760" s="215"/>
      <c r="CB760" s="215"/>
      <c r="CC760" s="215"/>
      <c r="CD760" s="215"/>
      <c r="CE760" s="215"/>
    </row>
    <row r="761" spans="1:83" ht="12.65" customHeight="1" x14ac:dyDescent="0.3">
      <c r="A761" s="160" t="str">
        <f>RIGHT($C$83,3)&amp;"*"&amp;RIGHT($C$82,4)&amp;"*"&amp;AD$55&amp;"*"&amp;"A"</f>
        <v>085*2021*7190*A</v>
      </c>
      <c r="B761" s="214">
        <f>ROUND(AD59,0)</f>
        <v>0</v>
      </c>
      <c r="C761" s="216">
        <f>ROUND(AD60,2)</f>
        <v>0</v>
      </c>
      <c r="D761" s="214">
        <f>ROUND(AD61,0)</f>
        <v>0</v>
      </c>
      <c r="E761" s="214">
        <f>ROUND(AD62,0)</f>
        <v>0</v>
      </c>
      <c r="F761" s="214">
        <f>ROUND(AD63,0)</f>
        <v>0</v>
      </c>
      <c r="G761" s="214">
        <f>ROUND(AD64,0)</f>
        <v>0</v>
      </c>
      <c r="H761" s="214">
        <f>ROUND(AD65,0)</f>
        <v>0</v>
      </c>
      <c r="I761" s="214">
        <f>ROUND(AD66,0)</f>
        <v>0</v>
      </c>
      <c r="J761" s="214">
        <f>ROUND(AD67,0)</f>
        <v>0</v>
      </c>
      <c r="K761" s="214">
        <f>ROUND(AD68,0)</f>
        <v>0</v>
      </c>
      <c r="L761" s="214">
        <f>ROUND(AD69,0)</f>
        <v>0</v>
      </c>
      <c r="M761" s="214">
        <f>ROUND(AD70,0)</f>
        <v>0</v>
      </c>
      <c r="N761" s="214">
        <f>ROUND(AD75,0)</f>
        <v>0</v>
      </c>
      <c r="O761" s="214">
        <f>ROUND(AD73,0)</f>
        <v>0</v>
      </c>
      <c r="P761" s="214">
        <f>IF(AD76&gt;0,ROUND(AD76,0),0)</f>
        <v>0</v>
      </c>
      <c r="Q761" s="214">
        <f>IF(AD77&gt;0,ROUND(AD77,0),0)</f>
        <v>0</v>
      </c>
      <c r="R761" s="214">
        <f>IF(AD78&gt;0,ROUND(AD78,0),0)</f>
        <v>0</v>
      </c>
      <c r="S761" s="214">
        <f>IF(AD79&gt;0,ROUND(AD79,0),0)</f>
        <v>0</v>
      </c>
      <c r="T761" s="216">
        <f>IF(AD80&gt;0,ROUND(AD80,2),0)</f>
        <v>0</v>
      </c>
      <c r="U761" s="214"/>
      <c r="V761" s="215"/>
      <c r="W761" s="214"/>
      <c r="X761" s="214"/>
      <c r="Y761" s="214">
        <f t="shared" si="22"/>
        <v>0</v>
      </c>
      <c r="Z761" s="215"/>
      <c r="AA761" s="215"/>
      <c r="AB761" s="215"/>
      <c r="AC761" s="215"/>
      <c r="AD761" s="215"/>
      <c r="AE761" s="215"/>
      <c r="AF761" s="215"/>
      <c r="AG761" s="215"/>
      <c r="AH761" s="215"/>
      <c r="AI761" s="215"/>
      <c r="AJ761" s="215"/>
      <c r="AK761" s="215"/>
      <c r="AL761" s="215"/>
      <c r="AM761" s="215"/>
      <c r="AN761" s="215"/>
      <c r="AO761" s="215"/>
      <c r="AP761" s="215"/>
      <c r="AQ761" s="215"/>
      <c r="AR761" s="215"/>
      <c r="AS761" s="215"/>
      <c r="AT761" s="215"/>
      <c r="AU761" s="215"/>
      <c r="AV761" s="215"/>
      <c r="AW761" s="215"/>
      <c r="AX761" s="215"/>
      <c r="AY761" s="215"/>
      <c r="AZ761" s="215"/>
      <c r="BA761" s="215"/>
      <c r="BB761" s="215"/>
      <c r="BC761" s="215"/>
      <c r="BD761" s="215"/>
      <c r="BE761" s="215"/>
      <c r="BF761" s="215"/>
      <c r="BG761" s="215"/>
      <c r="BH761" s="215"/>
      <c r="BI761" s="215"/>
      <c r="BJ761" s="215"/>
      <c r="BK761" s="215"/>
      <c r="BL761" s="215"/>
      <c r="BM761" s="215"/>
      <c r="BN761" s="215"/>
      <c r="BO761" s="215"/>
      <c r="BP761" s="215"/>
      <c r="BQ761" s="215"/>
      <c r="BR761" s="215"/>
      <c r="BS761" s="215"/>
      <c r="BT761" s="215"/>
      <c r="BU761" s="215"/>
      <c r="BV761" s="215"/>
      <c r="BW761" s="215"/>
      <c r="BX761" s="215"/>
      <c r="BY761" s="215"/>
      <c r="BZ761" s="215"/>
      <c r="CA761" s="215"/>
      <c r="CB761" s="215"/>
      <c r="CC761" s="215"/>
      <c r="CD761" s="215"/>
      <c r="CE761" s="215"/>
    </row>
    <row r="762" spans="1:83" ht="12.65" customHeight="1" x14ac:dyDescent="0.3">
      <c r="A762" s="160" t="str">
        <f>RIGHT($C$83,3)&amp;"*"&amp;RIGHT($C$82,4)&amp;"*"&amp;AE$55&amp;"*"&amp;"A"</f>
        <v>085*2021*7200*A</v>
      </c>
      <c r="B762" s="214">
        <f>ROUND(AE59,0)</f>
        <v>102140</v>
      </c>
      <c r="C762" s="216">
        <f>ROUND(AE60,2)</f>
        <v>33.4</v>
      </c>
      <c r="D762" s="214">
        <f>ROUND(AE61,0)</f>
        <v>3001390</v>
      </c>
      <c r="E762" s="214">
        <f>ROUND(AE62,0)</f>
        <v>676964</v>
      </c>
      <c r="F762" s="214">
        <f>ROUND(AE63,0)</f>
        <v>9250</v>
      </c>
      <c r="G762" s="214">
        <f>ROUND(AE64,0)</f>
        <v>82985</v>
      </c>
      <c r="H762" s="214">
        <f>ROUND(AE65,0)</f>
        <v>0</v>
      </c>
      <c r="I762" s="214">
        <f>ROUND(AE66,0)</f>
        <v>1589</v>
      </c>
      <c r="J762" s="214">
        <f>ROUND(AE67,0)</f>
        <v>202336</v>
      </c>
      <c r="K762" s="214">
        <f>ROUND(AE68,0)</f>
        <v>0</v>
      </c>
      <c r="L762" s="214">
        <f>ROUND(AE69,0)</f>
        <v>25669</v>
      </c>
      <c r="M762" s="214">
        <f>ROUND(AE70,0)</f>
        <v>0</v>
      </c>
      <c r="N762" s="214">
        <f>ROUND(AE75,0)</f>
        <v>11285218</v>
      </c>
      <c r="O762" s="214">
        <f>ROUND(AE73,0)</f>
        <v>737246</v>
      </c>
      <c r="P762" s="214">
        <f>IF(AE76&gt;0,ROUND(AE76,0),0)</f>
        <v>6488</v>
      </c>
      <c r="Q762" s="214">
        <f>IF(AE77&gt;0,ROUND(AE77,0),0)</f>
        <v>0</v>
      </c>
      <c r="R762" s="214">
        <f>IF(AE78&gt;0,ROUND(AE78,0),0)</f>
        <v>2191</v>
      </c>
      <c r="S762" s="214">
        <f>IF(AE79&gt;0,ROUND(AE79,0),0)</f>
        <v>26997</v>
      </c>
      <c r="T762" s="216">
        <f>IF(AE80&gt;0,ROUND(AE80,2),0)</f>
        <v>0</v>
      </c>
      <c r="U762" s="214"/>
      <c r="V762" s="215"/>
      <c r="W762" s="214"/>
      <c r="X762" s="214"/>
      <c r="Y762" s="214">
        <f t="shared" si="22"/>
        <v>681715</v>
      </c>
      <c r="Z762" s="215"/>
      <c r="AA762" s="215"/>
      <c r="AB762" s="215"/>
      <c r="AC762" s="215"/>
      <c r="AD762" s="215"/>
      <c r="AE762" s="215"/>
      <c r="AF762" s="215"/>
      <c r="AG762" s="215"/>
      <c r="AH762" s="215"/>
      <c r="AI762" s="215"/>
      <c r="AJ762" s="215"/>
      <c r="AK762" s="215"/>
      <c r="AL762" s="215"/>
      <c r="AM762" s="215"/>
      <c r="AN762" s="215"/>
      <c r="AO762" s="215"/>
      <c r="AP762" s="215"/>
      <c r="AQ762" s="215"/>
      <c r="AR762" s="215"/>
      <c r="AS762" s="215"/>
      <c r="AT762" s="215"/>
      <c r="AU762" s="215"/>
      <c r="AV762" s="215"/>
      <c r="AW762" s="215"/>
      <c r="AX762" s="215"/>
      <c r="AY762" s="215"/>
      <c r="AZ762" s="215"/>
      <c r="BA762" s="215"/>
      <c r="BB762" s="215"/>
      <c r="BC762" s="215"/>
      <c r="BD762" s="215"/>
      <c r="BE762" s="215"/>
      <c r="BF762" s="215"/>
      <c r="BG762" s="215"/>
      <c r="BH762" s="215"/>
      <c r="BI762" s="215"/>
      <c r="BJ762" s="215"/>
      <c r="BK762" s="215"/>
      <c r="BL762" s="215"/>
      <c r="BM762" s="215"/>
      <c r="BN762" s="215"/>
      <c r="BO762" s="215"/>
      <c r="BP762" s="215"/>
      <c r="BQ762" s="215"/>
      <c r="BR762" s="215"/>
      <c r="BS762" s="215"/>
      <c r="BT762" s="215"/>
      <c r="BU762" s="215"/>
      <c r="BV762" s="215"/>
      <c r="BW762" s="215"/>
      <c r="BX762" s="215"/>
      <c r="BY762" s="215"/>
      <c r="BZ762" s="215"/>
      <c r="CA762" s="215"/>
      <c r="CB762" s="215"/>
      <c r="CC762" s="215"/>
      <c r="CD762" s="215"/>
      <c r="CE762" s="215"/>
    </row>
    <row r="763" spans="1:83" ht="12.65" customHeight="1" x14ac:dyDescent="0.3">
      <c r="A763" s="160" t="str">
        <f>RIGHT($C$83,3)&amp;"*"&amp;RIGHT($C$82,4)&amp;"*"&amp;AF$55&amp;"*"&amp;"A"</f>
        <v>085*2021*7220*A</v>
      </c>
      <c r="B763" s="214">
        <f>ROUND(AF59,0)</f>
        <v>0</v>
      </c>
      <c r="C763" s="216">
        <f>ROUND(AF60,2)</f>
        <v>0</v>
      </c>
      <c r="D763" s="214">
        <f>ROUND(AF61,0)</f>
        <v>0</v>
      </c>
      <c r="E763" s="214">
        <f>ROUND(AF62,0)</f>
        <v>0</v>
      </c>
      <c r="F763" s="214">
        <f>ROUND(AF63,0)</f>
        <v>0</v>
      </c>
      <c r="G763" s="214">
        <f>ROUND(AF64,0)</f>
        <v>0</v>
      </c>
      <c r="H763" s="214">
        <f>ROUND(AF65,0)</f>
        <v>0</v>
      </c>
      <c r="I763" s="214">
        <f>ROUND(AF66,0)</f>
        <v>0</v>
      </c>
      <c r="J763" s="214">
        <f>ROUND(AF67,0)</f>
        <v>0</v>
      </c>
      <c r="K763" s="214">
        <f>ROUND(AF68,0)</f>
        <v>0</v>
      </c>
      <c r="L763" s="214">
        <f>ROUND(AF69,0)</f>
        <v>0</v>
      </c>
      <c r="M763" s="214">
        <f>ROUND(AF70,0)</f>
        <v>0</v>
      </c>
      <c r="N763" s="214">
        <f>ROUND(AF75,0)</f>
        <v>0</v>
      </c>
      <c r="O763" s="214">
        <f>ROUND(AF73,0)</f>
        <v>0</v>
      </c>
      <c r="P763" s="214">
        <f>IF(AF76&gt;0,ROUND(AF76,0),0)</f>
        <v>0</v>
      </c>
      <c r="Q763" s="214">
        <f>IF(AF77&gt;0,ROUND(AF77,0),0)</f>
        <v>0</v>
      </c>
      <c r="R763" s="214">
        <f>IF(AF78&gt;0,ROUND(AF78,0),0)</f>
        <v>0</v>
      </c>
      <c r="S763" s="214">
        <f>IF(AF79&gt;0,ROUND(AF79,0),0)</f>
        <v>0</v>
      </c>
      <c r="T763" s="216">
        <f>IF(AF80&gt;0,ROUND(AF80,2),0)</f>
        <v>0</v>
      </c>
      <c r="U763" s="214"/>
      <c r="V763" s="215"/>
      <c r="W763" s="214"/>
      <c r="X763" s="214"/>
      <c r="Y763" s="214">
        <f t="shared" si="22"/>
        <v>0</v>
      </c>
      <c r="Z763" s="215"/>
      <c r="AA763" s="215"/>
      <c r="AB763" s="215"/>
      <c r="AC763" s="215"/>
      <c r="AD763" s="215"/>
      <c r="AE763" s="215"/>
      <c r="AF763" s="215"/>
      <c r="AG763" s="215"/>
      <c r="AH763" s="215"/>
      <c r="AI763" s="215"/>
      <c r="AJ763" s="215"/>
      <c r="AK763" s="215"/>
      <c r="AL763" s="215"/>
      <c r="AM763" s="215"/>
      <c r="AN763" s="215"/>
      <c r="AO763" s="215"/>
      <c r="AP763" s="215"/>
      <c r="AQ763" s="215"/>
      <c r="AR763" s="215"/>
      <c r="AS763" s="215"/>
      <c r="AT763" s="215"/>
      <c r="AU763" s="215"/>
      <c r="AV763" s="215"/>
      <c r="AW763" s="215"/>
      <c r="AX763" s="215"/>
      <c r="AY763" s="215"/>
      <c r="AZ763" s="215"/>
      <c r="BA763" s="215"/>
      <c r="BB763" s="215"/>
      <c r="BC763" s="215"/>
      <c r="BD763" s="215"/>
      <c r="BE763" s="215"/>
      <c r="BF763" s="215"/>
      <c r="BG763" s="215"/>
      <c r="BH763" s="215"/>
      <c r="BI763" s="215"/>
      <c r="BJ763" s="215"/>
      <c r="BK763" s="215"/>
      <c r="BL763" s="215"/>
      <c r="BM763" s="215"/>
      <c r="BN763" s="215"/>
      <c r="BO763" s="215"/>
      <c r="BP763" s="215"/>
      <c r="BQ763" s="215"/>
      <c r="BR763" s="215"/>
      <c r="BS763" s="215"/>
      <c r="BT763" s="215"/>
      <c r="BU763" s="215"/>
      <c r="BV763" s="215"/>
      <c r="BW763" s="215"/>
      <c r="BX763" s="215"/>
      <c r="BY763" s="215"/>
      <c r="BZ763" s="215"/>
      <c r="CA763" s="215"/>
      <c r="CB763" s="215"/>
      <c r="CC763" s="215"/>
      <c r="CD763" s="215"/>
      <c r="CE763" s="215"/>
    </row>
    <row r="764" spans="1:83" ht="12.65" customHeight="1" x14ac:dyDescent="0.3">
      <c r="A764" s="160" t="str">
        <f>RIGHT($C$83,3)&amp;"*"&amp;RIGHT($C$82,4)&amp;"*"&amp;AG$55&amp;"*"&amp;"A"</f>
        <v>085*2021*7230*A</v>
      </c>
      <c r="B764" s="214">
        <f>ROUND(AG59,0)</f>
        <v>12074</v>
      </c>
      <c r="C764" s="216">
        <f>ROUND(AG60,2)</f>
        <v>29.81</v>
      </c>
      <c r="D764" s="214">
        <f>ROUND(AG61,0)</f>
        <v>4685867</v>
      </c>
      <c r="E764" s="214">
        <f>ROUND(AG62,0)</f>
        <v>1056898</v>
      </c>
      <c r="F764" s="214">
        <f>ROUND(AG63,0)</f>
        <v>194554</v>
      </c>
      <c r="G764" s="214">
        <f>ROUND(AG64,0)</f>
        <v>260617</v>
      </c>
      <c r="H764" s="214">
        <f>ROUND(AG65,0)</f>
        <v>0</v>
      </c>
      <c r="I764" s="214">
        <f>ROUND(AG66,0)</f>
        <v>91270</v>
      </c>
      <c r="J764" s="214">
        <f>ROUND(AG67,0)</f>
        <v>198033</v>
      </c>
      <c r="K764" s="214">
        <f>ROUND(AG68,0)</f>
        <v>683</v>
      </c>
      <c r="L764" s="214">
        <f>ROUND(AG69,0)</f>
        <v>34935</v>
      </c>
      <c r="M764" s="214">
        <f>ROUND(AG70,0)</f>
        <v>0</v>
      </c>
      <c r="N764" s="214">
        <f>ROUND(AG75,0)</f>
        <v>34261556</v>
      </c>
      <c r="O764" s="214">
        <f>ROUND(AG73,0)</f>
        <v>1613812</v>
      </c>
      <c r="P764" s="214">
        <f>IF(AG76&gt;0,ROUND(AG76,0),0)</f>
        <v>6350</v>
      </c>
      <c r="Q764" s="214">
        <f>IF(AG77&gt;0,ROUND(AG77,0),0)</f>
        <v>0</v>
      </c>
      <c r="R764" s="214">
        <f>IF(AG78&gt;0,ROUND(AG78,0),0)</f>
        <v>2144</v>
      </c>
      <c r="S764" s="214">
        <f>IF(AG79&gt;0,ROUND(AG79,0),0)</f>
        <v>67792</v>
      </c>
      <c r="T764" s="216">
        <f>IF(AG80&gt;0,ROUND(AG80,2),0)</f>
        <v>24.4</v>
      </c>
      <c r="U764" s="214"/>
      <c r="V764" s="215"/>
      <c r="W764" s="214"/>
      <c r="X764" s="214"/>
      <c r="Y764" s="214">
        <f t="shared" si="22"/>
        <v>2084280</v>
      </c>
      <c r="Z764" s="215"/>
      <c r="AA764" s="215"/>
      <c r="AB764" s="215"/>
      <c r="AC764" s="215"/>
      <c r="AD764" s="215"/>
      <c r="AE764" s="215"/>
      <c r="AF764" s="215"/>
      <c r="AG764" s="215"/>
      <c r="AH764" s="215"/>
      <c r="AI764" s="215"/>
      <c r="AJ764" s="215"/>
      <c r="AK764" s="215"/>
      <c r="AL764" s="215"/>
      <c r="AM764" s="215"/>
      <c r="AN764" s="215"/>
      <c r="AO764" s="215"/>
      <c r="AP764" s="215"/>
      <c r="AQ764" s="215"/>
      <c r="AR764" s="215"/>
      <c r="AS764" s="215"/>
      <c r="AT764" s="215"/>
      <c r="AU764" s="215"/>
      <c r="AV764" s="215"/>
      <c r="AW764" s="215"/>
      <c r="AX764" s="215"/>
      <c r="AY764" s="215"/>
      <c r="AZ764" s="215"/>
      <c r="BA764" s="215"/>
      <c r="BB764" s="215"/>
      <c r="BC764" s="215"/>
      <c r="BD764" s="215"/>
      <c r="BE764" s="215"/>
      <c r="BF764" s="215"/>
      <c r="BG764" s="215"/>
      <c r="BH764" s="215"/>
      <c r="BI764" s="215"/>
      <c r="BJ764" s="215"/>
      <c r="BK764" s="215"/>
      <c r="BL764" s="215"/>
      <c r="BM764" s="215"/>
      <c r="BN764" s="215"/>
      <c r="BO764" s="215"/>
      <c r="BP764" s="215"/>
      <c r="BQ764" s="215"/>
      <c r="BR764" s="215"/>
      <c r="BS764" s="215"/>
      <c r="BT764" s="215"/>
      <c r="BU764" s="215"/>
      <c r="BV764" s="215"/>
      <c r="BW764" s="215"/>
      <c r="BX764" s="215"/>
      <c r="BY764" s="215"/>
      <c r="BZ764" s="215"/>
      <c r="CA764" s="215"/>
      <c r="CB764" s="215"/>
      <c r="CC764" s="215"/>
      <c r="CD764" s="215"/>
      <c r="CE764" s="215"/>
    </row>
    <row r="765" spans="1:83" ht="12.65" customHeight="1" x14ac:dyDescent="0.3">
      <c r="A765" s="160" t="str">
        <f>RIGHT($C$83,3)&amp;"*"&amp;RIGHT($C$82,4)&amp;"*"&amp;AH$55&amp;"*"&amp;"A"</f>
        <v>085*2021*7240*A</v>
      </c>
      <c r="B765" s="214">
        <f>ROUND(AH59,0)</f>
        <v>0</v>
      </c>
      <c r="C765" s="216">
        <f>ROUND(AH60,2)</f>
        <v>0</v>
      </c>
      <c r="D765" s="214">
        <f>ROUND(AH61,0)</f>
        <v>0</v>
      </c>
      <c r="E765" s="214">
        <f>ROUND(AH62,0)</f>
        <v>0</v>
      </c>
      <c r="F765" s="214">
        <f>ROUND(AH63,0)</f>
        <v>0</v>
      </c>
      <c r="G765" s="214">
        <f>ROUND(AH64,0)</f>
        <v>0</v>
      </c>
      <c r="H765" s="214">
        <f>ROUND(AH65,0)</f>
        <v>0</v>
      </c>
      <c r="I765" s="214">
        <f>ROUND(AH66,0)</f>
        <v>0</v>
      </c>
      <c r="J765" s="214">
        <f>ROUND(AH67,0)</f>
        <v>0</v>
      </c>
      <c r="K765" s="214">
        <f>ROUND(AH68,0)</f>
        <v>0</v>
      </c>
      <c r="L765" s="214">
        <f>ROUND(AH69,0)</f>
        <v>0</v>
      </c>
      <c r="M765" s="214">
        <f>ROUND(AH70,0)</f>
        <v>0</v>
      </c>
      <c r="N765" s="214">
        <f>ROUND(AH75,0)</f>
        <v>0</v>
      </c>
      <c r="O765" s="214">
        <f>ROUND(AH73,0)</f>
        <v>0</v>
      </c>
      <c r="P765" s="214">
        <f>IF(AH76&gt;0,ROUND(AH76,0),0)</f>
        <v>0</v>
      </c>
      <c r="Q765" s="214">
        <f>IF(AH77&gt;0,ROUND(AH77,0),0)</f>
        <v>0</v>
      </c>
      <c r="R765" s="214">
        <f>IF(AH78&gt;0,ROUND(AH78,0),0)</f>
        <v>0</v>
      </c>
      <c r="S765" s="214">
        <f>IF(AH79&gt;0,ROUND(AH79,0),0)</f>
        <v>0</v>
      </c>
      <c r="T765" s="216">
        <f>IF(AH80&gt;0,ROUND(AH80,2),0)</f>
        <v>0</v>
      </c>
      <c r="U765" s="214"/>
      <c r="V765" s="215"/>
      <c r="W765" s="214"/>
      <c r="X765" s="214"/>
      <c r="Y765" s="214">
        <f t="shared" si="22"/>
        <v>0</v>
      </c>
      <c r="Z765" s="215"/>
      <c r="AA765" s="215"/>
      <c r="AB765" s="215"/>
      <c r="AC765" s="215"/>
      <c r="AD765" s="215"/>
      <c r="AE765" s="215"/>
      <c r="AF765" s="215"/>
      <c r="AG765" s="215"/>
      <c r="AH765" s="215"/>
      <c r="AI765" s="215"/>
      <c r="AJ765" s="215"/>
      <c r="AK765" s="215"/>
      <c r="AL765" s="215"/>
      <c r="AM765" s="215"/>
      <c r="AN765" s="215"/>
      <c r="AO765" s="215"/>
      <c r="AP765" s="215"/>
      <c r="AQ765" s="215"/>
      <c r="AR765" s="215"/>
      <c r="AS765" s="215"/>
      <c r="AT765" s="215"/>
      <c r="AU765" s="215"/>
      <c r="AV765" s="215"/>
      <c r="AW765" s="215"/>
      <c r="AX765" s="215"/>
      <c r="AY765" s="215"/>
      <c r="AZ765" s="215"/>
      <c r="BA765" s="215"/>
      <c r="BB765" s="215"/>
      <c r="BC765" s="215"/>
      <c r="BD765" s="215"/>
      <c r="BE765" s="215"/>
      <c r="BF765" s="215"/>
      <c r="BG765" s="215"/>
      <c r="BH765" s="215"/>
      <c r="BI765" s="215"/>
      <c r="BJ765" s="215"/>
      <c r="BK765" s="215"/>
      <c r="BL765" s="215"/>
      <c r="BM765" s="215"/>
      <c r="BN765" s="215"/>
      <c r="BO765" s="215"/>
      <c r="BP765" s="215"/>
      <c r="BQ765" s="215"/>
      <c r="BR765" s="215"/>
      <c r="BS765" s="215"/>
      <c r="BT765" s="215"/>
      <c r="BU765" s="215"/>
      <c r="BV765" s="215"/>
      <c r="BW765" s="215"/>
      <c r="BX765" s="215"/>
      <c r="BY765" s="215"/>
      <c r="BZ765" s="215"/>
      <c r="CA765" s="215"/>
      <c r="CB765" s="215"/>
      <c r="CC765" s="215"/>
      <c r="CD765" s="215"/>
      <c r="CE765" s="215"/>
    </row>
    <row r="766" spans="1:83" ht="12.65" customHeight="1" x14ac:dyDescent="0.3">
      <c r="A766" s="160" t="str">
        <f>RIGHT($C$83,3)&amp;"*"&amp;RIGHT($C$82,4)&amp;"*"&amp;AI$55&amp;"*"&amp;"A"</f>
        <v>085*2021*7250*A</v>
      </c>
      <c r="B766" s="214">
        <f>ROUND(AI59,0)</f>
        <v>0</v>
      </c>
      <c r="C766" s="216">
        <f>ROUND(AI60,2)</f>
        <v>0</v>
      </c>
      <c r="D766" s="214">
        <f>ROUND(AI61,0)</f>
        <v>0</v>
      </c>
      <c r="E766" s="214">
        <f>ROUND(AI62,0)</f>
        <v>0</v>
      </c>
      <c r="F766" s="214">
        <f>ROUND(AI63,0)</f>
        <v>0</v>
      </c>
      <c r="G766" s="214">
        <f>ROUND(AI64,0)</f>
        <v>0</v>
      </c>
      <c r="H766" s="214">
        <f>ROUND(AI65,0)</f>
        <v>0</v>
      </c>
      <c r="I766" s="214">
        <f>ROUND(AI66,0)</f>
        <v>0</v>
      </c>
      <c r="J766" s="214">
        <f>ROUND(AI67,0)</f>
        <v>0</v>
      </c>
      <c r="K766" s="214">
        <f>ROUND(AI68,0)</f>
        <v>0</v>
      </c>
      <c r="L766" s="214">
        <f>ROUND(AI69,0)</f>
        <v>0</v>
      </c>
      <c r="M766" s="214">
        <f>ROUND(AI70,0)</f>
        <v>0</v>
      </c>
      <c r="N766" s="214">
        <f>ROUND(AI75,0)</f>
        <v>0</v>
      </c>
      <c r="O766" s="214">
        <f>ROUND(AI73,0)</f>
        <v>0</v>
      </c>
      <c r="P766" s="214">
        <f>IF(AI76&gt;0,ROUND(AI76,0),0)</f>
        <v>0</v>
      </c>
      <c r="Q766" s="214">
        <f>IF(AI77&gt;0,ROUND(AI77,0),0)</f>
        <v>0</v>
      </c>
      <c r="R766" s="214">
        <f>IF(AI78&gt;0,ROUND(AI78,0),0)</f>
        <v>0</v>
      </c>
      <c r="S766" s="214">
        <f>IF(AI79&gt;0,ROUND(AI79,0),0)</f>
        <v>0</v>
      </c>
      <c r="T766" s="216">
        <f>IF(AI80&gt;0,ROUND(AI80,2),0)</f>
        <v>0</v>
      </c>
      <c r="U766" s="214"/>
      <c r="V766" s="215"/>
      <c r="W766" s="214"/>
      <c r="X766" s="214"/>
      <c r="Y766" s="214">
        <f t="shared" si="22"/>
        <v>0</v>
      </c>
      <c r="Z766" s="215"/>
      <c r="AA766" s="215"/>
      <c r="AB766" s="215"/>
      <c r="AC766" s="215"/>
      <c r="AD766" s="215"/>
      <c r="AE766" s="215"/>
      <c r="AF766" s="215"/>
      <c r="AG766" s="215"/>
      <c r="AH766" s="215"/>
      <c r="AI766" s="215"/>
      <c r="AJ766" s="215"/>
      <c r="AK766" s="215"/>
      <c r="AL766" s="215"/>
      <c r="AM766" s="215"/>
      <c r="AN766" s="215"/>
      <c r="AO766" s="215"/>
      <c r="AP766" s="215"/>
      <c r="AQ766" s="215"/>
      <c r="AR766" s="215"/>
      <c r="AS766" s="215"/>
      <c r="AT766" s="215"/>
      <c r="AU766" s="215"/>
      <c r="AV766" s="215"/>
      <c r="AW766" s="215"/>
      <c r="AX766" s="215"/>
      <c r="AY766" s="215"/>
      <c r="AZ766" s="215"/>
      <c r="BA766" s="215"/>
      <c r="BB766" s="215"/>
      <c r="BC766" s="215"/>
      <c r="BD766" s="215"/>
      <c r="BE766" s="215"/>
      <c r="BF766" s="215"/>
      <c r="BG766" s="215"/>
      <c r="BH766" s="215"/>
      <c r="BI766" s="215"/>
      <c r="BJ766" s="215"/>
      <c r="BK766" s="215"/>
      <c r="BL766" s="215"/>
      <c r="BM766" s="215"/>
      <c r="BN766" s="215"/>
      <c r="BO766" s="215"/>
      <c r="BP766" s="215"/>
      <c r="BQ766" s="215"/>
      <c r="BR766" s="215"/>
      <c r="BS766" s="215"/>
      <c r="BT766" s="215"/>
      <c r="BU766" s="215"/>
      <c r="BV766" s="215"/>
      <c r="BW766" s="215"/>
      <c r="BX766" s="215"/>
      <c r="BY766" s="215"/>
      <c r="BZ766" s="215"/>
      <c r="CA766" s="215"/>
      <c r="CB766" s="215"/>
      <c r="CC766" s="215"/>
      <c r="CD766" s="215"/>
      <c r="CE766" s="215"/>
    </row>
    <row r="767" spans="1:83" ht="12.65" customHeight="1" x14ac:dyDescent="0.3">
      <c r="A767" s="160" t="str">
        <f>RIGHT($C$83,3)&amp;"*"&amp;RIGHT($C$82,4)&amp;"*"&amp;AJ$55&amp;"*"&amp;"A"</f>
        <v>085*2021*7260*A</v>
      </c>
      <c r="B767" s="214">
        <f>ROUND(AJ59,0)</f>
        <v>96734</v>
      </c>
      <c r="C767" s="216">
        <f>ROUND(AJ60,2)</f>
        <v>171.77</v>
      </c>
      <c r="D767" s="214">
        <f>ROUND(AJ61,0)</f>
        <v>24197638</v>
      </c>
      <c r="E767" s="214">
        <f>ROUND(AJ62,0)</f>
        <v>5457781</v>
      </c>
      <c r="F767" s="214">
        <f>ROUND(AJ63,0)</f>
        <v>460885</v>
      </c>
      <c r="G767" s="214">
        <f>ROUND(AJ64,0)</f>
        <v>1676171</v>
      </c>
      <c r="H767" s="214">
        <f>ROUND(AJ65,0)</f>
        <v>129237</v>
      </c>
      <c r="I767" s="214">
        <f>ROUND(AJ66,0)</f>
        <v>420403</v>
      </c>
      <c r="J767" s="214">
        <f>ROUND(AJ67,0)</f>
        <v>973135</v>
      </c>
      <c r="K767" s="214">
        <f>ROUND(AJ68,0)</f>
        <v>250063</v>
      </c>
      <c r="L767" s="214">
        <f>ROUND(AJ69,0)</f>
        <v>212071</v>
      </c>
      <c r="M767" s="214">
        <f>ROUND(AJ70,0)</f>
        <v>0</v>
      </c>
      <c r="N767" s="214">
        <f>ROUND(AJ75,0)</f>
        <v>46417561</v>
      </c>
      <c r="O767" s="214">
        <f>ROUND(AJ73,0)</f>
        <v>1629119</v>
      </c>
      <c r="P767" s="214">
        <f>IF(AJ76&gt;0,ROUND(AJ76,0),0)</f>
        <v>31204</v>
      </c>
      <c r="Q767" s="214">
        <f>IF(AJ77&gt;0,ROUND(AJ77,0),0)</f>
        <v>0</v>
      </c>
      <c r="R767" s="214">
        <f>IF(AJ78&gt;0,ROUND(AJ78,0),0)</f>
        <v>10537</v>
      </c>
      <c r="S767" s="214">
        <f>IF(AJ79&gt;0,ROUND(AJ79,0),0)</f>
        <v>26732</v>
      </c>
      <c r="T767" s="216">
        <f>IF(AJ80&gt;0,ROUND(AJ80,2),0)</f>
        <v>12.8</v>
      </c>
      <c r="U767" s="214"/>
      <c r="V767" s="215"/>
      <c r="W767" s="214"/>
      <c r="X767" s="214"/>
      <c r="Y767" s="214">
        <f t="shared" si="22"/>
        <v>4181187</v>
      </c>
      <c r="Z767" s="215"/>
      <c r="AA767" s="215"/>
      <c r="AB767" s="215"/>
      <c r="AC767" s="215"/>
      <c r="AD767" s="215"/>
      <c r="AE767" s="215"/>
      <c r="AF767" s="215"/>
      <c r="AG767" s="215"/>
      <c r="AH767" s="215"/>
      <c r="AI767" s="215"/>
      <c r="AJ767" s="215"/>
      <c r="AK767" s="215"/>
      <c r="AL767" s="215"/>
      <c r="AM767" s="215"/>
      <c r="AN767" s="215"/>
      <c r="AO767" s="215"/>
      <c r="AP767" s="215"/>
      <c r="AQ767" s="215"/>
      <c r="AR767" s="215"/>
      <c r="AS767" s="215"/>
      <c r="AT767" s="215"/>
      <c r="AU767" s="215"/>
      <c r="AV767" s="215"/>
      <c r="AW767" s="215"/>
      <c r="AX767" s="215"/>
      <c r="AY767" s="215"/>
      <c r="AZ767" s="215"/>
      <c r="BA767" s="215"/>
      <c r="BB767" s="215"/>
      <c r="BC767" s="215"/>
      <c r="BD767" s="215"/>
      <c r="BE767" s="215"/>
      <c r="BF767" s="215"/>
      <c r="BG767" s="215"/>
      <c r="BH767" s="215"/>
      <c r="BI767" s="215"/>
      <c r="BJ767" s="215"/>
      <c r="BK767" s="215"/>
      <c r="BL767" s="215"/>
      <c r="BM767" s="215"/>
      <c r="BN767" s="215"/>
      <c r="BO767" s="215"/>
      <c r="BP767" s="215"/>
      <c r="BQ767" s="215"/>
      <c r="BR767" s="215"/>
      <c r="BS767" s="215"/>
      <c r="BT767" s="215"/>
      <c r="BU767" s="215"/>
      <c r="BV767" s="215"/>
      <c r="BW767" s="215"/>
      <c r="BX767" s="215"/>
      <c r="BY767" s="215"/>
      <c r="BZ767" s="215"/>
      <c r="CA767" s="215"/>
      <c r="CB767" s="215"/>
      <c r="CC767" s="215"/>
      <c r="CD767" s="215"/>
      <c r="CE767" s="215"/>
    </row>
    <row r="768" spans="1:83" ht="12.65" customHeight="1" x14ac:dyDescent="0.3">
      <c r="A768" s="160" t="str">
        <f>RIGHT($C$83,3)&amp;"*"&amp;RIGHT($C$82,4)&amp;"*"&amp;AK$55&amp;"*"&amp;"A"</f>
        <v>085*2021*7310*A</v>
      </c>
      <c r="B768" s="214">
        <f>ROUND(AK59,0)</f>
        <v>0</v>
      </c>
      <c r="C768" s="216">
        <f>ROUND(AK60,2)</f>
        <v>0</v>
      </c>
      <c r="D768" s="214">
        <f>ROUND(AK61,0)</f>
        <v>0</v>
      </c>
      <c r="E768" s="214">
        <f>ROUND(AK62,0)</f>
        <v>0</v>
      </c>
      <c r="F768" s="214">
        <f>ROUND(AK63,0)</f>
        <v>0</v>
      </c>
      <c r="G768" s="214">
        <f>ROUND(AK64,0)</f>
        <v>0</v>
      </c>
      <c r="H768" s="214">
        <f>ROUND(AK65,0)</f>
        <v>0</v>
      </c>
      <c r="I768" s="214">
        <f>ROUND(AK66,0)</f>
        <v>0</v>
      </c>
      <c r="J768" s="214">
        <f>ROUND(AK67,0)</f>
        <v>0</v>
      </c>
      <c r="K768" s="214">
        <f>ROUND(AK68,0)</f>
        <v>0</v>
      </c>
      <c r="L768" s="214">
        <f>ROUND(AK69,0)</f>
        <v>0</v>
      </c>
      <c r="M768" s="214">
        <f>ROUND(AK70,0)</f>
        <v>0</v>
      </c>
      <c r="N768" s="214">
        <f>ROUND(AK75,0)</f>
        <v>0</v>
      </c>
      <c r="O768" s="214">
        <f>ROUND(AK73,0)</f>
        <v>0</v>
      </c>
      <c r="P768" s="214">
        <f>IF(AK76&gt;0,ROUND(AK76,0),0)</f>
        <v>0</v>
      </c>
      <c r="Q768" s="214">
        <f>IF(AK77&gt;0,ROUND(AK77,0),0)</f>
        <v>0</v>
      </c>
      <c r="R768" s="214">
        <f>IF(AK78&gt;0,ROUND(AK78,0),0)</f>
        <v>0</v>
      </c>
      <c r="S768" s="214">
        <f>IF(AK79&gt;0,ROUND(AK79,0),0)</f>
        <v>0</v>
      </c>
      <c r="T768" s="216">
        <f>IF(AK80&gt;0,ROUND(AK80,2),0)</f>
        <v>0</v>
      </c>
      <c r="U768" s="214"/>
      <c r="V768" s="215"/>
      <c r="W768" s="214"/>
      <c r="X768" s="214"/>
      <c r="Y768" s="214">
        <f t="shared" si="22"/>
        <v>0</v>
      </c>
      <c r="Z768" s="215"/>
      <c r="AA768" s="215"/>
      <c r="AB768" s="215"/>
      <c r="AC768" s="215"/>
      <c r="AD768" s="215"/>
      <c r="AE768" s="215"/>
      <c r="AF768" s="215"/>
      <c r="AG768" s="215"/>
      <c r="AH768" s="215"/>
      <c r="AI768" s="215"/>
      <c r="AJ768" s="215"/>
      <c r="AK768" s="215"/>
      <c r="AL768" s="215"/>
      <c r="AM768" s="215"/>
      <c r="AN768" s="215"/>
      <c r="AO768" s="215"/>
      <c r="AP768" s="215"/>
      <c r="AQ768" s="215"/>
      <c r="AR768" s="215"/>
      <c r="AS768" s="215"/>
      <c r="AT768" s="215"/>
      <c r="AU768" s="215"/>
      <c r="AV768" s="215"/>
      <c r="AW768" s="215"/>
      <c r="AX768" s="215"/>
      <c r="AY768" s="215"/>
      <c r="AZ768" s="215"/>
      <c r="BA768" s="215"/>
      <c r="BB768" s="215"/>
      <c r="BC768" s="215"/>
      <c r="BD768" s="215"/>
      <c r="BE768" s="215"/>
      <c r="BF768" s="215"/>
      <c r="BG768" s="215"/>
      <c r="BH768" s="215"/>
      <c r="BI768" s="215"/>
      <c r="BJ768" s="215"/>
      <c r="BK768" s="215"/>
      <c r="BL768" s="215"/>
      <c r="BM768" s="215"/>
      <c r="BN768" s="215"/>
      <c r="BO768" s="215"/>
      <c r="BP768" s="215"/>
      <c r="BQ768" s="215"/>
      <c r="BR768" s="215"/>
      <c r="BS768" s="215"/>
      <c r="BT768" s="215"/>
      <c r="BU768" s="215"/>
      <c r="BV768" s="215"/>
      <c r="BW768" s="215"/>
      <c r="BX768" s="215"/>
      <c r="BY768" s="215"/>
      <c r="BZ768" s="215"/>
      <c r="CA768" s="215"/>
      <c r="CB768" s="215"/>
      <c r="CC768" s="215"/>
      <c r="CD768" s="215"/>
      <c r="CE768" s="215"/>
    </row>
    <row r="769" spans="1:83" ht="12.65" customHeight="1" x14ac:dyDescent="0.3">
      <c r="A769" s="160" t="str">
        <f>RIGHT($C$83,3)&amp;"*"&amp;RIGHT($C$82,4)&amp;"*"&amp;AL$55&amp;"*"&amp;"A"</f>
        <v>085*2021*7320*A</v>
      </c>
      <c r="B769" s="214">
        <f>ROUND(AL59,0)</f>
        <v>0</v>
      </c>
      <c r="C769" s="216">
        <f>ROUND(AL60,2)</f>
        <v>0</v>
      </c>
      <c r="D769" s="214">
        <f>ROUND(AL61,0)</f>
        <v>0</v>
      </c>
      <c r="E769" s="214">
        <f>ROUND(AL62,0)</f>
        <v>0</v>
      </c>
      <c r="F769" s="214">
        <f>ROUND(AL63,0)</f>
        <v>0</v>
      </c>
      <c r="G769" s="214">
        <f>ROUND(AL64,0)</f>
        <v>0</v>
      </c>
      <c r="H769" s="214">
        <f>ROUND(AL65,0)</f>
        <v>0</v>
      </c>
      <c r="I769" s="214">
        <f>ROUND(AL66,0)</f>
        <v>0</v>
      </c>
      <c r="J769" s="214">
        <f>ROUND(AL67,0)</f>
        <v>0</v>
      </c>
      <c r="K769" s="214">
        <f>ROUND(AL68,0)</f>
        <v>0</v>
      </c>
      <c r="L769" s="214">
        <f>ROUND(AL69,0)</f>
        <v>0</v>
      </c>
      <c r="M769" s="214">
        <f>ROUND(AL70,0)</f>
        <v>0</v>
      </c>
      <c r="N769" s="214">
        <f>ROUND(AL75,0)</f>
        <v>0</v>
      </c>
      <c r="O769" s="214">
        <f>ROUND(AL73,0)</f>
        <v>0</v>
      </c>
      <c r="P769" s="214">
        <f>IF(AL76&gt;0,ROUND(AL76,0),0)</f>
        <v>0</v>
      </c>
      <c r="Q769" s="214">
        <f>IF(AL77&gt;0,ROUND(AL77,0),0)</f>
        <v>0</v>
      </c>
      <c r="R769" s="214">
        <f>IF(AL78&gt;0,ROUND(AL78,0),0)</f>
        <v>0</v>
      </c>
      <c r="S769" s="214">
        <f>IF(AL79&gt;0,ROUND(AL79,0),0)</f>
        <v>0</v>
      </c>
      <c r="T769" s="216">
        <f>IF(AL80&gt;0,ROUND(AL80,2),0)</f>
        <v>0</v>
      </c>
      <c r="U769" s="214"/>
      <c r="V769" s="215"/>
      <c r="W769" s="214"/>
      <c r="X769" s="214"/>
      <c r="Y769" s="214">
        <f t="shared" si="22"/>
        <v>0</v>
      </c>
      <c r="Z769" s="215"/>
      <c r="AA769" s="215"/>
      <c r="AB769" s="215"/>
      <c r="AC769" s="215"/>
      <c r="AD769" s="215"/>
      <c r="AE769" s="215"/>
      <c r="AF769" s="215"/>
      <c r="AG769" s="215"/>
      <c r="AH769" s="215"/>
      <c r="AI769" s="215"/>
      <c r="AJ769" s="215"/>
      <c r="AK769" s="215"/>
      <c r="AL769" s="215"/>
      <c r="AM769" s="215"/>
      <c r="AN769" s="215"/>
      <c r="AO769" s="215"/>
      <c r="AP769" s="215"/>
      <c r="AQ769" s="215"/>
      <c r="AR769" s="215"/>
      <c r="AS769" s="215"/>
      <c r="AT769" s="215"/>
      <c r="AU769" s="215"/>
      <c r="AV769" s="215"/>
      <c r="AW769" s="215"/>
      <c r="AX769" s="215"/>
      <c r="AY769" s="215"/>
      <c r="AZ769" s="215"/>
      <c r="BA769" s="215"/>
      <c r="BB769" s="215"/>
      <c r="BC769" s="215"/>
      <c r="BD769" s="215"/>
      <c r="BE769" s="215"/>
      <c r="BF769" s="215"/>
      <c r="BG769" s="215"/>
      <c r="BH769" s="215"/>
      <c r="BI769" s="215"/>
      <c r="BJ769" s="215"/>
      <c r="BK769" s="215"/>
      <c r="BL769" s="215"/>
      <c r="BM769" s="215"/>
      <c r="BN769" s="215"/>
      <c r="BO769" s="215"/>
      <c r="BP769" s="215"/>
      <c r="BQ769" s="215"/>
      <c r="BR769" s="215"/>
      <c r="BS769" s="215"/>
      <c r="BT769" s="215"/>
      <c r="BU769" s="215"/>
      <c r="BV769" s="215"/>
      <c r="BW769" s="215"/>
      <c r="BX769" s="215"/>
      <c r="BY769" s="215"/>
      <c r="BZ769" s="215"/>
      <c r="CA769" s="215"/>
      <c r="CB769" s="215"/>
      <c r="CC769" s="215"/>
      <c r="CD769" s="215"/>
      <c r="CE769" s="215"/>
    </row>
    <row r="770" spans="1:83" ht="12.65" customHeight="1" x14ac:dyDescent="0.3">
      <c r="A770" s="160" t="str">
        <f>RIGHT($C$83,3)&amp;"*"&amp;RIGHT($C$82,4)&amp;"*"&amp;AM$55&amp;"*"&amp;"A"</f>
        <v>085*2021*7330*A</v>
      </c>
      <c r="B770" s="214">
        <f>ROUND(AM59,0)</f>
        <v>0</v>
      </c>
      <c r="C770" s="216">
        <f>ROUND(AM60,2)</f>
        <v>0</v>
      </c>
      <c r="D770" s="214">
        <f>ROUND(AM61,0)</f>
        <v>0</v>
      </c>
      <c r="E770" s="214">
        <f>ROUND(AM62,0)</f>
        <v>0</v>
      </c>
      <c r="F770" s="214">
        <f>ROUND(AM63,0)</f>
        <v>0</v>
      </c>
      <c r="G770" s="214">
        <f>ROUND(AM64,0)</f>
        <v>0</v>
      </c>
      <c r="H770" s="214">
        <f>ROUND(AM65,0)</f>
        <v>0</v>
      </c>
      <c r="I770" s="214">
        <f>ROUND(AM66,0)</f>
        <v>0</v>
      </c>
      <c r="J770" s="214">
        <f>ROUND(AM67,0)</f>
        <v>0</v>
      </c>
      <c r="K770" s="214">
        <f>ROUND(AM68,0)</f>
        <v>0</v>
      </c>
      <c r="L770" s="214">
        <f>ROUND(AM69,0)</f>
        <v>0</v>
      </c>
      <c r="M770" s="214">
        <f>ROUND(AM70,0)</f>
        <v>0</v>
      </c>
      <c r="N770" s="214">
        <f>ROUND(AM75,0)</f>
        <v>0</v>
      </c>
      <c r="O770" s="214">
        <f>ROUND(AM73,0)</f>
        <v>0</v>
      </c>
      <c r="P770" s="214">
        <f>IF(AM76&gt;0,ROUND(AM76,0),0)</f>
        <v>0</v>
      </c>
      <c r="Q770" s="214">
        <f>IF(AM77&gt;0,ROUND(AM77,0),0)</f>
        <v>0</v>
      </c>
      <c r="R770" s="214">
        <f>IF(AM78&gt;0,ROUND(AM78,0),0)</f>
        <v>0</v>
      </c>
      <c r="S770" s="214">
        <f>IF(AM79&gt;0,ROUND(AM79,0),0)</f>
        <v>0</v>
      </c>
      <c r="T770" s="216">
        <f>IF(AM80&gt;0,ROUND(AM80,2),0)</f>
        <v>0</v>
      </c>
      <c r="U770" s="214"/>
      <c r="V770" s="215"/>
      <c r="W770" s="214"/>
      <c r="X770" s="214"/>
      <c r="Y770" s="214">
        <f t="shared" si="22"/>
        <v>0</v>
      </c>
      <c r="Z770" s="215"/>
      <c r="AA770" s="215"/>
      <c r="AB770" s="215"/>
      <c r="AC770" s="215"/>
      <c r="AD770" s="215"/>
      <c r="AE770" s="215"/>
      <c r="AF770" s="215"/>
      <c r="AG770" s="215"/>
      <c r="AH770" s="215"/>
      <c r="AI770" s="215"/>
      <c r="AJ770" s="215"/>
      <c r="AK770" s="215"/>
      <c r="AL770" s="215"/>
      <c r="AM770" s="215"/>
      <c r="AN770" s="215"/>
      <c r="AO770" s="215"/>
      <c r="AP770" s="215"/>
      <c r="AQ770" s="215"/>
      <c r="AR770" s="215"/>
      <c r="AS770" s="215"/>
      <c r="AT770" s="215"/>
      <c r="AU770" s="215"/>
      <c r="AV770" s="215"/>
      <c r="AW770" s="215"/>
      <c r="AX770" s="215"/>
      <c r="AY770" s="215"/>
      <c r="AZ770" s="215"/>
      <c r="BA770" s="215"/>
      <c r="BB770" s="215"/>
      <c r="BC770" s="215"/>
      <c r="BD770" s="215"/>
      <c r="BE770" s="215"/>
      <c r="BF770" s="215"/>
      <c r="BG770" s="215"/>
      <c r="BH770" s="215"/>
      <c r="BI770" s="215"/>
      <c r="BJ770" s="215"/>
      <c r="BK770" s="215"/>
      <c r="BL770" s="215"/>
      <c r="BM770" s="215"/>
      <c r="BN770" s="215"/>
      <c r="BO770" s="215"/>
      <c r="BP770" s="215"/>
      <c r="BQ770" s="215"/>
      <c r="BR770" s="215"/>
      <c r="BS770" s="215"/>
      <c r="BT770" s="215"/>
      <c r="BU770" s="215"/>
      <c r="BV770" s="215"/>
      <c r="BW770" s="215"/>
      <c r="BX770" s="215"/>
      <c r="BY770" s="215"/>
      <c r="BZ770" s="215"/>
      <c r="CA770" s="215"/>
      <c r="CB770" s="215"/>
      <c r="CC770" s="215"/>
      <c r="CD770" s="215"/>
      <c r="CE770" s="215"/>
    </row>
    <row r="771" spans="1:83" ht="12.65" customHeight="1" x14ac:dyDescent="0.3">
      <c r="A771" s="160" t="str">
        <f>RIGHT($C$83,3)&amp;"*"&amp;RIGHT($C$82,4)&amp;"*"&amp;AN$55&amp;"*"&amp;"A"</f>
        <v>085*2021*7340*A</v>
      </c>
      <c r="B771" s="214">
        <f>ROUND(AN59,0)</f>
        <v>0</v>
      </c>
      <c r="C771" s="216">
        <f>ROUND(AN60,2)</f>
        <v>0</v>
      </c>
      <c r="D771" s="214">
        <f>ROUND(AN61,0)</f>
        <v>0</v>
      </c>
      <c r="E771" s="214">
        <f>ROUND(AN62,0)</f>
        <v>0</v>
      </c>
      <c r="F771" s="214">
        <f>ROUND(AN63,0)</f>
        <v>0</v>
      </c>
      <c r="G771" s="214">
        <f>ROUND(AN64,0)</f>
        <v>0</v>
      </c>
      <c r="H771" s="214">
        <f>ROUND(AN65,0)</f>
        <v>0</v>
      </c>
      <c r="I771" s="214">
        <f>ROUND(AN66,0)</f>
        <v>0</v>
      </c>
      <c r="J771" s="214">
        <f>ROUND(AN67,0)</f>
        <v>0</v>
      </c>
      <c r="K771" s="214">
        <f>ROUND(AN68,0)</f>
        <v>0</v>
      </c>
      <c r="L771" s="214">
        <f>ROUND(AN69,0)</f>
        <v>0</v>
      </c>
      <c r="M771" s="214">
        <f>ROUND(AN70,0)</f>
        <v>0</v>
      </c>
      <c r="N771" s="214">
        <f>ROUND(AN75,0)</f>
        <v>0</v>
      </c>
      <c r="O771" s="214">
        <f>ROUND(AN73,0)</f>
        <v>0</v>
      </c>
      <c r="P771" s="214">
        <f>IF(AN76&gt;0,ROUND(AN76,0),0)</f>
        <v>0</v>
      </c>
      <c r="Q771" s="214">
        <f>IF(AN77&gt;0,ROUND(AN77,0),0)</f>
        <v>0</v>
      </c>
      <c r="R771" s="214">
        <f>IF(AN78&gt;0,ROUND(AN78,0),0)</f>
        <v>0</v>
      </c>
      <c r="S771" s="214">
        <f>IF(AN79&gt;0,ROUND(AN79,0),0)</f>
        <v>0</v>
      </c>
      <c r="T771" s="216">
        <f>IF(AN80&gt;0,ROUND(AN80,2),0)</f>
        <v>0</v>
      </c>
      <c r="U771" s="214"/>
      <c r="V771" s="215"/>
      <c r="W771" s="214"/>
      <c r="X771" s="214"/>
      <c r="Y771" s="214">
        <f t="shared" si="22"/>
        <v>0</v>
      </c>
      <c r="Z771" s="215"/>
      <c r="AA771" s="215"/>
      <c r="AB771" s="215"/>
      <c r="AC771" s="215"/>
      <c r="AD771" s="215"/>
      <c r="AE771" s="215"/>
      <c r="AF771" s="215"/>
      <c r="AG771" s="215"/>
      <c r="AH771" s="215"/>
      <c r="AI771" s="215"/>
      <c r="AJ771" s="215"/>
      <c r="AK771" s="215"/>
      <c r="AL771" s="215"/>
      <c r="AM771" s="215"/>
      <c r="AN771" s="215"/>
      <c r="AO771" s="215"/>
      <c r="AP771" s="215"/>
      <c r="AQ771" s="215"/>
      <c r="AR771" s="215"/>
      <c r="AS771" s="215"/>
      <c r="AT771" s="215"/>
      <c r="AU771" s="215"/>
      <c r="AV771" s="215"/>
      <c r="AW771" s="215"/>
      <c r="AX771" s="215"/>
      <c r="AY771" s="215"/>
      <c r="AZ771" s="215"/>
      <c r="BA771" s="215"/>
      <c r="BB771" s="215"/>
      <c r="BC771" s="215"/>
      <c r="BD771" s="215"/>
      <c r="BE771" s="215"/>
      <c r="BF771" s="215"/>
      <c r="BG771" s="215"/>
      <c r="BH771" s="215"/>
      <c r="BI771" s="215"/>
      <c r="BJ771" s="215"/>
      <c r="BK771" s="215"/>
      <c r="BL771" s="215"/>
      <c r="BM771" s="215"/>
      <c r="BN771" s="215"/>
      <c r="BO771" s="215"/>
      <c r="BP771" s="215"/>
      <c r="BQ771" s="215"/>
      <c r="BR771" s="215"/>
      <c r="BS771" s="215"/>
      <c r="BT771" s="215"/>
      <c r="BU771" s="215"/>
      <c r="BV771" s="215"/>
      <c r="BW771" s="215"/>
      <c r="BX771" s="215"/>
      <c r="BY771" s="215"/>
      <c r="BZ771" s="215"/>
      <c r="CA771" s="215"/>
      <c r="CB771" s="215"/>
      <c r="CC771" s="215"/>
      <c r="CD771" s="215"/>
      <c r="CE771" s="215"/>
    </row>
    <row r="772" spans="1:83" ht="12.65" customHeight="1" x14ac:dyDescent="0.3">
      <c r="A772" s="160" t="str">
        <f>RIGHT($C$83,3)&amp;"*"&amp;RIGHT($C$82,4)&amp;"*"&amp;AO$55&amp;"*"&amp;"A"</f>
        <v>085*2021*7350*A</v>
      </c>
      <c r="B772" s="214">
        <f>ROUND(AO59,0)</f>
        <v>8160</v>
      </c>
      <c r="C772" s="216">
        <f>ROUND(AO60,2)</f>
        <v>3.9</v>
      </c>
      <c r="D772" s="214">
        <f>ROUND(AO61,0)</f>
        <v>538308</v>
      </c>
      <c r="E772" s="214">
        <f>ROUND(AO62,0)</f>
        <v>121415</v>
      </c>
      <c r="F772" s="214">
        <f>ROUND(AO63,0)</f>
        <v>589</v>
      </c>
      <c r="G772" s="214">
        <f>ROUND(AO64,0)</f>
        <v>31956</v>
      </c>
      <c r="H772" s="214">
        <f>ROUND(AO65,0)</f>
        <v>0</v>
      </c>
      <c r="I772" s="214">
        <f>ROUND(AO66,0)</f>
        <v>812</v>
      </c>
      <c r="J772" s="214">
        <f>ROUND(AO67,0)</f>
        <v>27600</v>
      </c>
      <c r="K772" s="214">
        <f>ROUND(AO68,0)</f>
        <v>0</v>
      </c>
      <c r="L772" s="214">
        <f>ROUND(AO69,0)</f>
        <v>3464</v>
      </c>
      <c r="M772" s="214">
        <f>ROUND(AO70,0)</f>
        <v>0</v>
      </c>
      <c r="N772" s="214">
        <f>ROUND(AO75,0)</f>
        <v>1063831</v>
      </c>
      <c r="O772" s="214">
        <f>ROUND(AO73,0)</f>
        <v>878220</v>
      </c>
      <c r="P772" s="214">
        <f>IF(AO76&gt;0,ROUND(AO76,0),0)</f>
        <v>885</v>
      </c>
      <c r="Q772" s="214">
        <f>IF(AO77&gt;0,ROUND(AO77,0),0)</f>
        <v>0</v>
      </c>
      <c r="R772" s="214">
        <f>IF(AO78&gt;0,ROUND(AO78,0),0)</f>
        <v>299</v>
      </c>
      <c r="S772" s="214">
        <f>IF(AO79&gt;0,ROUND(AO79,0),0)</f>
        <v>4200</v>
      </c>
      <c r="T772" s="216">
        <f>IF(AO80&gt;0,ROUND(AO80,2),0)</f>
        <v>3.9</v>
      </c>
      <c r="U772" s="214"/>
      <c r="V772" s="215"/>
      <c r="W772" s="214"/>
      <c r="X772" s="214"/>
      <c r="Y772" s="214">
        <f t="shared" si="22"/>
        <v>169404</v>
      </c>
      <c r="Z772" s="215"/>
      <c r="AA772" s="215"/>
      <c r="AB772" s="215"/>
      <c r="AC772" s="215"/>
      <c r="AD772" s="215"/>
      <c r="AE772" s="215"/>
      <c r="AF772" s="215"/>
      <c r="AG772" s="215"/>
      <c r="AH772" s="215"/>
      <c r="AI772" s="215"/>
      <c r="AJ772" s="215"/>
      <c r="AK772" s="215"/>
      <c r="AL772" s="215"/>
      <c r="AM772" s="215"/>
      <c r="AN772" s="215"/>
      <c r="AO772" s="215"/>
      <c r="AP772" s="215"/>
      <c r="AQ772" s="215"/>
      <c r="AR772" s="215"/>
      <c r="AS772" s="215"/>
      <c r="AT772" s="215"/>
      <c r="AU772" s="215"/>
      <c r="AV772" s="215"/>
      <c r="AW772" s="215"/>
      <c r="AX772" s="215"/>
      <c r="AY772" s="215"/>
      <c r="AZ772" s="215"/>
      <c r="BA772" s="215"/>
      <c r="BB772" s="215"/>
      <c r="BC772" s="215"/>
      <c r="BD772" s="215"/>
      <c r="BE772" s="215"/>
      <c r="BF772" s="215"/>
      <c r="BG772" s="215"/>
      <c r="BH772" s="215"/>
      <c r="BI772" s="215"/>
      <c r="BJ772" s="215"/>
      <c r="BK772" s="215"/>
      <c r="BL772" s="215"/>
      <c r="BM772" s="215"/>
      <c r="BN772" s="215"/>
      <c r="BO772" s="215"/>
      <c r="BP772" s="215"/>
      <c r="BQ772" s="215"/>
      <c r="BR772" s="215"/>
      <c r="BS772" s="215"/>
      <c r="BT772" s="215"/>
      <c r="BU772" s="215"/>
      <c r="BV772" s="215"/>
      <c r="BW772" s="215"/>
      <c r="BX772" s="215"/>
      <c r="BY772" s="215"/>
      <c r="BZ772" s="215"/>
      <c r="CA772" s="215"/>
      <c r="CB772" s="215"/>
      <c r="CC772" s="215"/>
      <c r="CD772" s="215"/>
      <c r="CE772" s="215"/>
    </row>
    <row r="773" spans="1:83" ht="12.65" customHeight="1" x14ac:dyDescent="0.3">
      <c r="A773" s="160" t="str">
        <f>RIGHT($C$83,3)&amp;"*"&amp;RIGHT($C$82,4)&amp;"*"&amp;AP$55&amp;"*"&amp;"A"</f>
        <v>085*2021*7380*A</v>
      </c>
      <c r="B773" s="214">
        <f>ROUND(AP59,0)</f>
        <v>2051</v>
      </c>
      <c r="C773" s="216">
        <f>ROUND(AP60,2)</f>
        <v>2.98</v>
      </c>
      <c r="D773" s="214">
        <f>ROUND(AP61,0)</f>
        <v>271236</v>
      </c>
      <c r="E773" s="214">
        <f>ROUND(AP62,0)</f>
        <v>61177</v>
      </c>
      <c r="F773" s="214">
        <f>ROUND(AP63,0)</f>
        <v>507700</v>
      </c>
      <c r="G773" s="214">
        <f>ROUND(AP64,0)</f>
        <v>982</v>
      </c>
      <c r="H773" s="214">
        <f>ROUND(AP65,0)</f>
        <v>8670</v>
      </c>
      <c r="I773" s="214">
        <f>ROUND(AP66,0)</f>
        <v>451788</v>
      </c>
      <c r="J773" s="214">
        <f>ROUND(AP67,0)</f>
        <v>0</v>
      </c>
      <c r="K773" s="214">
        <f>ROUND(AP68,0)</f>
        <v>100365</v>
      </c>
      <c r="L773" s="214">
        <f>ROUND(AP69,0)</f>
        <v>3796</v>
      </c>
      <c r="M773" s="214">
        <f>ROUND(AP70,0)</f>
        <v>0</v>
      </c>
      <c r="N773" s="214">
        <f>ROUND(AP75,0)</f>
        <v>1787438</v>
      </c>
      <c r="O773" s="214">
        <f>ROUND(AP73,0)</f>
        <v>51453</v>
      </c>
      <c r="P773" s="214">
        <f>IF(AP76&gt;0,ROUND(AP76,0),0)</f>
        <v>0</v>
      </c>
      <c r="Q773" s="214">
        <f>IF(AP77&gt;0,ROUND(AP77,0),0)</f>
        <v>0</v>
      </c>
      <c r="R773" s="214">
        <f>IF(AP78&gt;0,ROUND(AP78,0),0)</f>
        <v>0</v>
      </c>
      <c r="S773" s="214">
        <f>IF(AP79&gt;0,ROUND(AP79,0),0)</f>
        <v>0</v>
      </c>
      <c r="T773" s="216">
        <f>IF(AP80&gt;0,ROUND(AP80,2),0)</f>
        <v>0</v>
      </c>
      <c r="U773" s="214"/>
      <c r="V773" s="215"/>
      <c r="W773" s="214"/>
      <c r="X773" s="214"/>
      <c r="Y773" s="214">
        <f t="shared" si="22"/>
        <v>156137</v>
      </c>
      <c r="Z773" s="215"/>
      <c r="AA773" s="215"/>
      <c r="AB773" s="215"/>
      <c r="AC773" s="215"/>
      <c r="AD773" s="215"/>
      <c r="AE773" s="215"/>
      <c r="AF773" s="215"/>
      <c r="AG773" s="215"/>
      <c r="AH773" s="215"/>
      <c r="AI773" s="215"/>
      <c r="AJ773" s="215"/>
      <c r="AK773" s="215"/>
      <c r="AL773" s="215"/>
      <c r="AM773" s="215"/>
      <c r="AN773" s="215"/>
      <c r="AO773" s="215"/>
      <c r="AP773" s="215"/>
      <c r="AQ773" s="215"/>
      <c r="AR773" s="215"/>
      <c r="AS773" s="215"/>
      <c r="AT773" s="215"/>
      <c r="AU773" s="215"/>
      <c r="AV773" s="215"/>
      <c r="AW773" s="215"/>
      <c r="AX773" s="215"/>
      <c r="AY773" s="215"/>
      <c r="AZ773" s="215"/>
      <c r="BA773" s="215"/>
      <c r="BB773" s="215"/>
      <c r="BC773" s="215"/>
      <c r="BD773" s="215"/>
      <c r="BE773" s="215"/>
      <c r="BF773" s="215"/>
      <c r="BG773" s="215"/>
      <c r="BH773" s="215"/>
      <c r="BI773" s="215"/>
      <c r="BJ773" s="215"/>
      <c r="BK773" s="215"/>
      <c r="BL773" s="215"/>
      <c r="BM773" s="215"/>
      <c r="BN773" s="215"/>
      <c r="BO773" s="215"/>
      <c r="BP773" s="215"/>
      <c r="BQ773" s="215"/>
      <c r="BR773" s="215"/>
      <c r="BS773" s="215"/>
      <c r="BT773" s="215"/>
      <c r="BU773" s="215"/>
      <c r="BV773" s="215"/>
      <c r="BW773" s="215"/>
      <c r="BX773" s="215"/>
      <c r="BY773" s="215"/>
      <c r="BZ773" s="215"/>
      <c r="CA773" s="215"/>
      <c r="CB773" s="215"/>
      <c r="CC773" s="215"/>
      <c r="CD773" s="215"/>
      <c r="CE773" s="215"/>
    </row>
    <row r="774" spans="1:83" ht="12.65" customHeight="1" x14ac:dyDescent="0.3">
      <c r="A774" s="160" t="str">
        <f>RIGHT($C$83,3)&amp;"*"&amp;RIGHT($C$82,4)&amp;"*"&amp;AQ$55&amp;"*"&amp;"A"</f>
        <v>085*2021*7390*A</v>
      </c>
      <c r="B774" s="214">
        <f>ROUND(AQ59,0)</f>
        <v>0</v>
      </c>
      <c r="C774" s="216">
        <f>ROUND(AQ60,2)</f>
        <v>0</v>
      </c>
      <c r="D774" s="214">
        <f>ROUND(AQ61,0)</f>
        <v>0</v>
      </c>
      <c r="E774" s="214">
        <f>ROUND(AQ62,0)</f>
        <v>0</v>
      </c>
      <c r="F774" s="214">
        <f>ROUND(AQ63,0)</f>
        <v>0</v>
      </c>
      <c r="G774" s="214">
        <f>ROUND(AQ64,0)</f>
        <v>0</v>
      </c>
      <c r="H774" s="214">
        <f>ROUND(AQ65,0)</f>
        <v>0</v>
      </c>
      <c r="I774" s="214">
        <f>ROUND(AQ66,0)</f>
        <v>0</v>
      </c>
      <c r="J774" s="214">
        <f>ROUND(AQ67,0)</f>
        <v>0</v>
      </c>
      <c r="K774" s="214">
        <f>ROUND(AQ68,0)</f>
        <v>0</v>
      </c>
      <c r="L774" s="214">
        <f>ROUND(AQ69,0)</f>
        <v>0</v>
      </c>
      <c r="M774" s="214">
        <f>ROUND(AQ70,0)</f>
        <v>0</v>
      </c>
      <c r="N774" s="214">
        <f>ROUND(AQ75,0)</f>
        <v>0</v>
      </c>
      <c r="O774" s="214">
        <f>ROUND(AQ73,0)</f>
        <v>0</v>
      </c>
      <c r="P774" s="214">
        <f>IF(AQ76&gt;0,ROUND(AQ76,0),0)</f>
        <v>0</v>
      </c>
      <c r="Q774" s="214">
        <f>IF(AQ77&gt;0,ROUND(AQ77,0),0)</f>
        <v>0</v>
      </c>
      <c r="R774" s="214">
        <f>IF(AQ78&gt;0,ROUND(AQ78,0),0)</f>
        <v>0</v>
      </c>
      <c r="S774" s="214">
        <f>IF(AQ79&gt;0,ROUND(AQ79,0),0)</f>
        <v>0</v>
      </c>
      <c r="T774" s="216">
        <f>IF(AQ80&gt;0,ROUND(AQ80,2),0)</f>
        <v>0</v>
      </c>
      <c r="U774" s="214"/>
      <c r="V774" s="215"/>
      <c r="W774" s="214"/>
      <c r="X774" s="214"/>
      <c r="Y774" s="214">
        <f t="shared" si="22"/>
        <v>0</v>
      </c>
      <c r="Z774" s="215"/>
      <c r="AA774" s="215"/>
      <c r="AB774" s="215"/>
      <c r="AC774" s="215"/>
      <c r="AD774" s="215"/>
      <c r="AE774" s="215"/>
      <c r="AF774" s="215"/>
      <c r="AG774" s="215"/>
      <c r="AH774" s="215"/>
      <c r="AI774" s="215"/>
      <c r="AJ774" s="215"/>
      <c r="AK774" s="215"/>
      <c r="AL774" s="215"/>
      <c r="AM774" s="215"/>
      <c r="AN774" s="215"/>
      <c r="AO774" s="215"/>
      <c r="AP774" s="215"/>
      <c r="AQ774" s="215"/>
      <c r="AR774" s="215"/>
      <c r="AS774" s="215"/>
      <c r="AT774" s="215"/>
      <c r="AU774" s="215"/>
      <c r="AV774" s="215"/>
      <c r="AW774" s="215"/>
      <c r="AX774" s="215"/>
      <c r="AY774" s="215"/>
      <c r="AZ774" s="215"/>
      <c r="BA774" s="215"/>
      <c r="BB774" s="215"/>
      <c r="BC774" s="215"/>
      <c r="BD774" s="215"/>
      <c r="BE774" s="215"/>
      <c r="BF774" s="215"/>
      <c r="BG774" s="215"/>
      <c r="BH774" s="215"/>
      <c r="BI774" s="215"/>
      <c r="BJ774" s="215"/>
      <c r="BK774" s="215"/>
      <c r="BL774" s="215"/>
      <c r="BM774" s="215"/>
      <c r="BN774" s="215"/>
      <c r="BO774" s="215"/>
      <c r="BP774" s="215"/>
      <c r="BQ774" s="215"/>
      <c r="BR774" s="215"/>
      <c r="BS774" s="215"/>
      <c r="BT774" s="215"/>
      <c r="BU774" s="215"/>
      <c r="BV774" s="215"/>
      <c r="BW774" s="215"/>
      <c r="BX774" s="215"/>
      <c r="BY774" s="215"/>
      <c r="BZ774" s="215"/>
      <c r="CA774" s="215"/>
      <c r="CB774" s="215"/>
      <c r="CC774" s="215"/>
      <c r="CD774" s="215"/>
      <c r="CE774" s="215"/>
    </row>
    <row r="775" spans="1:83" ht="12.65" customHeight="1" x14ac:dyDescent="0.3">
      <c r="A775" s="160" t="str">
        <f>RIGHT($C$83,3)&amp;"*"&amp;RIGHT($C$82,4)&amp;"*"&amp;AR$55&amp;"*"&amp;"A"</f>
        <v>085*2021*7400*A</v>
      </c>
      <c r="B775" s="214">
        <f>ROUND(AR59,0)</f>
        <v>7790</v>
      </c>
      <c r="C775" s="216">
        <f>ROUND(AR60,2)</f>
        <v>25.23</v>
      </c>
      <c r="D775" s="214">
        <f>ROUND(AR61,0)</f>
        <v>2033262</v>
      </c>
      <c r="E775" s="214">
        <f>ROUND(AR62,0)</f>
        <v>458603</v>
      </c>
      <c r="F775" s="214">
        <f>ROUND(AR63,0)</f>
        <v>0</v>
      </c>
      <c r="G775" s="214">
        <f>ROUND(AR64,0)</f>
        <v>118870</v>
      </c>
      <c r="H775" s="214">
        <f>ROUND(AR65,0)</f>
        <v>2421</v>
      </c>
      <c r="I775" s="214">
        <f>ROUND(AR66,0)</f>
        <v>38906</v>
      </c>
      <c r="J775" s="214">
        <f>ROUND(AR67,0)</f>
        <v>0</v>
      </c>
      <c r="K775" s="214">
        <f>ROUND(AR68,0)</f>
        <v>39485</v>
      </c>
      <c r="L775" s="214">
        <f>ROUND(AR69,0)</f>
        <v>92692</v>
      </c>
      <c r="M775" s="214">
        <f>ROUND(AR70,0)</f>
        <v>0</v>
      </c>
      <c r="N775" s="214">
        <f>ROUND(AR75,0)</f>
        <v>2354517</v>
      </c>
      <c r="O775" s="214">
        <f>ROUND(AR73,0)</f>
        <v>0</v>
      </c>
      <c r="P775" s="214">
        <f>IF(AR76&gt;0,ROUND(AR76,0),0)</f>
        <v>0</v>
      </c>
      <c r="Q775" s="214">
        <f>IF(AR77&gt;0,ROUND(AR77,0),0)</f>
        <v>0</v>
      </c>
      <c r="R775" s="214">
        <f>IF(AR78&gt;0,ROUND(AR78,0),0)</f>
        <v>0</v>
      </c>
      <c r="S775" s="214">
        <f>IF(AR79&gt;0,ROUND(AR79,0),0)</f>
        <v>0</v>
      </c>
      <c r="T775" s="216">
        <f>IF(AR80&gt;0,ROUND(AR80,2),0)</f>
        <v>0</v>
      </c>
      <c r="U775" s="214"/>
      <c r="V775" s="215"/>
      <c r="W775" s="214"/>
      <c r="X775" s="214"/>
      <c r="Y775" s="214">
        <f t="shared" si="22"/>
        <v>334599</v>
      </c>
      <c r="Z775" s="215"/>
      <c r="AA775" s="215"/>
      <c r="AB775" s="215"/>
      <c r="AC775" s="215"/>
      <c r="AD775" s="215"/>
      <c r="AE775" s="215"/>
      <c r="AF775" s="215"/>
      <c r="AG775" s="215"/>
      <c r="AH775" s="215"/>
      <c r="AI775" s="215"/>
      <c r="AJ775" s="215"/>
      <c r="AK775" s="215"/>
      <c r="AL775" s="215"/>
      <c r="AM775" s="215"/>
      <c r="AN775" s="215"/>
      <c r="AO775" s="215"/>
      <c r="AP775" s="215"/>
      <c r="AQ775" s="215"/>
      <c r="AR775" s="215"/>
      <c r="AS775" s="215"/>
      <c r="AT775" s="215"/>
      <c r="AU775" s="215"/>
      <c r="AV775" s="215"/>
      <c r="AW775" s="215"/>
      <c r="AX775" s="215"/>
      <c r="AY775" s="215"/>
      <c r="AZ775" s="215"/>
      <c r="BA775" s="215"/>
      <c r="BB775" s="215"/>
      <c r="BC775" s="215"/>
      <c r="BD775" s="215"/>
      <c r="BE775" s="215"/>
      <c r="BF775" s="215"/>
      <c r="BG775" s="215"/>
      <c r="BH775" s="215"/>
      <c r="BI775" s="215"/>
      <c r="BJ775" s="215"/>
      <c r="BK775" s="215"/>
      <c r="BL775" s="215"/>
      <c r="BM775" s="215"/>
      <c r="BN775" s="215"/>
      <c r="BO775" s="215"/>
      <c r="BP775" s="215"/>
      <c r="BQ775" s="215"/>
      <c r="BR775" s="215"/>
      <c r="BS775" s="215"/>
      <c r="BT775" s="215"/>
      <c r="BU775" s="215"/>
      <c r="BV775" s="215"/>
      <c r="BW775" s="215"/>
      <c r="BX775" s="215"/>
      <c r="BY775" s="215"/>
      <c r="BZ775" s="215"/>
      <c r="CA775" s="215"/>
      <c r="CB775" s="215"/>
      <c r="CC775" s="215"/>
      <c r="CD775" s="215"/>
      <c r="CE775" s="215"/>
    </row>
    <row r="776" spans="1:83" ht="12.65" customHeight="1" x14ac:dyDescent="0.3">
      <c r="A776" s="160" t="str">
        <f>RIGHT($C$83,3)&amp;"*"&amp;RIGHT($C$82,4)&amp;"*"&amp;AS$55&amp;"*"&amp;"A"</f>
        <v>085*2021*7410*A</v>
      </c>
      <c r="B776" s="214">
        <f>ROUND(AS59,0)</f>
        <v>0</v>
      </c>
      <c r="C776" s="216">
        <f>ROUND(AS60,2)</f>
        <v>0</v>
      </c>
      <c r="D776" s="214">
        <f>ROUND(AS61,0)</f>
        <v>0</v>
      </c>
      <c r="E776" s="214">
        <f>ROUND(AS62,0)</f>
        <v>0</v>
      </c>
      <c r="F776" s="214">
        <f>ROUND(AS63,0)</f>
        <v>0</v>
      </c>
      <c r="G776" s="214">
        <f>ROUND(AS64,0)</f>
        <v>0</v>
      </c>
      <c r="H776" s="214">
        <f>ROUND(AS65,0)</f>
        <v>0</v>
      </c>
      <c r="I776" s="214">
        <f>ROUND(AS66,0)</f>
        <v>0</v>
      </c>
      <c r="J776" s="214">
        <f>ROUND(AS67,0)</f>
        <v>0</v>
      </c>
      <c r="K776" s="214">
        <f>ROUND(AS68,0)</f>
        <v>0</v>
      </c>
      <c r="L776" s="214">
        <f>ROUND(AS69,0)</f>
        <v>0</v>
      </c>
      <c r="M776" s="214">
        <f>ROUND(AS70,0)</f>
        <v>0</v>
      </c>
      <c r="N776" s="214">
        <f>ROUND(AS75,0)</f>
        <v>0</v>
      </c>
      <c r="O776" s="214">
        <f>ROUND(AS73,0)</f>
        <v>0</v>
      </c>
      <c r="P776" s="214">
        <f>IF(AS76&gt;0,ROUND(AS76,0),0)</f>
        <v>0</v>
      </c>
      <c r="Q776" s="214">
        <f>IF(AS77&gt;0,ROUND(AS77,0),0)</f>
        <v>0</v>
      </c>
      <c r="R776" s="214">
        <f>IF(AS78&gt;0,ROUND(AS78,0),0)</f>
        <v>0</v>
      </c>
      <c r="S776" s="214">
        <f>IF(AS79&gt;0,ROUND(AS79,0),0)</f>
        <v>0</v>
      </c>
      <c r="T776" s="216">
        <f>IF(AS80&gt;0,ROUND(AS80,2),0)</f>
        <v>0</v>
      </c>
      <c r="U776" s="214"/>
      <c r="V776" s="215"/>
      <c r="W776" s="214"/>
      <c r="X776" s="214"/>
      <c r="Y776" s="214">
        <f t="shared" si="22"/>
        <v>0</v>
      </c>
      <c r="Z776" s="215"/>
      <c r="AA776" s="215"/>
      <c r="AB776" s="215"/>
      <c r="AC776" s="215"/>
      <c r="AD776" s="215"/>
      <c r="AE776" s="215"/>
      <c r="AF776" s="215"/>
      <c r="AG776" s="215"/>
      <c r="AH776" s="215"/>
      <c r="AI776" s="215"/>
      <c r="AJ776" s="215"/>
      <c r="AK776" s="215"/>
      <c r="AL776" s="215"/>
      <c r="AM776" s="215"/>
      <c r="AN776" s="215"/>
      <c r="AO776" s="215"/>
      <c r="AP776" s="215"/>
      <c r="AQ776" s="215"/>
      <c r="AR776" s="215"/>
      <c r="AS776" s="215"/>
      <c r="AT776" s="215"/>
      <c r="AU776" s="215"/>
      <c r="AV776" s="215"/>
      <c r="AW776" s="215"/>
      <c r="AX776" s="215"/>
      <c r="AY776" s="215"/>
      <c r="AZ776" s="215"/>
      <c r="BA776" s="215"/>
      <c r="BB776" s="215"/>
      <c r="BC776" s="215"/>
      <c r="BD776" s="215"/>
      <c r="BE776" s="215"/>
      <c r="BF776" s="215"/>
      <c r="BG776" s="215"/>
      <c r="BH776" s="215"/>
      <c r="BI776" s="215"/>
      <c r="BJ776" s="215"/>
      <c r="BK776" s="215"/>
      <c r="BL776" s="215"/>
      <c r="BM776" s="215"/>
      <c r="BN776" s="215"/>
      <c r="BO776" s="215"/>
      <c r="BP776" s="215"/>
      <c r="BQ776" s="215"/>
      <c r="BR776" s="215"/>
      <c r="BS776" s="215"/>
      <c r="BT776" s="215"/>
      <c r="BU776" s="215"/>
      <c r="BV776" s="215"/>
      <c r="BW776" s="215"/>
      <c r="BX776" s="215"/>
      <c r="BY776" s="215"/>
      <c r="BZ776" s="215"/>
      <c r="CA776" s="215"/>
      <c r="CB776" s="215"/>
      <c r="CC776" s="215"/>
      <c r="CD776" s="215"/>
      <c r="CE776" s="215"/>
    </row>
    <row r="777" spans="1:83" ht="12.65" customHeight="1" x14ac:dyDescent="0.3">
      <c r="A777" s="160" t="str">
        <f>RIGHT($C$83,3)&amp;"*"&amp;RIGHT($C$82,4)&amp;"*"&amp;AT$55&amp;"*"&amp;"A"</f>
        <v>085*2021*7420*A</v>
      </c>
      <c r="B777" s="214">
        <f>ROUND(AT59,0)</f>
        <v>0</v>
      </c>
      <c r="C777" s="216">
        <f>ROUND(AT60,2)</f>
        <v>0</v>
      </c>
      <c r="D777" s="214">
        <f>ROUND(AT61,0)</f>
        <v>0</v>
      </c>
      <c r="E777" s="214">
        <f>ROUND(AT62,0)</f>
        <v>0</v>
      </c>
      <c r="F777" s="214">
        <f>ROUND(AT63,0)</f>
        <v>0</v>
      </c>
      <c r="G777" s="214">
        <f>ROUND(AT64,0)</f>
        <v>0</v>
      </c>
      <c r="H777" s="214">
        <f>ROUND(AT65,0)</f>
        <v>0</v>
      </c>
      <c r="I777" s="214">
        <f>ROUND(AT66,0)</f>
        <v>0</v>
      </c>
      <c r="J777" s="214">
        <f>ROUND(AT67,0)</f>
        <v>0</v>
      </c>
      <c r="K777" s="214">
        <f>ROUND(AT68,0)</f>
        <v>0</v>
      </c>
      <c r="L777" s="214">
        <f>ROUND(AT69,0)</f>
        <v>0</v>
      </c>
      <c r="M777" s="214">
        <f>ROUND(AT70,0)</f>
        <v>0</v>
      </c>
      <c r="N777" s="214">
        <f>ROUND(AT75,0)</f>
        <v>0</v>
      </c>
      <c r="O777" s="214">
        <f>ROUND(AT73,0)</f>
        <v>0</v>
      </c>
      <c r="P777" s="214">
        <f>IF(AT76&gt;0,ROUND(AT76,0),0)</f>
        <v>0</v>
      </c>
      <c r="Q777" s="214">
        <f>IF(AT77&gt;0,ROUND(AT77,0),0)</f>
        <v>0</v>
      </c>
      <c r="R777" s="214">
        <f>IF(AT78&gt;0,ROUND(AT78,0),0)</f>
        <v>0</v>
      </c>
      <c r="S777" s="214">
        <f>IF(AT79&gt;0,ROUND(AT79,0),0)</f>
        <v>0</v>
      </c>
      <c r="T777" s="216">
        <f>IF(AT80&gt;0,ROUND(AT80,2),0)</f>
        <v>0</v>
      </c>
      <c r="U777" s="214"/>
      <c r="V777" s="215"/>
      <c r="W777" s="214"/>
      <c r="X777" s="214"/>
      <c r="Y777" s="214">
        <f t="shared" si="22"/>
        <v>0</v>
      </c>
      <c r="Z777" s="215"/>
      <c r="AA777" s="215"/>
      <c r="AB777" s="215"/>
      <c r="AC777" s="215"/>
      <c r="AD777" s="215"/>
      <c r="AE777" s="215"/>
      <c r="AF777" s="215"/>
      <c r="AG777" s="215"/>
      <c r="AH777" s="215"/>
      <c r="AI777" s="215"/>
      <c r="AJ777" s="215"/>
      <c r="AK777" s="215"/>
      <c r="AL777" s="215"/>
      <c r="AM777" s="215"/>
      <c r="AN777" s="215"/>
      <c r="AO777" s="215"/>
      <c r="AP777" s="215"/>
      <c r="AQ777" s="215"/>
      <c r="AR777" s="215"/>
      <c r="AS777" s="215"/>
      <c r="AT777" s="215"/>
      <c r="AU777" s="215"/>
      <c r="AV777" s="215"/>
      <c r="AW777" s="215"/>
      <c r="AX777" s="215"/>
      <c r="AY777" s="215"/>
      <c r="AZ777" s="215"/>
      <c r="BA777" s="215"/>
      <c r="BB777" s="215"/>
      <c r="BC777" s="215"/>
      <c r="BD777" s="215"/>
      <c r="BE777" s="215"/>
      <c r="BF777" s="215"/>
      <c r="BG777" s="215"/>
      <c r="BH777" s="215"/>
      <c r="BI777" s="215"/>
      <c r="BJ777" s="215"/>
      <c r="BK777" s="215"/>
      <c r="BL777" s="215"/>
      <c r="BM777" s="215"/>
      <c r="BN777" s="215"/>
      <c r="BO777" s="215"/>
      <c r="BP777" s="215"/>
      <c r="BQ777" s="215"/>
      <c r="BR777" s="215"/>
      <c r="BS777" s="215"/>
      <c r="BT777" s="215"/>
      <c r="BU777" s="215"/>
      <c r="BV777" s="215"/>
      <c r="BW777" s="215"/>
      <c r="BX777" s="215"/>
      <c r="BY777" s="215"/>
      <c r="BZ777" s="215"/>
      <c r="CA777" s="215"/>
      <c r="CB777" s="215"/>
      <c r="CC777" s="215"/>
      <c r="CD777" s="215"/>
      <c r="CE777" s="215"/>
    </row>
    <row r="778" spans="1:83" ht="12.65" customHeight="1" x14ac:dyDescent="0.3">
      <c r="A778" s="160" t="str">
        <f>RIGHT($C$83,3)&amp;"*"&amp;RIGHT($C$82,4)&amp;"*"&amp;AU$55&amp;"*"&amp;"A"</f>
        <v>085*2021*7430*A</v>
      </c>
      <c r="B778" s="214">
        <f>ROUND(AU59,0)</f>
        <v>0</v>
      </c>
      <c r="C778" s="216">
        <f>ROUND(AU60,2)</f>
        <v>0</v>
      </c>
      <c r="D778" s="214">
        <f>ROUND(AU61,0)</f>
        <v>0</v>
      </c>
      <c r="E778" s="214">
        <f>ROUND(AU62,0)</f>
        <v>0</v>
      </c>
      <c r="F778" s="214">
        <f>ROUND(AU63,0)</f>
        <v>0</v>
      </c>
      <c r="G778" s="214">
        <f>ROUND(AU64,0)</f>
        <v>0</v>
      </c>
      <c r="H778" s="214">
        <f>ROUND(AU65,0)</f>
        <v>0</v>
      </c>
      <c r="I778" s="214">
        <f>ROUND(AU66,0)</f>
        <v>0</v>
      </c>
      <c r="J778" s="214">
        <f>ROUND(AU67,0)</f>
        <v>0</v>
      </c>
      <c r="K778" s="214">
        <f>ROUND(AU68,0)</f>
        <v>0</v>
      </c>
      <c r="L778" s="214">
        <f>ROUND(AU69,0)</f>
        <v>0</v>
      </c>
      <c r="M778" s="214">
        <f>ROUND(AU70,0)</f>
        <v>0</v>
      </c>
      <c r="N778" s="214">
        <f>ROUND(AU75,0)</f>
        <v>0</v>
      </c>
      <c r="O778" s="214">
        <f>ROUND(AU73,0)</f>
        <v>0</v>
      </c>
      <c r="P778" s="214">
        <f>IF(AU76&gt;0,ROUND(AU76,0),0)</f>
        <v>0</v>
      </c>
      <c r="Q778" s="214">
        <f>IF(AU77&gt;0,ROUND(AU77,0),0)</f>
        <v>0</v>
      </c>
      <c r="R778" s="214">
        <f>IF(AU78&gt;0,ROUND(AU78,0),0)</f>
        <v>0</v>
      </c>
      <c r="S778" s="214">
        <f>IF(AU79&gt;0,ROUND(AU79,0),0)</f>
        <v>0</v>
      </c>
      <c r="T778" s="216">
        <f>IF(AU80&gt;0,ROUND(AU80,2),0)</f>
        <v>0</v>
      </c>
      <c r="U778" s="214"/>
      <c r="V778" s="215"/>
      <c r="W778" s="214"/>
      <c r="X778" s="214"/>
      <c r="Y778" s="214">
        <f t="shared" si="22"/>
        <v>0</v>
      </c>
      <c r="Z778" s="215"/>
      <c r="AA778" s="215"/>
      <c r="AB778" s="215"/>
      <c r="AC778" s="215"/>
      <c r="AD778" s="215"/>
      <c r="AE778" s="215"/>
      <c r="AF778" s="215"/>
      <c r="AG778" s="215"/>
      <c r="AH778" s="215"/>
      <c r="AI778" s="215"/>
      <c r="AJ778" s="215"/>
      <c r="AK778" s="215"/>
      <c r="AL778" s="215"/>
      <c r="AM778" s="215"/>
      <c r="AN778" s="215"/>
      <c r="AO778" s="215"/>
      <c r="AP778" s="215"/>
      <c r="AQ778" s="215"/>
      <c r="AR778" s="215"/>
      <c r="AS778" s="215"/>
      <c r="AT778" s="215"/>
      <c r="AU778" s="215"/>
      <c r="AV778" s="215"/>
      <c r="AW778" s="215"/>
      <c r="AX778" s="215"/>
      <c r="AY778" s="215"/>
      <c r="AZ778" s="215"/>
      <c r="BA778" s="215"/>
      <c r="BB778" s="215"/>
      <c r="BC778" s="215"/>
      <c r="BD778" s="215"/>
      <c r="BE778" s="215"/>
      <c r="BF778" s="215"/>
      <c r="BG778" s="215"/>
      <c r="BH778" s="215"/>
      <c r="BI778" s="215"/>
      <c r="BJ778" s="215"/>
      <c r="BK778" s="215"/>
      <c r="BL778" s="215"/>
      <c r="BM778" s="215"/>
      <c r="BN778" s="215"/>
      <c r="BO778" s="215"/>
      <c r="BP778" s="215"/>
      <c r="BQ778" s="215"/>
      <c r="BR778" s="215"/>
      <c r="BS778" s="215"/>
      <c r="BT778" s="215"/>
      <c r="BU778" s="215"/>
      <c r="BV778" s="215"/>
      <c r="BW778" s="215"/>
      <c r="BX778" s="215"/>
      <c r="BY778" s="215"/>
      <c r="BZ778" s="215"/>
      <c r="CA778" s="215"/>
      <c r="CB778" s="215"/>
      <c r="CC778" s="215"/>
      <c r="CD778" s="215"/>
      <c r="CE778" s="215"/>
    </row>
    <row r="779" spans="1:83" ht="12.65" customHeight="1" x14ac:dyDescent="0.3">
      <c r="A779" s="160" t="str">
        <f>RIGHT($C$83,3)&amp;"*"&amp;RIGHT($C$82,4)&amp;"*"&amp;AV$55&amp;"*"&amp;"A"</f>
        <v>085*2021*7490*A</v>
      </c>
      <c r="B779" s="214"/>
      <c r="C779" s="216">
        <f>ROUND(AV60,2)</f>
        <v>3.27</v>
      </c>
      <c r="D779" s="214">
        <f>ROUND(AV61,0)</f>
        <v>2113818</v>
      </c>
      <c r="E779" s="214">
        <f>ROUND(AV62,0)</f>
        <v>476772</v>
      </c>
      <c r="F779" s="214">
        <f>ROUND(AV63,0)</f>
        <v>0</v>
      </c>
      <c r="G779" s="214">
        <f>ROUND(AV64,0)</f>
        <v>296728</v>
      </c>
      <c r="H779" s="214">
        <f>ROUND(AV65,0)</f>
        <v>0</v>
      </c>
      <c r="I779" s="214">
        <f>ROUND(AV66,0)</f>
        <v>99555</v>
      </c>
      <c r="J779" s="214">
        <f>ROUND(AV67,0)</f>
        <v>121190</v>
      </c>
      <c r="K779" s="214">
        <f>ROUND(AV68,0)</f>
        <v>0</v>
      </c>
      <c r="L779" s="214">
        <f>ROUND(AV69,0)</f>
        <v>2713</v>
      </c>
      <c r="M779" s="214">
        <f>ROUND(AV70,0)</f>
        <v>0</v>
      </c>
      <c r="N779" s="214">
        <f>ROUND(AV75,0)</f>
        <v>7048224</v>
      </c>
      <c r="O779" s="214">
        <f>ROUND(AV73,0)</f>
        <v>13459</v>
      </c>
      <c r="P779" s="214">
        <f>IF(AV76&gt;0,ROUND(AV76,0),0)</f>
        <v>3886</v>
      </c>
      <c r="Q779" s="214">
        <f>IF(AV77&gt;0,ROUND(AV77,0),0)</f>
        <v>0</v>
      </c>
      <c r="R779" s="214">
        <f>IF(AV78&gt;0,ROUND(AV78,0),0)</f>
        <v>1312</v>
      </c>
      <c r="S779" s="214">
        <f>IF(AV79&gt;0,ROUND(AV79,0),0)</f>
        <v>0</v>
      </c>
      <c r="T779" s="216">
        <f>IF(AV80&gt;0,ROUND(AV80,2),0)</f>
        <v>3.27</v>
      </c>
      <c r="U779" s="214"/>
      <c r="V779" s="215"/>
      <c r="W779" s="214"/>
      <c r="X779" s="214"/>
      <c r="Y779" s="214">
        <f t="shared" si="22"/>
        <v>460848</v>
      </c>
      <c r="Z779" s="215"/>
      <c r="AA779" s="215"/>
      <c r="AB779" s="215"/>
      <c r="AC779" s="215"/>
      <c r="AD779" s="215"/>
      <c r="AE779" s="215"/>
      <c r="AF779" s="215"/>
      <c r="AG779" s="215"/>
      <c r="AH779" s="215"/>
      <c r="AI779" s="215"/>
      <c r="AJ779" s="215"/>
      <c r="AK779" s="215"/>
      <c r="AL779" s="215"/>
      <c r="AM779" s="215"/>
      <c r="AN779" s="215"/>
      <c r="AO779" s="215"/>
      <c r="AP779" s="215"/>
      <c r="AQ779" s="215"/>
      <c r="AR779" s="215"/>
      <c r="AS779" s="215"/>
      <c r="AT779" s="215"/>
      <c r="AU779" s="215"/>
      <c r="AV779" s="215"/>
      <c r="AW779" s="215"/>
      <c r="AX779" s="215"/>
      <c r="AY779" s="215"/>
      <c r="AZ779" s="215"/>
      <c r="BA779" s="215"/>
      <c r="BB779" s="215"/>
      <c r="BC779" s="215"/>
      <c r="BD779" s="215"/>
      <c r="BE779" s="215"/>
      <c r="BF779" s="215"/>
      <c r="BG779" s="215"/>
      <c r="BH779" s="215"/>
      <c r="BI779" s="215"/>
      <c r="BJ779" s="215"/>
      <c r="BK779" s="215"/>
      <c r="BL779" s="215"/>
      <c r="BM779" s="215"/>
      <c r="BN779" s="215"/>
      <c r="BO779" s="215"/>
      <c r="BP779" s="215"/>
      <c r="BQ779" s="215"/>
      <c r="BR779" s="215"/>
      <c r="BS779" s="215"/>
      <c r="BT779" s="215"/>
      <c r="BU779" s="215"/>
      <c r="BV779" s="215"/>
      <c r="BW779" s="215"/>
      <c r="BX779" s="215"/>
      <c r="BY779" s="215"/>
      <c r="BZ779" s="215"/>
      <c r="CA779" s="215"/>
      <c r="CB779" s="215"/>
      <c r="CC779" s="215"/>
      <c r="CD779" s="215"/>
      <c r="CE779" s="215"/>
    </row>
    <row r="780" spans="1:83" ht="12.65" customHeight="1" x14ac:dyDescent="0.3">
      <c r="A780" s="160" t="str">
        <f>RIGHT($C$83,3)&amp;"*"&amp;RIGHT($C$82,4)&amp;"*"&amp;AW$55&amp;"*"&amp;"A"</f>
        <v>085*2021*8200*A</v>
      </c>
      <c r="B780" s="214"/>
      <c r="C780" s="216">
        <f>ROUND(AW60,2)</f>
        <v>0</v>
      </c>
      <c r="D780" s="214">
        <f>ROUND(AW61,0)</f>
        <v>0</v>
      </c>
      <c r="E780" s="214">
        <f>ROUND(AW62,0)</f>
        <v>0</v>
      </c>
      <c r="F780" s="214">
        <f>ROUND(AW63,0)</f>
        <v>0</v>
      </c>
      <c r="G780" s="214">
        <f>ROUND(AW64,0)</f>
        <v>0</v>
      </c>
      <c r="H780" s="214">
        <f>ROUND(AW65,0)</f>
        <v>0</v>
      </c>
      <c r="I780" s="214">
        <f>ROUND(AW66,0)</f>
        <v>0</v>
      </c>
      <c r="J780" s="214">
        <f>ROUND(AW67,0)</f>
        <v>0</v>
      </c>
      <c r="K780" s="214">
        <f>ROUND(AW68,0)</f>
        <v>0</v>
      </c>
      <c r="L780" s="214">
        <f>ROUND(AW69,0)</f>
        <v>0</v>
      </c>
      <c r="M780" s="214">
        <f>ROUND(AW70,0)</f>
        <v>0</v>
      </c>
      <c r="N780" s="214"/>
      <c r="O780" s="214"/>
      <c r="P780" s="214">
        <f>IF(AW76&gt;0,ROUND(AW76,0),0)</f>
        <v>0</v>
      </c>
      <c r="Q780" s="214">
        <f>IF(AW77&gt;0,ROUND(AW77,0),0)</f>
        <v>0</v>
      </c>
      <c r="R780" s="214">
        <f>IF(AW78&gt;0,ROUND(AW78,0),0)</f>
        <v>0</v>
      </c>
      <c r="S780" s="214">
        <f>IF(AW79&gt;0,ROUND(AW79,0),0)</f>
        <v>0</v>
      </c>
      <c r="T780" s="216">
        <f>IF(AW80&gt;0,ROUND(AW80,2),0)</f>
        <v>0</v>
      </c>
      <c r="U780" s="214"/>
      <c r="V780" s="215"/>
      <c r="W780" s="214"/>
      <c r="X780" s="214"/>
      <c r="Y780" s="214"/>
      <c r="Z780" s="215"/>
      <c r="AA780" s="215"/>
      <c r="AB780" s="215"/>
      <c r="AC780" s="215"/>
      <c r="AD780" s="215"/>
      <c r="AE780" s="215"/>
      <c r="AF780" s="215"/>
      <c r="AG780" s="215"/>
      <c r="AH780" s="215"/>
      <c r="AI780" s="215"/>
      <c r="AJ780" s="215"/>
      <c r="AK780" s="215"/>
      <c r="AL780" s="215"/>
      <c r="AM780" s="215"/>
      <c r="AN780" s="215"/>
      <c r="AO780" s="215"/>
      <c r="AP780" s="215"/>
      <c r="AQ780" s="215"/>
      <c r="AR780" s="215"/>
      <c r="AS780" s="215"/>
      <c r="AT780" s="215"/>
      <c r="AU780" s="215"/>
      <c r="AV780" s="215"/>
      <c r="AW780" s="215"/>
      <c r="AX780" s="215"/>
      <c r="AY780" s="215"/>
      <c r="AZ780" s="215"/>
      <c r="BA780" s="215"/>
      <c r="BB780" s="215"/>
      <c r="BC780" s="215"/>
      <c r="BD780" s="215"/>
      <c r="BE780" s="215"/>
      <c r="BF780" s="215"/>
      <c r="BG780" s="215"/>
      <c r="BH780" s="215"/>
      <c r="BI780" s="215"/>
      <c r="BJ780" s="215"/>
      <c r="BK780" s="215"/>
      <c r="BL780" s="215"/>
      <c r="BM780" s="215"/>
      <c r="BN780" s="215"/>
      <c r="BO780" s="215"/>
      <c r="BP780" s="215"/>
      <c r="BQ780" s="215"/>
      <c r="BR780" s="215"/>
      <c r="BS780" s="215"/>
      <c r="BT780" s="215"/>
      <c r="BU780" s="215"/>
      <c r="BV780" s="215"/>
      <c r="BW780" s="215"/>
      <c r="BX780" s="215"/>
      <c r="BY780" s="215"/>
      <c r="BZ780" s="215"/>
      <c r="CA780" s="215"/>
      <c r="CB780" s="215"/>
      <c r="CC780" s="215"/>
      <c r="CD780" s="215"/>
      <c r="CE780" s="215"/>
    </row>
    <row r="781" spans="1:83" ht="12.65" customHeight="1" x14ac:dyDescent="0.3">
      <c r="A781" s="160" t="str">
        <f>RIGHT($C$83,3)&amp;"*"&amp;RIGHT($C$82,4)&amp;"*"&amp;AX$55&amp;"*"&amp;"A"</f>
        <v>085*2021*8310*A</v>
      </c>
      <c r="B781" s="214"/>
      <c r="C781" s="216">
        <f>ROUND(AX60,2)</f>
        <v>0</v>
      </c>
      <c r="D781" s="214">
        <f>ROUND(AX61,0)</f>
        <v>0</v>
      </c>
      <c r="E781" s="214">
        <f>ROUND(AX62,0)</f>
        <v>0</v>
      </c>
      <c r="F781" s="214">
        <f>ROUND(AX63,0)</f>
        <v>0</v>
      </c>
      <c r="G781" s="214">
        <f>ROUND(AX64,0)</f>
        <v>0</v>
      </c>
      <c r="H781" s="214">
        <f>ROUND(AX65,0)</f>
        <v>0</v>
      </c>
      <c r="I781" s="214">
        <f>ROUND(AX66,0)</f>
        <v>0</v>
      </c>
      <c r="J781" s="214">
        <f>ROUND(AX67,0)</f>
        <v>0</v>
      </c>
      <c r="K781" s="214">
        <f>ROUND(AX68,0)</f>
        <v>0</v>
      </c>
      <c r="L781" s="214">
        <f>ROUND(AX69,0)</f>
        <v>0</v>
      </c>
      <c r="M781" s="214">
        <f>ROUND(AX70,0)</f>
        <v>0</v>
      </c>
      <c r="N781" s="214"/>
      <c r="O781" s="214"/>
      <c r="P781" s="214">
        <f>IF(AX76&gt;0,ROUND(AX76,0),0)</f>
        <v>0</v>
      </c>
      <c r="Q781" s="214">
        <f>IF(AX77&gt;0,ROUND(AX77,0),0)</f>
        <v>0</v>
      </c>
      <c r="R781" s="214">
        <f>IF(AX78&gt;0,ROUND(AX78,0),0)</f>
        <v>0</v>
      </c>
      <c r="S781" s="214">
        <f>IF(AX79&gt;0,ROUND(AX79,0),0)</f>
        <v>0</v>
      </c>
      <c r="T781" s="216">
        <f>IF(AX80&gt;0,ROUND(AX80,2),0)</f>
        <v>0</v>
      </c>
      <c r="U781" s="214"/>
      <c r="V781" s="215"/>
      <c r="W781" s="214"/>
      <c r="X781" s="214"/>
      <c r="Y781" s="214"/>
      <c r="Z781" s="215"/>
      <c r="AA781" s="215"/>
      <c r="AB781" s="215"/>
      <c r="AC781" s="215"/>
      <c r="AD781" s="215"/>
      <c r="AE781" s="215"/>
      <c r="AF781" s="215"/>
      <c r="AG781" s="215"/>
      <c r="AH781" s="215"/>
      <c r="AI781" s="215"/>
      <c r="AJ781" s="215"/>
      <c r="AK781" s="215"/>
      <c r="AL781" s="215"/>
      <c r="AM781" s="215"/>
      <c r="AN781" s="215"/>
      <c r="AO781" s="215"/>
      <c r="AP781" s="215"/>
      <c r="AQ781" s="215"/>
      <c r="AR781" s="215"/>
      <c r="AS781" s="215"/>
      <c r="AT781" s="215"/>
      <c r="AU781" s="215"/>
      <c r="AV781" s="215"/>
      <c r="AW781" s="215"/>
      <c r="AX781" s="215"/>
      <c r="AY781" s="215"/>
      <c r="AZ781" s="215"/>
      <c r="BA781" s="215"/>
      <c r="BB781" s="215"/>
      <c r="BC781" s="215"/>
      <c r="BD781" s="215"/>
      <c r="BE781" s="215"/>
      <c r="BF781" s="215"/>
      <c r="BG781" s="215"/>
      <c r="BH781" s="215"/>
      <c r="BI781" s="215"/>
      <c r="BJ781" s="215"/>
      <c r="BK781" s="215"/>
      <c r="BL781" s="215"/>
      <c r="BM781" s="215"/>
      <c r="BN781" s="215"/>
      <c r="BO781" s="215"/>
      <c r="BP781" s="215"/>
      <c r="BQ781" s="215"/>
      <c r="BR781" s="215"/>
      <c r="BS781" s="215"/>
      <c r="BT781" s="215"/>
      <c r="BU781" s="215"/>
      <c r="BV781" s="215"/>
      <c r="BW781" s="215"/>
      <c r="BX781" s="215"/>
      <c r="BY781" s="215"/>
      <c r="BZ781" s="215"/>
      <c r="CA781" s="215"/>
      <c r="CB781" s="215"/>
      <c r="CC781" s="215"/>
      <c r="CD781" s="215"/>
      <c r="CE781" s="215"/>
    </row>
    <row r="782" spans="1:83" ht="12.65" customHeight="1" x14ac:dyDescent="0.3">
      <c r="A782" s="160" t="str">
        <f>RIGHT($C$83,3)&amp;"*"&amp;RIGHT($C$82,4)&amp;"*"&amp;AY$55&amp;"*"&amp;"A"</f>
        <v>085*2021*8320*A</v>
      </c>
      <c r="B782" s="214">
        <f>ROUND(AY59,0)</f>
        <v>15221</v>
      </c>
      <c r="C782" s="216">
        <f>ROUND(AY60,2)</f>
        <v>15.94</v>
      </c>
      <c r="D782" s="214">
        <f>ROUND(AY61,0)</f>
        <v>809747</v>
      </c>
      <c r="E782" s="214">
        <f>ROUND(AY62,0)</f>
        <v>182639</v>
      </c>
      <c r="F782" s="214">
        <f>ROUND(AY63,0)</f>
        <v>0</v>
      </c>
      <c r="G782" s="214">
        <f>ROUND(AY64,0)</f>
        <v>387710</v>
      </c>
      <c r="H782" s="214">
        <f>ROUND(AY65,0)</f>
        <v>1676</v>
      </c>
      <c r="I782" s="214">
        <f>ROUND(AY66,0)</f>
        <v>23571</v>
      </c>
      <c r="J782" s="214">
        <f>ROUND(AY67,0)</f>
        <v>121252</v>
      </c>
      <c r="K782" s="214">
        <f>ROUND(AY68,0)</f>
        <v>11369</v>
      </c>
      <c r="L782" s="214">
        <f>ROUND(AY69,0)</f>
        <v>7660</v>
      </c>
      <c r="M782" s="214">
        <f>ROUND(AY70,0)</f>
        <v>0</v>
      </c>
      <c r="N782" s="214"/>
      <c r="O782" s="214"/>
      <c r="P782" s="214">
        <f>IF(AY76&gt;0,ROUND(AY76,0),0)</f>
        <v>3888</v>
      </c>
      <c r="Q782" s="214">
        <f>IF(AY77&gt;0,ROUND(AY77,0),0)</f>
        <v>0</v>
      </c>
      <c r="R782" s="214">
        <f>IF(AY78&gt;0,ROUND(AY78,0),0)</f>
        <v>0</v>
      </c>
      <c r="S782" s="214">
        <f>IF(AY79&gt;0,ROUND(AY79,0),0)</f>
        <v>0</v>
      </c>
      <c r="T782" s="216">
        <f>IF(AY80&gt;0,ROUND(AY80,2),0)</f>
        <v>0</v>
      </c>
      <c r="U782" s="214"/>
      <c r="V782" s="215"/>
      <c r="W782" s="214"/>
      <c r="X782" s="214"/>
      <c r="Y782" s="214"/>
      <c r="Z782" s="215"/>
      <c r="AA782" s="215"/>
      <c r="AB782" s="215"/>
      <c r="AC782" s="215"/>
      <c r="AD782" s="215"/>
      <c r="AE782" s="215"/>
      <c r="AF782" s="215"/>
      <c r="AG782" s="215"/>
      <c r="AH782" s="215"/>
      <c r="AI782" s="215"/>
      <c r="AJ782" s="215"/>
      <c r="AK782" s="215"/>
      <c r="AL782" s="215"/>
      <c r="AM782" s="215"/>
      <c r="AN782" s="215"/>
      <c r="AO782" s="215"/>
      <c r="AP782" s="215"/>
      <c r="AQ782" s="215"/>
      <c r="AR782" s="215"/>
      <c r="AS782" s="215"/>
      <c r="AT782" s="215"/>
      <c r="AU782" s="215"/>
      <c r="AV782" s="215"/>
      <c r="AW782" s="215"/>
      <c r="AX782" s="215"/>
      <c r="AY782" s="215"/>
      <c r="AZ782" s="215"/>
      <c r="BA782" s="215"/>
      <c r="BB782" s="215"/>
      <c r="BC782" s="215"/>
      <c r="BD782" s="215"/>
      <c r="BE782" s="215"/>
      <c r="BF782" s="215"/>
      <c r="BG782" s="215"/>
      <c r="BH782" s="215"/>
      <c r="BI782" s="215"/>
      <c r="BJ782" s="215"/>
      <c r="BK782" s="215"/>
      <c r="BL782" s="215"/>
      <c r="BM782" s="215"/>
      <c r="BN782" s="215"/>
      <c r="BO782" s="215"/>
      <c r="BP782" s="215"/>
      <c r="BQ782" s="215"/>
      <c r="BR782" s="215"/>
      <c r="BS782" s="215"/>
      <c r="BT782" s="215"/>
      <c r="BU782" s="215"/>
      <c r="BV782" s="215"/>
      <c r="BW782" s="215"/>
      <c r="BX782" s="215"/>
      <c r="BY782" s="215"/>
      <c r="BZ782" s="215"/>
      <c r="CA782" s="215"/>
      <c r="CB782" s="215"/>
      <c r="CC782" s="215"/>
      <c r="CD782" s="215"/>
      <c r="CE782" s="215"/>
    </row>
    <row r="783" spans="1:83" ht="12.65" customHeight="1" x14ac:dyDescent="0.3">
      <c r="A783" s="160" t="str">
        <f>RIGHT($C$83,3)&amp;"*"&amp;RIGHT($C$82,4)&amp;"*"&amp;AZ$55&amp;"*"&amp;"A"</f>
        <v>085*2021*8330*A</v>
      </c>
      <c r="B783" s="214">
        <f>ROUND(AZ59,0)</f>
        <v>0</v>
      </c>
      <c r="C783" s="216">
        <f>ROUND(AZ60,2)</f>
        <v>0</v>
      </c>
      <c r="D783" s="214">
        <f>ROUND(AZ61,0)</f>
        <v>0</v>
      </c>
      <c r="E783" s="214">
        <f>ROUND(AZ62,0)</f>
        <v>0</v>
      </c>
      <c r="F783" s="214">
        <f>ROUND(AZ63,0)</f>
        <v>0</v>
      </c>
      <c r="G783" s="214">
        <f>ROUND(AZ64,0)</f>
        <v>0</v>
      </c>
      <c r="H783" s="214">
        <f>ROUND(AZ65,0)</f>
        <v>0</v>
      </c>
      <c r="I783" s="214">
        <f>ROUND(AZ66,0)</f>
        <v>0</v>
      </c>
      <c r="J783" s="214">
        <f>ROUND(AZ67,0)</f>
        <v>0</v>
      </c>
      <c r="K783" s="214">
        <f>ROUND(AZ68,0)</f>
        <v>0</v>
      </c>
      <c r="L783" s="214">
        <f>ROUND(AZ69,0)</f>
        <v>0</v>
      </c>
      <c r="M783" s="214">
        <f>ROUND(AZ70,0)</f>
        <v>0</v>
      </c>
      <c r="N783" s="214"/>
      <c r="O783" s="214"/>
      <c r="P783" s="214">
        <f>IF(AZ76&gt;0,ROUND(AZ76,0),0)</f>
        <v>0</v>
      </c>
      <c r="Q783" s="214">
        <f>IF(AZ77&gt;0,ROUND(AZ77,0),0)</f>
        <v>0</v>
      </c>
      <c r="R783" s="214">
        <f>IF(AZ78&gt;0,ROUND(AZ78,0),0)</f>
        <v>0</v>
      </c>
      <c r="S783" s="214">
        <f>IF(AZ79&gt;0,ROUND(AZ79,0),0)</f>
        <v>0</v>
      </c>
      <c r="T783" s="216">
        <f>IF(AZ80&gt;0,ROUND(AZ80,2),0)</f>
        <v>0</v>
      </c>
      <c r="U783" s="214"/>
      <c r="V783" s="215"/>
      <c r="W783" s="214"/>
      <c r="X783" s="214"/>
      <c r="Y783" s="214"/>
      <c r="Z783" s="215"/>
      <c r="AA783" s="215"/>
      <c r="AB783" s="215"/>
      <c r="AC783" s="215"/>
      <c r="AD783" s="215"/>
      <c r="AE783" s="215"/>
      <c r="AF783" s="215"/>
      <c r="AG783" s="215"/>
      <c r="AH783" s="215"/>
      <c r="AI783" s="215"/>
      <c r="AJ783" s="215"/>
      <c r="AK783" s="215"/>
      <c r="AL783" s="215"/>
      <c r="AM783" s="215"/>
      <c r="AN783" s="215"/>
      <c r="AO783" s="215"/>
      <c r="AP783" s="215"/>
      <c r="AQ783" s="215"/>
      <c r="AR783" s="215"/>
      <c r="AS783" s="215"/>
      <c r="AT783" s="215"/>
      <c r="AU783" s="215"/>
      <c r="AV783" s="215"/>
      <c r="AW783" s="215"/>
      <c r="AX783" s="215"/>
      <c r="AY783" s="215"/>
      <c r="AZ783" s="215"/>
      <c r="BA783" s="215"/>
      <c r="BB783" s="215"/>
      <c r="BC783" s="215"/>
      <c r="BD783" s="215"/>
      <c r="BE783" s="215"/>
      <c r="BF783" s="215"/>
      <c r="BG783" s="215"/>
      <c r="BH783" s="215"/>
      <c r="BI783" s="215"/>
      <c r="BJ783" s="215"/>
      <c r="BK783" s="215"/>
      <c r="BL783" s="215"/>
      <c r="BM783" s="215"/>
      <c r="BN783" s="215"/>
      <c r="BO783" s="215"/>
      <c r="BP783" s="215"/>
      <c r="BQ783" s="215"/>
      <c r="BR783" s="215"/>
      <c r="BS783" s="215"/>
      <c r="BT783" s="215"/>
      <c r="BU783" s="215"/>
      <c r="BV783" s="215"/>
      <c r="BW783" s="215"/>
      <c r="BX783" s="215"/>
      <c r="BY783" s="215"/>
      <c r="BZ783" s="215"/>
      <c r="CA783" s="215"/>
      <c r="CB783" s="215"/>
      <c r="CC783" s="215"/>
      <c r="CD783" s="215"/>
      <c r="CE783" s="215"/>
    </row>
    <row r="784" spans="1:83" ht="12.65" customHeight="1" x14ac:dyDescent="0.3">
      <c r="A784" s="160" t="str">
        <f>RIGHT($C$83,3)&amp;"*"&amp;RIGHT($C$82,4)&amp;"*"&amp;BA$55&amp;"*"&amp;"A"</f>
        <v>085*2021*8350*A</v>
      </c>
      <c r="B784" s="214">
        <f>ROUND(BA59,0)</f>
        <v>0</v>
      </c>
      <c r="C784" s="216">
        <f>ROUND(BA60,2)</f>
        <v>0</v>
      </c>
      <c r="D784" s="214">
        <f>ROUND(BA61,0)</f>
        <v>0</v>
      </c>
      <c r="E784" s="214">
        <f>ROUND(BA62,0)</f>
        <v>0</v>
      </c>
      <c r="F784" s="214">
        <f>ROUND(BA63,0)</f>
        <v>0</v>
      </c>
      <c r="G784" s="214">
        <f>ROUND(BA64,0)</f>
        <v>44620</v>
      </c>
      <c r="H784" s="214">
        <f>ROUND(BA65,0)</f>
        <v>0</v>
      </c>
      <c r="I784" s="214">
        <f>ROUND(BA66,0)</f>
        <v>341475</v>
      </c>
      <c r="J784" s="214">
        <f>ROUND(BA67,0)</f>
        <v>0</v>
      </c>
      <c r="K784" s="214">
        <f>ROUND(BA68,0)</f>
        <v>0</v>
      </c>
      <c r="L784" s="214">
        <f>ROUND(BA69,0)</f>
        <v>0</v>
      </c>
      <c r="M784" s="214">
        <f>ROUND(BA70,0)</f>
        <v>0</v>
      </c>
      <c r="N784" s="214"/>
      <c r="O784" s="214"/>
      <c r="P784" s="214">
        <f>IF(BA76&gt;0,ROUND(BA76,0),0)</f>
        <v>0</v>
      </c>
      <c r="Q784" s="214">
        <f>IF(BA77&gt;0,ROUND(BA77,0),0)</f>
        <v>0</v>
      </c>
      <c r="R784" s="214">
        <f>IF(BA78&gt;0,ROUND(BA78,0),0)</f>
        <v>0</v>
      </c>
      <c r="S784" s="214">
        <f>IF(BA79&gt;0,ROUND(BA79,0),0)</f>
        <v>0</v>
      </c>
      <c r="T784" s="216">
        <f>IF(BA80&gt;0,ROUND(BA80,2),0)</f>
        <v>0</v>
      </c>
      <c r="U784" s="214"/>
      <c r="V784" s="215"/>
      <c r="W784" s="214"/>
      <c r="X784" s="214"/>
      <c r="Y784" s="214"/>
      <c r="Z784" s="215"/>
      <c r="AA784" s="215"/>
      <c r="AB784" s="215"/>
      <c r="AC784" s="215"/>
      <c r="AD784" s="215"/>
      <c r="AE784" s="215"/>
      <c r="AF784" s="215"/>
      <c r="AG784" s="215"/>
      <c r="AH784" s="215"/>
      <c r="AI784" s="215"/>
      <c r="AJ784" s="215"/>
      <c r="AK784" s="215"/>
      <c r="AL784" s="215"/>
      <c r="AM784" s="215"/>
      <c r="AN784" s="215"/>
      <c r="AO784" s="215"/>
      <c r="AP784" s="215"/>
      <c r="AQ784" s="215"/>
      <c r="AR784" s="215"/>
      <c r="AS784" s="215"/>
      <c r="AT784" s="215"/>
      <c r="AU784" s="215"/>
      <c r="AV784" s="215"/>
      <c r="AW784" s="215"/>
      <c r="AX784" s="215"/>
      <c r="AY784" s="215"/>
      <c r="AZ784" s="215"/>
      <c r="BA784" s="215"/>
      <c r="BB784" s="215"/>
      <c r="BC784" s="215"/>
      <c r="BD784" s="215"/>
      <c r="BE784" s="215"/>
      <c r="BF784" s="215"/>
      <c r="BG784" s="215"/>
      <c r="BH784" s="215"/>
      <c r="BI784" s="215"/>
      <c r="BJ784" s="215"/>
      <c r="BK784" s="215"/>
      <c r="BL784" s="215"/>
      <c r="BM784" s="215"/>
      <c r="BN784" s="215"/>
      <c r="BO784" s="215"/>
      <c r="BP784" s="215"/>
      <c r="BQ784" s="215"/>
      <c r="BR784" s="215"/>
      <c r="BS784" s="215"/>
      <c r="BT784" s="215"/>
      <c r="BU784" s="215"/>
      <c r="BV784" s="215"/>
      <c r="BW784" s="215"/>
      <c r="BX784" s="215"/>
      <c r="BY784" s="215"/>
      <c r="BZ784" s="215"/>
      <c r="CA784" s="215"/>
      <c r="CB784" s="215"/>
      <c r="CC784" s="215"/>
      <c r="CD784" s="215"/>
      <c r="CE784" s="215"/>
    </row>
    <row r="785" spans="1:83" ht="12.65" customHeight="1" x14ac:dyDescent="0.3">
      <c r="A785" s="160" t="str">
        <f>RIGHT($C$83,3)&amp;"*"&amp;RIGHT($C$82,4)&amp;"*"&amp;BB$55&amp;"*"&amp;"A"</f>
        <v>085*2021*8360*A</v>
      </c>
      <c r="B785" s="214"/>
      <c r="C785" s="216">
        <f>ROUND(BB60,2)</f>
        <v>0</v>
      </c>
      <c r="D785" s="214">
        <f>ROUND(BB61,0)</f>
        <v>0</v>
      </c>
      <c r="E785" s="214">
        <f>ROUND(BB62,0)</f>
        <v>0</v>
      </c>
      <c r="F785" s="214">
        <f>ROUND(BB63,0)</f>
        <v>0</v>
      </c>
      <c r="G785" s="214">
        <f>ROUND(BB64,0)</f>
        <v>0</v>
      </c>
      <c r="H785" s="214">
        <f>ROUND(BB65,0)</f>
        <v>0</v>
      </c>
      <c r="I785" s="214">
        <f>ROUND(BB66,0)</f>
        <v>0</v>
      </c>
      <c r="J785" s="214">
        <f>ROUND(BB67,0)</f>
        <v>0</v>
      </c>
      <c r="K785" s="214">
        <f>ROUND(BB68,0)</f>
        <v>0</v>
      </c>
      <c r="L785" s="214">
        <f>ROUND(BB69,0)</f>
        <v>0</v>
      </c>
      <c r="M785" s="214">
        <f>ROUND(BB70,0)</f>
        <v>0</v>
      </c>
      <c r="N785" s="214"/>
      <c r="O785" s="214"/>
      <c r="P785" s="214">
        <f>IF(BB76&gt;0,ROUND(BB76,0),0)</f>
        <v>0</v>
      </c>
      <c r="Q785" s="214">
        <f>IF(BB77&gt;0,ROUND(BB77,0),0)</f>
        <v>0</v>
      </c>
      <c r="R785" s="214">
        <f>IF(BB78&gt;0,ROUND(BB78,0),0)</f>
        <v>0</v>
      </c>
      <c r="S785" s="214">
        <f>IF(BB79&gt;0,ROUND(BB79,0),0)</f>
        <v>0</v>
      </c>
      <c r="T785" s="216">
        <f>IF(BB80&gt;0,ROUND(BB80,2),0)</f>
        <v>0</v>
      </c>
      <c r="U785" s="214"/>
      <c r="V785" s="215"/>
      <c r="W785" s="214"/>
      <c r="X785" s="214"/>
      <c r="Y785" s="214"/>
      <c r="Z785" s="215"/>
      <c r="AA785" s="215"/>
      <c r="AB785" s="215"/>
      <c r="AC785" s="215"/>
      <c r="AD785" s="215"/>
      <c r="AE785" s="215"/>
      <c r="AF785" s="215"/>
      <c r="AG785" s="215"/>
      <c r="AH785" s="215"/>
      <c r="AI785" s="215"/>
      <c r="AJ785" s="215"/>
      <c r="AK785" s="215"/>
      <c r="AL785" s="215"/>
      <c r="AM785" s="215"/>
      <c r="AN785" s="215"/>
      <c r="AO785" s="215"/>
      <c r="AP785" s="215"/>
      <c r="AQ785" s="215"/>
      <c r="AR785" s="215"/>
      <c r="AS785" s="215"/>
      <c r="AT785" s="215"/>
      <c r="AU785" s="215"/>
      <c r="AV785" s="215"/>
      <c r="AW785" s="215"/>
      <c r="AX785" s="215"/>
      <c r="AY785" s="215"/>
      <c r="AZ785" s="215"/>
      <c r="BA785" s="215"/>
      <c r="BB785" s="215"/>
      <c r="BC785" s="215"/>
      <c r="BD785" s="215"/>
      <c r="BE785" s="215"/>
      <c r="BF785" s="215"/>
      <c r="BG785" s="215"/>
      <c r="BH785" s="215"/>
      <c r="BI785" s="215"/>
      <c r="BJ785" s="215"/>
      <c r="BK785" s="215"/>
      <c r="BL785" s="215"/>
      <c r="BM785" s="215"/>
      <c r="BN785" s="215"/>
      <c r="BO785" s="215"/>
      <c r="BP785" s="215"/>
      <c r="BQ785" s="215"/>
      <c r="BR785" s="215"/>
      <c r="BS785" s="215"/>
      <c r="BT785" s="215"/>
      <c r="BU785" s="215"/>
      <c r="BV785" s="215"/>
      <c r="BW785" s="215"/>
      <c r="BX785" s="215"/>
      <c r="BY785" s="215"/>
      <c r="BZ785" s="215"/>
      <c r="CA785" s="215"/>
      <c r="CB785" s="215"/>
      <c r="CC785" s="215"/>
      <c r="CD785" s="215"/>
      <c r="CE785" s="215"/>
    </row>
    <row r="786" spans="1:83" ht="12.65" customHeight="1" x14ac:dyDescent="0.3">
      <c r="A786" s="160" t="str">
        <f>RIGHT($C$83,3)&amp;"*"&amp;RIGHT($C$82,4)&amp;"*"&amp;BC$55&amp;"*"&amp;"A"</f>
        <v>085*2021*8370*A</v>
      </c>
      <c r="B786" s="214"/>
      <c r="C786" s="216">
        <f>ROUND(BC60,2)</f>
        <v>0</v>
      </c>
      <c r="D786" s="214">
        <f>ROUND(BC61,0)</f>
        <v>0</v>
      </c>
      <c r="E786" s="214">
        <f>ROUND(BC62,0)</f>
        <v>0</v>
      </c>
      <c r="F786" s="214">
        <f>ROUND(BC63,0)</f>
        <v>0</v>
      </c>
      <c r="G786" s="214">
        <f>ROUND(BC64,0)</f>
        <v>0</v>
      </c>
      <c r="H786" s="214">
        <f>ROUND(BC65,0)</f>
        <v>0</v>
      </c>
      <c r="I786" s="214">
        <f>ROUND(BC66,0)</f>
        <v>0</v>
      </c>
      <c r="J786" s="214">
        <f>ROUND(BC67,0)</f>
        <v>0</v>
      </c>
      <c r="K786" s="214">
        <f>ROUND(BC68,0)</f>
        <v>0</v>
      </c>
      <c r="L786" s="214">
        <f>ROUND(BC69,0)</f>
        <v>0</v>
      </c>
      <c r="M786" s="214">
        <f>ROUND(BC70,0)</f>
        <v>0</v>
      </c>
      <c r="N786" s="214"/>
      <c r="O786" s="214"/>
      <c r="P786" s="214">
        <f>IF(BC76&gt;0,ROUND(BC76,0),0)</f>
        <v>0</v>
      </c>
      <c r="Q786" s="214">
        <f>IF(BC77&gt;0,ROUND(BC77,0),0)</f>
        <v>0</v>
      </c>
      <c r="R786" s="214">
        <f>IF(BC78&gt;0,ROUND(BC78,0),0)</f>
        <v>0</v>
      </c>
      <c r="S786" s="214">
        <f>IF(BC79&gt;0,ROUND(BC79,0),0)</f>
        <v>0</v>
      </c>
      <c r="T786" s="216">
        <f>IF(BC80&gt;0,ROUND(BC80,2),0)</f>
        <v>0</v>
      </c>
      <c r="U786" s="214"/>
      <c r="V786" s="215"/>
      <c r="W786" s="214"/>
      <c r="X786" s="214"/>
      <c r="Y786" s="214"/>
      <c r="Z786" s="215"/>
      <c r="AA786" s="215"/>
      <c r="AB786" s="215"/>
      <c r="AC786" s="215"/>
      <c r="AD786" s="215"/>
      <c r="AE786" s="215"/>
      <c r="AF786" s="215"/>
      <c r="AG786" s="215"/>
      <c r="AH786" s="215"/>
      <c r="AI786" s="215"/>
      <c r="AJ786" s="215"/>
      <c r="AK786" s="215"/>
      <c r="AL786" s="215"/>
      <c r="AM786" s="215"/>
      <c r="AN786" s="215"/>
      <c r="AO786" s="215"/>
      <c r="AP786" s="215"/>
      <c r="AQ786" s="215"/>
      <c r="AR786" s="215"/>
      <c r="AS786" s="215"/>
      <c r="AT786" s="215"/>
      <c r="AU786" s="215"/>
      <c r="AV786" s="215"/>
      <c r="AW786" s="215"/>
      <c r="AX786" s="215"/>
      <c r="AY786" s="215"/>
      <c r="AZ786" s="215"/>
      <c r="BA786" s="215"/>
      <c r="BB786" s="215"/>
      <c r="BC786" s="215"/>
      <c r="BD786" s="215"/>
      <c r="BE786" s="215"/>
      <c r="BF786" s="215"/>
      <c r="BG786" s="215"/>
      <c r="BH786" s="215"/>
      <c r="BI786" s="215"/>
      <c r="BJ786" s="215"/>
      <c r="BK786" s="215"/>
      <c r="BL786" s="215"/>
      <c r="BM786" s="215"/>
      <c r="BN786" s="215"/>
      <c r="BO786" s="215"/>
      <c r="BP786" s="215"/>
      <c r="BQ786" s="215"/>
      <c r="BR786" s="215"/>
      <c r="BS786" s="215"/>
      <c r="BT786" s="215"/>
      <c r="BU786" s="215"/>
      <c r="BV786" s="215"/>
      <c r="BW786" s="215"/>
      <c r="BX786" s="215"/>
      <c r="BY786" s="215"/>
      <c r="BZ786" s="215"/>
      <c r="CA786" s="215"/>
      <c r="CB786" s="215"/>
      <c r="CC786" s="215"/>
      <c r="CD786" s="215"/>
      <c r="CE786" s="215"/>
    </row>
    <row r="787" spans="1:83" ht="12.65" customHeight="1" x14ac:dyDescent="0.3">
      <c r="A787" s="160" t="str">
        <f>RIGHT($C$83,3)&amp;"*"&amp;RIGHT($C$82,4)&amp;"*"&amp;BD$55&amp;"*"&amp;"A"</f>
        <v>085*2021*8420*A</v>
      </c>
      <c r="B787" s="214"/>
      <c r="C787" s="216">
        <f>ROUND(BD60,2)</f>
        <v>7.23</v>
      </c>
      <c r="D787" s="214">
        <f>ROUND(BD61,0)</f>
        <v>348439</v>
      </c>
      <c r="E787" s="214">
        <f>ROUND(BD62,0)</f>
        <v>78590</v>
      </c>
      <c r="F787" s="214">
        <f>ROUND(BD63,0)</f>
        <v>0</v>
      </c>
      <c r="G787" s="214">
        <f>ROUND(BD64,0)</f>
        <v>0</v>
      </c>
      <c r="H787" s="214">
        <f>ROUND(BD65,0)</f>
        <v>0</v>
      </c>
      <c r="I787" s="214">
        <f>ROUND(BD66,0)</f>
        <v>0</v>
      </c>
      <c r="J787" s="214">
        <f>ROUND(BD67,0)</f>
        <v>0</v>
      </c>
      <c r="K787" s="214">
        <f>ROUND(BD68,0)</f>
        <v>0</v>
      </c>
      <c r="L787" s="214">
        <f>ROUND(BD69,0)</f>
        <v>0</v>
      </c>
      <c r="M787" s="214">
        <f>ROUND(BD70,0)</f>
        <v>0</v>
      </c>
      <c r="N787" s="214"/>
      <c r="O787" s="214"/>
      <c r="P787" s="214">
        <f>IF(BD76&gt;0,ROUND(BD76,0),0)</f>
        <v>0</v>
      </c>
      <c r="Q787" s="214">
        <f>IF(BD77&gt;0,ROUND(BD77,0),0)</f>
        <v>0</v>
      </c>
      <c r="R787" s="214">
        <f>IF(BD78&gt;0,ROUND(BD78,0),0)</f>
        <v>0</v>
      </c>
      <c r="S787" s="214">
        <f>IF(BD79&gt;0,ROUND(BD79,0),0)</f>
        <v>0</v>
      </c>
      <c r="T787" s="216">
        <f>IF(BD80&gt;0,ROUND(BD80,2),0)</f>
        <v>0</v>
      </c>
      <c r="U787" s="214"/>
      <c r="V787" s="215"/>
      <c r="W787" s="214"/>
      <c r="X787" s="214"/>
      <c r="Y787" s="214"/>
      <c r="Z787" s="215"/>
      <c r="AA787" s="215"/>
      <c r="AB787" s="215"/>
      <c r="AC787" s="215"/>
      <c r="AD787" s="215"/>
      <c r="AE787" s="215"/>
      <c r="AF787" s="215"/>
      <c r="AG787" s="215"/>
      <c r="AH787" s="215"/>
      <c r="AI787" s="215"/>
      <c r="AJ787" s="215"/>
      <c r="AK787" s="215"/>
      <c r="AL787" s="215"/>
      <c r="AM787" s="215"/>
      <c r="AN787" s="215"/>
      <c r="AO787" s="215"/>
      <c r="AP787" s="215"/>
      <c r="AQ787" s="215"/>
      <c r="AR787" s="215"/>
      <c r="AS787" s="215"/>
      <c r="AT787" s="215"/>
      <c r="AU787" s="215"/>
      <c r="AV787" s="215"/>
      <c r="AW787" s="215"/>
      <c r="AX787" s="215"/>
      <c r="AY787" s="215"/>
      <c r="AZ787" s="215"/>
      <c r="BA787" s="215"/>
      <c r="BB787" s="215"/>
      <c r="BC787" s="215"/>
      <c r="BD787" s="215"/>
      <c r="BE787" s="215"/>
      <c r="BF787" s="215"/>
      <c r="BG787" s="215"/>
      <c r="BH787" s="215"/>
      <c r="BI787" s="215"/>
      <c r="BJ787" s="215"/>
      <c r="BK787" s="215"/>
      <c r="BL787" s="215"/>
      <c r="BM787" s="215"/>
      <c r="BN787" s="215"/>
      <c r="BO787" s="215"/>
      <c r="BP787" s="215"/>
      <c r="BQ787" s="215"/>
      <c r="BR787" s="215"/>
      <c r="BS787" s="215"/>
      <c r="BT787" s="215"/>
      <c r="BU787" s="215"/>
      <c r="BV787" s="215"/>
      <c r="BW787" s="215"/>
      <c r="BX787" s="215"/>
      <c r="BY787" s="215"/>
      <c r="BZ787" s="215"/>
      <c r="CA787" s="215"/>
      <c r="CB787" s="215"/>
      <c r="CC787" s="215"/>
      <c r="CD787" s="215"/>
      <c r="CE787" s="215"/>
    </row>
    <row r="788" spans="1:83" ht="12.65" customHeight="1" x14ac:dyDescent="0.3">
      <c r="A788" s="160" t="str">
        <f>RIGHT($C$83,3)&amp;"*"&amp;RIGHT($C$82,4)&amp;"*"&amp;BE$55&amp;"*"&amp;"A"</f>
        <v>085*2021*8430*A</v>
      </c>
      <c r="B788" s="214">
        <f>ROUND(BE59,0)</f>
        <v>140333</v>
      </c>
      <c r="C788" s="216">
        <f>ROUND(BE60,2)</f>
        <v>15.47</v>
      </c>
      <c r="D788" s="214">
        <f>ROUND(BE61,0)</f>
        <v>1092142</v>
      </c>
      <c r="E788" s="214">
        <f>ROUND(BE62,0)</f>
        <v>246333</v>
      </c>
      <c r="F788" s="214">
        <f>ROUND(BE63,0)</f>
        <v>1216</v>
      </c>
      <c r="G788" s="214">
        <f>ROUND(BE64,0)</f>
        <v>88989</v>
      </c>
      <c r="H788" s="214">
        <f>ROUND(BE65,0)</f>
        <v>803985</v>
      </c>
      <c r="I788" s="214">
        <f>ROUND(BE66,0)</f>
        <v>379694</v>
      </c>
      <c r="J788" s="214">
        <f>ROUND(BE67,0)</f>
        <v>356209</v>
      </c>
      <c r="K788" s="214">
        <f>ROUND(BE68,0)</f>
        <v>220</v>
      </c>
      <c r="L788" s="214">
        <f>ROUND(BE69,0)</f>
        <v>84341</v>
      </c>
      <c r="M788" s="214">
        <f>ROUND(BE70,0)</f>
        <v>0</v>
      </c>
      <c r="N788" s="214"/>
      <c r="O788" s="214"/>
      <c r="P788" s="214">
        <f>IF(BE76&gt;0,ROUND(BE76,0),0)</f>
        <v>11422</v>
      </c>
      <c r="Q788" s="214">
        <f>IF(BE77&gt;0,ROUND(BE77,0),0)</f>
        <v>0</v>
      </c>
      <c r="R788" s="214">
        <f>IF(BE78&gt;0,ROUND(BE78,0),0)</f>
        <v>0</v>
      </c>
      <c r="S788" s="214">
        <f>IF(BE79&gt;0,ROUND(BE79,0),0)</f>
        <v>0</v>
      </c>
      <c r="T788" s="216">
        <f>IF(BE80&gt;0,ROUND(BE80,2),0)</f>
        <v>0</v>
      </c>
      <c r="U788" s="214"/>
      <c r="V788" s="215"/>
      <c r="W788" s="214"/>
      <c r="X788" s="214"/>
      <c r="Y788" s="214"/>
      <c r="Z788" s="215"/>
      <c r="AA788" s="215"/>
      <c r="AB788" s="215"/>
      <c r="AC788" s="215"/>
      <c r="AD788" s="215"/>
      <c r="AE788" s="215"/>
      <c r="AF788" s="215"/>
      <c r="AG788" s="215"/>
      <c r="AH788" s="215"/>
      <c r="AI788" s="215"/>
      <c r="AJ788" s="215"/>
      <c r="AK788" s="215"/>
      <c r="AL788" s="215"/>
      <c r="AM788" s="215"/>
      <c r="AN788" s="215"/>
      <c r="AO788" s="215"/>
      <c r="AP788" s="215"/>
      <c r="AQ788" s="215"/>
      <c r="AR788" s="215"/>
      <c r="AS788" s="215"/>
      <c r="AT788" s="215"/>
      <c r="AU788" s="215"/>
      <c r="AV788" s="215"/>
      <c r="AW788" s="215"/>
      <c r="AX788" s="215"/>
      <c r="AY788" s="215"/>
      <c r="AZ788" s="215"/>
      <c r="BA788" s="215"/>
      <c r="BB788" s="215"/>
      <c r="BC788" s="215"/>
      <c r="BD788" s="215"/>
      <c r="BE788" s="215"/>
      <c r="BF788" s="215"/>
      <c r="BG788" s="215"/>
      <c r="BH788" s="215"/>
      <c r="BI788" s="215"/>
      <c r="BJ788" s="215"/>
      <c r="BK788" s="215"/>
      <c r="BL788" s="215"/>
      <c r="BM788" s="215"/>
      <c r="BN788" s="215"/>
      <c r="BO788" s="215"/>
      <c r="BP788" s="215"/>
      <c r="BQ788" s="215"/>
      <c r="BR788" s="215"/>
      <c r="BS788" s="215"/>
      <c r="BT788" s="215"/>
      <c r="BU788" s="215"/>
      <c r="BV788" s="215"/>
      <c r="BW788" s="215"/>
      <c r="BX788" s="215"/>
      <c r="BY788" s="215"/>
      <c r="BZ788" s="215"/>
      <c r="CA788" s="215"/>
      <c r="CB788" s="215"/>
      <c r="CC788" s="215"/>
      <c r="CD788" s="215"/>
      <c r="CE788" s="215"/>
    </row>
    <row r="789" spans="1:83" ht="12.65" customHeight="1" x14ac:dyDescent="0.3">
      <c r="A789" s="160" t="str">
        <f>RIGHT($C$83,3)&amp;"*"&amp;RIGHT($C$82,4)&amp;"*"&amp;BF$55&amp;"*"&amp;"A"</f>
        <v>085*2021*8460*A</v>
      </c>
      <c r="B789" s="214"/>
      <c r="C789" s="216">
        <f>ROUND(BF60,2)</f>
        <v>22.78</v>
      </c>
      <c r="D789" s="214">
        <f>ROUND(BF61,0)</f>
        <v>1042365</v>
      </c>
      <c r="E789" s="214">
        <f>ROUND(BF62,0)</f>
        <v>235106</v>
      </c>
      <c r="F789" s="214">
        <f>ROUND(BF63,0)</f>
        <v>0</v>
      </c>
      <c r="G789" s="214">
        <f>ROUND(BF64,0)</f>
        <v>195691</v>
      </c>
      <c r="H789" s="214">
        <f>ROUND(BF65,0)</f>
        <v>56</v>
      </c>
      <c r="I789" s="214">
        <f>ROUND(BF66,0)</f>
        <v>19883</v>
      </c>
      <c r="J789" s="214">
        <f>ROUND(BF67,0)</f>
        <v>97270</v>
      </c>
      <c r="K789" s="214">
        <f>ROUND(BF68,0)</f>
        <v>0</v>
      </c>
      <c r="L789" s="214">
        <f>ROUND(BF69,0)</f>
        <v>6806</v>
      </c>
      <c r="M789" s="214">
        <f>ROUND(BF70,0)</f>
        <v>0</v>
      </c>
      <c r="N789" s="214"/>
      <c r="O789" s="214"/>
      <c r="P789" s="214">
        <f>IF(BF76&gt;0,ROUND(BF76,0),0)</f>
        <v>3119</v>
      </c>
      <c r="Q789" s="214">
        <f>IF(BF77&gt;0,ROUND(BF77,0),0)</f>
        <v>0</v>
      </c>
      <c r="R789" s="214">
        <f>IF(BF78&gt;0,ROUND(BF78,0),0)</f>
        <v>0</v>
      </c>
      <c r="S789" s="214">
        <f>IF(BF79&gt;0,ROUND(BF79,0),0)</f>
        <v>0</v>
      </c>
      <c r="T789" s="216">
        <f>IF(BF80&gt;0,ROUND(BF80,2),0)</f>
        <v>0</v>
      </c>
      <c r="U789" s="214"/>
      <c r="V789" s="215"/>
      <c r="W789" s="214"/>
      <c r="X789" s="214"/>
      <c r="Y789" s="214"/>
      <c r="Z789" s="215"/>
      <c r="AA789" s="215"/>
      <c r="AB789" s="215"/>
      <c r="AC789" s="215"/>
      <c r="AD789" s="215"/>
      <c r="AE789" s="215"/>
      <c r="AF789" s="215"/>
      <c r="AG789" s="215"/>
      <c r="AH789" s="215"/>
      <c r="AI789" s="215"/>
      <c r="AJ789" s="215"/>
      <c r="AK789" s="215"/>
      <c r="AL789" s="215"/>
      <c r="AM789" s="215"/>
      <c r="AN789" s="215"/>
      <c r="AO789" s="215"/>
      <c r="AP789" s="215"/>
      <c r="AQ789" s="215"/>
      <c r="AR789" s="215"/>
      <c r="AS789" s="215"/>
      <c r="AT789" s="215"/>
      <c r="AU789" s="215"/>
      <c r="AV789" s="215"/>
      <c r="AW789" s="215"/>
      <c r="AX789" s="215"/>
      <c r="AY789" s="215"/>
      <c r="AZ789" s="215"/>
      <c r="BA789" s="215"/>
      <c r="BB789" s="215"/>
      <c r="BC789" s="215"/>
      <c r="BD789" s="215"/>
      <c r="BE789" s="215"/>
      <c r="BF789" s="215"/>
      <c r="BG789" s="215"/>
      <c r="BH789" s="215"/>
      <c r="BI789" s="215"/>
      <c r="BJ789" s="215"/>
      <c r="BK789" s="215"/>
      <c r="BL789" s="215"/>
      <c r="BM789" s="215"/>
      <c r="BN789" s="215"/>
      <c r="BO789" s="215"/>
      <c r="BP789" s="215"/>
      <c r="BQ789" s="215"/>
      <c r="BR789" s="215"/>
      <c r="BS789" s="215"/>
      <c r="BT789" s="215"/>
      <c r="BU789" s="215"/>
      <c r="BV789" s="215"/>
      <c r="BW789" s="215"/>
      <c r="BX789" s="215"/>
      <c r="BY789" s="215"/>
      <c r="BZ789" s="215"/>
      <c r="CA789" s="215"/>
      <c r="CB789" s="215"/>
      <c r="CC789" s="215"/>
      <c r="CD789" s="215"/>
      <c r="CE789" s="215"/>
    </row>
    <row r="790" spans="1:83" ht="12.65" customHeight="1" x14ac:dyDescent="0.3">
      <c r="A790" s="160" t="str">
        <f>RIGHT($C$83,3)&amp;"*"&amp;RIGHT($C$82,4)&amp;"*"&amp;BG$55&amp;"*"&amp;"A"</f>
        <v>085*2021*8470*A</v>
      </c>
      <c r="B790" s="214"/>
      <c r="C790" s="216">
        <f>ROUND(BG60,2)</f>
        <v>0</v>
      </c>
      <c r="D790" s="214">
        <f>ROUND(BG61,0)</f>
        <v>0</v>
      </c>
      <c r="E790" s="214">
        <f>ROUND(BG62,0)</f>
        <v>0</v>
      </c>
      <c r="F790" s="214">
        <f>ROUND(BG63,0)</f>
        <v>0</v>
      </c>
      <c r="G790" s="214">
        <f>ROUND(BG64,0)</f>
        <v>12569</v>
      </c>
      <c r="H790" s="214">
        <f>ROUND(BG65,0)</f>
        <v>196890</v>
      </c>
      <c r="I790" s="214">
        <f>ROUND(BG66,0)</f>
        <v>51524</v>
      </c>
      <c r="J790" s="214">
        <f>ROUND(BG67,0)</f>
        <v>0</v>
      </c>
      <c r="K790" s="214">
        <f>ROUND(BG68,0)</f>
        <v>0</v>
      </c>
      <c r="L790" s="214">
        <f>ROUND(BG69,0)</f>
        <v>-8764</v>
      </c>
      <c r="M790" s="214">
        <f>ROUND(BG70,0)</f>
        <v>0</v>
      </c>
      <c r="N790" s="214"/>
      <c r="O790" s="214"/>
      <c r="P790" s="214">
        <f>IF(BG76&gt;0,ROUND(BG76,0),0)</f>
        <v>0</v>
      </c>
      <c r="Q790" s="214">
        <f>IF(BG77&gt;0,ROUND(BG77,0),0)</f>
        <v>0</v>
      </c>
      <c r="R790" s="214">
        <f>IF(BG78&gt;0,ROUND(BG78,0),0)</f>
        <v>0</v>
      </c>
      <c r="S790" s="214">
        <f>IF(BG79&gt;0,ROUND(BG79,0),0)</f>
        <v>0</v>
      </c>
      <c r="T790" s="216">
        <f>IF(BG80&gt;0,ROUND(BG80,2),0)</f>
        <v>0</v>
      </c>
      <c r="U790" s="214"/>
      <c r="V790" s="215"/>
      <c r="W790" s="214"/>
      <c r="X790" s="214"/>
      <c r="Y790" s="214"/>
      <c r="Z790" s="215"/>
      <c r="AA790" s="215"/>
      <c r="AB790" s="215"/>
      <c r="AC790" s="215"/>
      <c r="AD790" s="215"/>
      <c r="AE790" s="215"/>
      <c r="AF790" s="215"/>
      <c r="AG790" s="215"/>
      <c r="AH790" s="215"/>
      <c r="AI790" s="215"/>
      <c r="AJ790" s="215"/>
      <c r="AK790" s="215"/>
      <c r="AL790" s="215"/>
      <c r="AM790" s="215"/>
      <c r="AN790" s="215"/>
      <c r="AO790" s="215"/>
      <c r="AP790" s="215"/>
      <c r="AQ790" s="215"/>
      <c r="AR790" s="215"/>
      <c r="AS790" s="215"/>
      <c r="AT790" s="215"/>
      <c r="AU790" s="215"/>
      <c r="AV790" s="215"/>
      <c r="AW790" s="215"/>
      <c r="AX790" s="215"/>
      <c r="AY790" s="215"/>
      <c r="AZ790" s="215"/>
      <c r="BA790" s="215"/>
      <c r="BB790" s="215"/>
      <c r="BC790" s="215"/>
      <c r="BD790" s="215"/>
      <c r="BE790" s="215"/>
      <c r="BF790" s="215"/>
      <c r="BG790" s="215"/>
      <c r="BH790" s="215"/>
      <c r="BI790" s="215"/>
      <c r="BJ790" s="215"/>
      <c r="BK790" s="215"/>
      <c r="BL790" s="215"/>
      <c r="BM790" s="215"/>
      <c r="BN790" s="215"/>
      <c r="BO790" s="215"/>
      <c r="BP790" s="215"/>
      <c r="BQ790" s="215"/>
      <c r="BR790" s="215"/>
      <c r="BS790" s="215"/>
      <c r="BT790" s="215"/>
      <c r="BU790" s="215"/>
      <c r="BV790" s="215"/>
      <c r="BW790" s="215"/>
      <c r="BX790" s="215"/>
      <c r="BY790" s="215"/>
      <c r="BZ790" s="215"/>
      <c r="CA790" s="215"/>
      <c r="CB790" s="215"/>
      <c r="CC790" s="215"/>
      <c r="CD790" s="215"/>
      <c r="CE790" s="215"/>
    </row>
    <row r="791" spans="1:83" ht="12.65" customHeight="1" x14ac:dyDescent="0.3">
      <c r="A791" s="160" t="str">
        <f>RIGHT($C$83,3)&amp;"*"&amp;RIGHT($C$82,4)&amp;"*"&amp;BH$55&amp;"*"&amp;"A"</f>
        <v>085*2021*8480*A</v>
      </c>
      <c r="B791" s="214"/>
      <c r="C791" s="216">
        <f>ROUND(BH60,2)</f>
        <v>15.23</v>
      </c>
      <c r="D791" s="214">
        <f>ROUND(BH61,0)</f>
        <v>1371642</v>
      </c>
      <c r="E791" s="214">
        <f>ROUND(BH62,0)</f>
        <v>309374</v>
      </c>
      <c r="F791" s="214">
        <f>ROUND(BH63,0)</f>
        <v>0</v>
      </c>
      <c r="G791" s="214">
        <f>ROUND(BH64,0)</f>
        <v>254656</v>
      </c>
      <c r="H791" s="214">
        <f>ROUND(BH65,0)</f>
        <v>0</v>
      </c>
      <c r="I791" s="214">
        <f>ROUND(BH66,0)</f>
        <v>1865132</v>
      </c>
      <c r="J791" s="214">
        <f>ROUND(BH67,0)</f>
        <v>203677</v>
      </c>
      <c r="K791" s="214">
        <f>ROUND(BH68,0)</f>
        <v>0</v>
      </c>
      <c r="L791" s="214">
        <f>ROUND(BH69,0)</f>
        <v>38717</v>
      </c>
      <c r="M791" s="214">
        <f>ROUND(BH70,0)</f>
        <v>0</v>
      </c>
      <c r="N791" s="214"/>
      <c r="O791" s="214"/>
      <c r="P791" s="214">
        <f>IF(BH76&gt;0,ROUND(BH76,0),0)</f>
        <v>6531</v>
      </c>
      <c r="Q791" s="214">
        <f>IF(BH77&gt;0,ROUND(BH77,0),0)</f>
        <v>0</v>
      </c>
      <c r="R791" s="214">
        <f>IF(BH78&gt;0,ROUND(BH78,0),0)</f>
        <v>2206</v>
      </c>
      <c r="S791" s="214">
        <f>IF(BH79&gt;0,ROUND(BH79,0),0)</f>
        <v>2440</v>
      </c>
      <c r="T791" s="216">
        <f>IF(BH80&gt;0,ROUND(BH80,2),0)</f>
        <v>0</v>
      </c>
      <c r="U791" s="214"/>
      <c r="V791" s="215"/>
      <c r="W791" s="214"/>
      <c r="X791" s="214"/>
      <c r="Y791" s="214"/>
      <c r="Z791" s="215"/>
      <c r="AA791" s="215"/>
      <c r="AB791" s="215"/>
      <c r="AC791" s="215"/>
      <c r="AD791" s="215"/>
      <c r="AE791" s="215"/>
      <c r="AF791" s="215"/>
      <c r="AG791" s="215"/>
      <c r="AH791" s="215"/>
      <c r="AI791" s="215"/>
      <c r="AJ791" s="215"/>
      <c r="AK791" s="215"/>
      <c r="AL791" s="215"/>
      <c r="AM791" s="215"/>
      <c r="AN791" s="215"/>
      <c r="AO791" s="215"/>
      <c r="AP791" s="215"/>
      <c r="AQ791" s="215"/>
      <c r="AR791" s="215"/>
      <c r="AS791" s="215"/>
      <c r="AT791" s="215"/>
      <c r="AU791" s="215"/>
      <c r="AV791" s="215"/>
      <c r="AW791" s="215"/>
      <c r="AX791" s="215"/>
      <c r="AY791" s="215"/>
      <c r="AZ791" s="215"/>
      <c r="BA791" s="215"/>
      <c r="BB791" s="215"/>
      <c r="BC791" s="215"/>
      <c r="BD791" s="215"/>
      <c r="BE791" s="215"/>
      <c r="BF791" s="215"/>
      <c r="BG791" s="215"/>
      <c r="BH791" s="215"/>
      <c r="BI791" s="215"/>
      <c r="BJ791" s="215"/>
      <c r="BK791" s="215"/>
      <c r="BL791" s="215"/>
      <c r="BM791" s="215"/>
      <c r="BN791" s="215"/>
      <c r="BO791" s="215"/>
      <c r="BP791" s="215"/>
      <c r="BQ791" s="215"/>
      <c r="BR791" s="215"/>
      <c r="BS791" s="215"/>
      <c r="BT791" s="215"/>
      <c r="BU791" s="215"/>
      <c r="BV791" s="215"/>
      <c r="BW791" s="215"/>
      <c r="BX791" s="215"/>
      <c r="BY791" s="215"/>
      <c r="BZ791" s="215"/>
      <c r="CA791" s="215"/>
      <c r="CB791" s="215"/>
      <c r="CC791" s="215"/>
      <c r="CD791" s="215"/>
      <c r="CE791" s="215"/>
    </row>
    <row r="792" spans="1:83" ht="12.65" customHeight="1" x14ac:dyDescent="0.3">
      <c r="A792" s="160" t="str">
        <f>RIGHT($C$83,3)&amp;"*"&amp;RIGHT($C$82,4)&amp;"*"&amp;BI$55&amp;"*"&amp;"A"</f>
        <v>085*2021*8490*A</v>
      </c>
      <c r="B792" s="214"/>
      <c r="C792" s="216">
        <f>ROUND(BI60,2)</f>
        <v>0</v>
      </c>
      <c r="D792" s="214">
        <f>ROUND(BI61,0)</f>
        <v>0</v>
      </c>
      <c r="E792" s="214">
        <f>ROUND(BI62,0)</f>
        <v>0</v>
      </c>
      <c r="F792" s="214">
        <f>ROUND(BI63,0)</f>
        <v>0</v>
      </c>
      <c r="G792" s="214">
        <f>ROUND(BI64,0)</f>
        <v>0</v>
      </c>
      <c r="H792" s="214">
        <f>ROUND(BI65,0)</f>
        <v>0</v>
      </c>
      <c r="I792" s="214">
        <f>ROUND(BI66,0)</f>
        <v>0</v>
      </c>
      <c r="J792" s="214">
        <f>ROUND(BI67,0)</f>
        <v>0</v>
      </c>
      <c r="K792" s="214">
        <f>ROUND(BI68,0)</f>
        <v>0</v>
      </c>
      <c r="L792" s="214">
        <f>ROUND(BI69,0)</f>
        <v>0</v>
      </c>
      <c r="M792" s="214">
        <f>ROUND(BI70,0)</f>
        <v>0</v>
      </c>
      <c r="N792" s="214"/>
      <c r="O792" s="214"/>
      <c r="P792" s="214">
        <f>IF(BI76&gt;0,ROUND(BI76,0),0)</f>
        <v>0</v>
      </c>
      <c r="Q792" s="214">
        <f>IF(BI77&gt;0,ROUND(BI77,0),0)</f>
        <v>0</v>
      </c>
      <c r="R792" s="214">
        <f>IF(BI78&gt;0,ROUND(BI78,0),0)</f>
        <v>0</v>
      </c>
      <c r="S792" s="214">
        <f>IF(BI79&gt;0,ROUND(BI79,0),0)</f>
        <v>0</v>
      </c>
      <c r="T792" s="216">
        <f>IF(BI80&gt;0,ROUND(BI80,2),0)</f>
        <v>0</v>
      </c>
      <c r="U792" s="214"/>
      <c r="V792" s="215"/>
      <c r="W792" s="214"/>
      <c r="X792" s="214"/>
      <c r="Y792" s="214"/>
      <c r="Z792" s="215"/>
      <c r="AA792" s="215"/>
      <c r="AB792" s="215"/>
      <c r="AC792" s="215"/>
      <c r="AD792" s="215"/>
      <c r="AE792" s="215"/>
      <c r="AF792" s="215"/>
      <c r="AG792" s="215"/>
      <c r="AH792" s="215"/>
      <c r="AI792" s="215"/>
      <c r="AJ792" s="215"/>
      <c r="AK792" s="215"/>
      <c r="AL792" s="215"/>
      <c r="AM792" s="215"/>
      <c r="AN792" s="215"/>
      <c r="AO792" s="215"/>
      <c r="AP792" s="215"/>
      <c r="AQ792" s="215"/>
      <c r="AR792" s="215"/>
      <c r="AS792" s="215"/>
      <c r="AT792" s="215"/>
      <c r="AU792" s="215"/>
      <c r="AV792" s="215"/>
      <c r="AW792" s="215"/>
      <c r="AX792" s="215"/>
      <c r="AY792" s="215"/>
      <c r="AZ792" s="215"/>
      <c r="BA792" s="215"/>
      <c r="BB792" s="215"/>
      <c r="BC792" s="215"/>
      <c r="BD792" s="215"/>
      <c r="BE792" s="215"/>
      <c r="BF792" s="215"/>
      <c r="BG792" s="215"/>
      <c r="BH792" s="215"/>
      <c r="BI792" s="215"/>
      <c r="BJ792" s="215"/>
      <c r="BK792" s="215"/>
      <c r="BL792" s="215"/>
      <c r="BM792" s="215"/>
      <c r="BN792" s="215"/>
      <c r="BO792" s="215"/>
      <c r="BP792" s="215"/>
      <c r="BQ792" s="215"/>
      <c r="BR792" s="215"/>
      <c r="BS792" s="215"/>
      <c r="BT792" s="215"/>
      <c r="BU792" s="215"/>
      <c r="BV792" s="215"/>
      <c r="BW792" s="215"/>
      <c r="BX792" s="215"/>
      <c r="BY792" s="215"/>
      <c r="BZ792" s="215"/>
      <c r="CA792" s="215"/>
      <c r="CB792" s="215"/>
      <c r="CC792" s="215"/>
      <c r="CD792" s="215"/>
      <c r="CE792" s="215"/>
    </row>
    <row r="793" spans="1:83" ht="12.65" customHeight="1" x14ac:dyDescent="0.3">
      <c r="A793" s="160" t="str">
        <f>RIGHT($C$83,3)&amp;"*"&amp;RIGHT($C$82,4)&amp;"*"&amp;BJ$55&amp;"*"&amp;"A"</f>
        <v>085*2021*8510*A</v>
      </c>
      <c r="B793" s="214"/>
      <c r="C793" s="216">
        <f>ROUND(BJ60,2)</f>
        <v>0</v>
      </c>
      <c r="D793" s="214">
        <f>ROUND(BJ61,0)</f>
        <v>0</v>
      </c>
      <c r="E793" s="214">
        <f>ROUND(BJ62,0)</f>
        <v>0</v>
      </c>
      <c r="F793" s="214">
        <f>ROUND(BJ63,0)</f>
        <v>0</v>
      </c>
      <c r="G793" s="214">
        <f>ROUND(BJ64,0)</f>
        <v>0</v>
      </c>
      <c r="H793" s="214">
        <f>ROUND(BJ65,0)</f>
        <v>0</v>
      </c>
      <c r="I793" s="214">
        <f>ROUND(BJ66,0)</f>
        <v>0</v>
      </c>
      <c r="J793" s="214">
        <f>ROUND(BJ67,0)</f>
        <v>0</v>
      </c>
      <c r="K793" s="214">
        <f>ROUND(BJ68,0)</f>
        <v>0</v>
      </c>
      <c r="L793" s="214">
        <f>ROUND(BJ69,0)</f>
        <v>0</v>
      </c>
      <c r="M793" s="214">
        <f>ROUND(BJ70,0)</f>
        <v>0</v>
      </c>
      <c r="N793" s="214"/>
      <c r="O793" s="214"/>
      <c r="P793" s="214">
        <f>IF(BJ76&gt;0,ROUND(BJ76,0),0)</f>
        <v>0</v>
      </c>
      <c r="Q793" s="214">
        <f>IF(BJ77&gt;0,ROUND(BJ77,0),0)</f>
        <v>0</v>
      </c>
      <c r="R793" s="214">
        <f>IF(BJ78&gt;0,ROUND(BJ78,0),0)</f>
        <v>0</v>
      </c>
      <c r="S793" s="214">
        <f>IF(BJ79&gt;0,ROUND(BJ79,0),0)</f>
        <v>0</v>
      </c>
      <c r="T793" s="216">
        <f>IF(BJ80&gt;0,ROUND(BJ80,2),0)</f>
        <v>0</v>
      </c>
      <c r="U793" s="214"/>
      <c r="V793" s="215"/>
      <c r="W793" s="214"/>
      <c r="X793" s="214"/>
      <c r="Y793" s="214"/>
      <c r="Z793" s="215"/>
      <c r="AA793" s="215"/>
      <c r="AB793" s="215"/>
      <c r="AC793" s="215"/>
      <c r="AD793" s="215"/>
      <c r="AE793" s="215"/>
      <c r="AF793" s="215"/>
      <c r="AG793" s="215"/>
      <c r="AH793" s="215"/>
      <c r="AI793" s="215"/>
      <c r="AJ793" s="215"/>
      <c r="AK793" s="215"/>
      <c r="AL793" s="215"/>
      <c r="AM793" s="215"/>
      <c r="AN793" s="215"/>
      <c r="AO793" s="215"/>
      <c r="AP793" s="215"/>
      <c r="AQ793" s="215"/>
      <c r="AR793" s="215"/>
      <c r="AS793" s="215"/>
      <c r="AT793" s="215"/>
      <c r="AU793" s="215"/>
      <c r="AV793" s="215"/>
      <c r="AW793" s="215"/>
      <c r="AX793" s="215"/>
      <c r="AY793" s="215"/>
      <c r="AZ793" s="215"/>
      <c r="BA793" s="215"/>
      <c r="BB793" s="215"/>
      <c r="BC793" s="215"/>
      <c r="BD793" s="215"/>
      <c r="BE793" s="215"/>
      <c r="BF793" s="215"/>
      <c r="BG793" s="215"/>
      <c r="BH793" s="215"/>
      <c r="BI793" s="215"/>
      <c r="BJ793" s="215"/>
      <c r="BK793" s="215"/>
      <c r="BL793" s="215"/>
      <c r="BM793" s="215"/>
      <c r="BN793" s="215"/>
      <c r="BO793" s="215"/>
      <c r="BP793" s="215"/>
      <c r="BQ793" s="215"/>
      <c r="BR793" s="215"/>
      <c r="BS793" s="215"/>
      <c r="BT793" s="215"/>
      <c r="BU793" s="215"/>
      <c r="BV793" s="215"/>
      <c r="BW793" s="215"/>
      <c r="BX793" s="215"/>
      <c r="BY793" s="215"/>
      <c r="BZ793" s="215"/>
      <c r="CA793" s="215"/>
      <c r="CB793" s="215"/>
      <c r="CC793" s="215"/>
      <c r="CD793" s="215"/>
      <c r="CE793" s="215"/>
    </row>
    <row r="794" spans="1:83" ht="12.65" customHeight="1" x14ac:dyDescent="0.3">
      <c r="A794" s="160" t="str">
        <f>RIGHT($C$83,3)&amp;"*"&amp;RIGHT($C$82,4)&amp;"*"&amp;BK$55&amp;"*"&amp;"A"</f>
        <v>085*2021*8530*A</v>
      </c>
      <c r="B794" s="214"/>
      <c r="C794" s="216">
        <f>ROUND(BK60,2)</f>
        <v>27.15</v>
      </c>
      <c r="D794" s="214">
        <f>ROUND(BK61,0)</f>
        <v>1184640</v>
      </c>
      <c r="E794" s="214">
        <f>ROUND(BK62,0)</f>
        <v>267196</v>
      </c>
      <c r="F794" s="214">
        <f>ROUND(BK63,0)</f>
        <v>35361</v>
      </c>
      <c r="G794" s="214">
        <f>ROUND(BK64,0)</f>
        <v>31090</v>
      </c>
      <c r="H794" s="214">
        <f>ROUND(BK65,0)</f>
        <v>3684</v>
      </c>
      <c r="I794" s="214">
        <f>ROUND(BK66,0)</f>
        <v>493938</v>
      </c>
      <c r="J794" s="214">
        <f>ROUND(BK67,0)</f>
        <v>51270</v>
      </c>
      <c r="K794" s="214">
        <f>ROUND(BK68,0)</f>
        <v>25138</v>
      </c>
      <c r="L794" s="214">
        <f>ROUND(BK69,0)</f>
        <v>258756</v>
      </c>
      <c r="M794" s="214">
        <f>ROUND(BK70,0)</f>
        <v>0</v>
      </c>
      <c r="N794" s="214"/>
      <c r="O794" s="214"/>
      <c r="P794" s="214">
        <f>IF(BK76&gt;0,ROUND(BK76,0),0)</f>
        <v>1644</v>
      </c>
      <c r="Q794" s="214">
        <f>IF(BK77&gt;0,ROUND(BK77,0),0)</f>
        <v>0</v>
      </c>
      <c r="R794" s="214">
        <f>IF(BK78&gt;0,ROUND(BK78,0),0)</f>
        <v>555</v>
      </c>
      <c r="S794" s="214">
        <f>IF(BK79&gt;0,ROUND(BK79,0),0)</f>
        <v>0</v>
      </c>
      <c r="T794" s="216">
        <f>IF(BK80&gt;0,ROUND(BK80,2),0)</f>
        <v>0</v>
      </c>
      <c r="U794" s="214"/>
      <c r="V794" s="215"/>
      <c r="W794" s="214"/>
      <c r="X794" s="214"/>
      <c r="Y794" s="214"/>
      <c r="Z794" s="215"/>
      <c r="AA794" s="215"/>
      <c r="AB794" s="215"/>
      <c r="AC794" s="215"/>
      <c r="AD794" s="215"/>
      <c r="AE794" s="215"/>
      <c r="AF794" s="215"/>
      <c r="AG794" s="215"/>
      <c r="AH794" s="215"/>
      <c r="AI794" s="215"/>
      <c r="AJ794" s="215"/>
      <c r="AK794" s="215"/>
      <c r="AL794" s="215"/>
      <c r="AM794" s="215"/>
      <c r="AN794" s="215"/>
      <c r="AO794" s="215"/>
      <c r="AP794" s="215"/>
      <c r="AQ794" s="215"/>
      <c r="AR794" s="215"/>
      <c r="AS794" s="215"/>
      <c r="AT794" s="215"/>
      <c r="AU794" s="215"/>
      <c r="AV794" s="215"/>
      <c r="AW794" s="215"/>
      <c r="AX794" s="215"/>
      <c r="AY794" s="215"/>
      <c r="AZ794" s="215"/>
      <c r="BA794" s="215"/>
      <c r="BB794" s="215"/>
      <c r="BC794" s="215"/>
      <c r="BD794" s="215"/>
      <c r="BE794" s="215"/>
      <c r="BF794" s="215"/>
      <c r="BG794" s="215"/>
      <c r="BH794" s="215"/>
      <c r="BI794" s="215"/>
      <c r="BJ794" s="215"/>
      <c r="BK794" s="215"/>
      <c r="BL794" s="215"/>
      <c r="BM794" s="215"/>
      <c r="BN794" s="215"/>
      <c r="BO794" s="215"/>
      <c r="BP794" s="215"/>
      <c r="BQ794" s="215"/>
      <c r="BR794" s="215"/>
      <c r="BS794" s="215"/>
      <c r="BT794" s="215"/>
      <c r="BU794" s="215"/>
      <c r="BV794" s="215"/>
      <c r="BW794" s="215"/>
      <c r="BX794" s="215"/>
      <c r="BY794" s="215"/>
      <c r="BZ794" s="215"/>
      <c r="CA794" s="215"/>
      <c r="CB794" s="215"/>
      <c r="CC794" s="215"/>
      <c r="CD794" s="215"/>
      <c r="CE794" s="215"/>
    </row>
    <row r="795" spans="1:83" ht="12.65" customHeight="1" x14ac:dyDescent="0.3">
      <c r="A795" s="160" t="str">
        <f>RIGHT($C$83,3)&amp;"*"&amp;RIGHT($C$82,4)&amp;"*"&amp;BL$55&amp;"*"&amp;"A"</f>
        <v>085*2021*8560*A</v>
      </c>
      <c r="B795" s="214"/>
      <c r="C795" s="216">
        <f>ROUND(BL60,2)</f>
        <v>14.41</v>
      </c>
      <c r="D795" s="214">
        <f>ROUND(BL61,0)</f>
        <v>724464</v>
      </c>
      <c r="E795" s="214">
        <f>ROUND(BL62,0)</f>
        <v>163403</v>
      </c>
      <c r="F795" s="214">
        <f>ROUND(BL63,0)</f>
        <v>0</v>
      </c>
      <c r="G795" s="214">
        <f>ROUND(BL64,0)</f>
        <v>16667</v>
      </c>
      <c r="H795" s="214">
        <f>ROUND(BL65,0)</f>
        <v>0</v>
      </c>
      <c r="I795" s="214">
        <f>ROUND(BL66,0)</f>
        <v>2249</v>
      </c>
      <c r="J795" s="214">
        <f>ROUND(BL67,0)</f>
        <v>61780</v>
      </c>
      <c r="K795" s="214">
        <f>ROUND(BL68,0)</f>
        <v>0</v>
      </c>
      <c r="L795" s="214">
        <f>ROUND(BL69,0)</f>
        <v>0</v>
      </c>
      <c r="M795" s="214">
        <f>ROUND(BL70,0)</f>
        <v>0</v>
      </c>
      <c r="N795" s="214"/>
      <c r="O795" s="214"/>
      <c r="P795" s="214">
        <f>IF(BL76&gt;0,ROUND(BL76,0),0)</f>
        <v>1981</v>
      </c>
      <c r="Q795" s="214">
        <f>IF(BL77&gt;0,ROUND(BL77,0),0)</f>
        <v>0</v>
      </c>
      <c r="R795" s="214">
        <f>IF(BL78&gt;0,ROUND(BL78,0),0)</f>
        <v>669</v>
      </c>
      <c r="S795" s="214">
        <f>IF(BL79&gt;0,ROUND(BL79,0),0)</f>
        <v>0</v>
      </c>
      <c r="T795" s="216">
        <f>IF(BL80&gt;0,ROUND(BL80,2),0)</f>
        <v>0</v>
      </c>
      <c r="U795" s="214"/>
      <c r="V795" s="215"/>
      <c r="W795" s="214"/>
      <c r="X795" s="214"/>
      <c r="Y795" s="214"/>
      <c r="Z795" s="215"/>
      <c r="AA795" s="215"/>
      <c r="AB795" s="215"/>
      <c r="AC795" s="215"/>
      <c r="AD795" s="215"/>
      <c r="AE795" s="215"/>
      <c r="AF795" s="215"/>
      <c r="AG795" s="215"/>
      <c r="AH795" s="215"/>
      <c r="AI795" s="215"/>
      <c r="AJ795" s="215"/>
      <c r="AK795" s="215"/>
      <c r="AL795" s="215"/>
      <c r="AM795" s="215"/>
      <c r="AN795" s="215"/>
      <c r="AO795" s="215"/>
      <c r="AP795" s="215"/>
      <c r="AQ795" s="215"/>
      <c r="AR795" s="215"/>
      <c r="AS795" s="215"/>
      <c r="AT795" s="215"/>
      <c r="AU795" s="215"/>
      <c r="AV795" s="215"/>
      <c r="AW795" s="215"/>
      <c r="AX795" s="215"/>
      <c r="AY795" s="215"/>
      <c r="AZ795" s="215"/>
      <c r="BA795" s="215"/>
      <c r="BB795" s="215"/>
      <c r="BC795" s="215"/>
      <c r="BD795" s="215"/>
      <c r="BE795" s="215"/>
      <c r="BF795" s="215"/>
      <c r="BG795" s="215"/>
      <c r="BH795" s="215"/>
      <c r="BI795" s="215"/>
      <c r="BJ795" s="215"/>
      <c r="BK795" s="215"/>
      <c r="BL795" s="215"/>
      <c r="BM795" s="215"/>
      <c r="BN795" s="215"/>
      <c r="BO795" s="215"/>
      <c r="BP795" s="215"/>
      <c r="BQ795" s="215"/>
      <c r="BR795" s="215"/>
      <c r="BS795" s="215"/>
      <c r="BT795" s="215"/>
      <c r="BU795" s="215"/>
      <c r="BV795" s="215"/>
      <c r="BW795" s="215"/>
      <c r="BX795" s="215"/>
      <c r="BY795" s="215"/>
      <c r="BZ795" s="215"/>
      <c r="CA795" s="215"/>
      <c r="CB795" s="215"/>
      <c r="CC795" s="215"/>
      <c r="CD795" s="215"/>
      <c r="CE795" s="215"/>
    </row>
    <row r="796" spans="1:83" ht="12.65" customHeight="1" x14ac:dyDescent="0.3">
      <c r="A796" s="160" t="str">
        <f>RIGHT($C$83,3)&amp;"*"&amp;RIGHT($C$82,4)&amp;"*"&amp;BM$55&amp;"*"&amp;"A"</f>
        <v>085*2021*8590*A</v>
      </c>
      <c r="B796" s="214"/>
      <c r="C796" s="216">
        <f>ROUND(BM60,2)</f>
        <v>0</v>
      </c>
      <c r="D796" s="214">
        <f>ROUND(BM61,0)</f>
        <v>0</v>
      </c>
      <c r="E796" s="214">
        <f>ROUND(BM62,0)</f>
        <v>0</v>
      </c>
      <c r="F796" s="214">
        <f>ROUND(BM63,0)</f>
        <v>0</v>
      </c>
      <c r="G796" s="214">
        <f>ROUND(BM64,0)</f>
        <v>0</v>
      </c>
      <c r="H796" s="214">
        <f>ROUND(BM65,0)</f>
        <v>0</v>
      </c>
      <c r="I796" s="214">
        <f>ROUND(BM66,0)</f>
        <v>0</v>
      </c>
      <c r="J796" s="214">
        <f>ROUND(BM67,0)</f>
        <v>0</v>
      </c>
      <c r="K796" s="214">
        <f>ROUND(BM68,0)</f>
        <v>0</v>
      </c>
      <c r="L796" s="214">
        <f>ROUND(BM69,0)</f>
        <v>0</v>
      </c>
      <c r="M796" s="214">
        <f>ROUND(BM70,0)</f>
        <v>0</v>
      </c>
      <c r="N796" s="214"/>
      <c r="O796" s="214"/>
      <c r="P796" s="214">
        <f>IF(BM76&gt;0,ROUND(BM76,0),0)</f>
        <v>0</v>
      </c>
      <c r="Q796" s="214">
        <f>IF(BM77&gt;0,ROUND(BM77,0),0)</f>
        <v>0</v>
      </c>
      <c r="R796" s="214">
        <f>IF(BM78&gt;0,ROUND(BM78,0),0)</f>
        <v>0</v>
      </c>
      <c r="S796" s="214">
        <f>IF(BM79&gt;0,ROUND(BM79,0),0)</f>
        <v>0</v>
      </c>
      <c r="T796" s="216">
        <f>IF(BM80&gt;0,ROUND(BM80,2),0)</f>
        <v>0</v>
      </c>
      <c r="U796" s="214"/>
      <c r="V796" s="215"/>
      <c r="W796" s="214"/>
      <c r="X796" s="214"/>
      <c r="Y796" s="214"/>
      <c r="Z796" s="215"/>
      <c r="AA796" s="215"/>
      <c r="AB796" s="215"/>
      <c r="AC796" s="215"/>
      <c r="AD796" s="215"/>
      <c r="AE796" s="215"/>
      <c r="AF796" s="215"/>
      <c r="AG796" s="215"/>
      <c r="AH796" s="215"/>
      <c r="AI796" s="215"/>
      <c r="AJ796" s="215"/>
      <c r="AK796" s="215"/>
      <c r="AL796" s="215"/>
      <c r="AM796" s="215"/>
      <c r="AN796" s="215"/>
      <c r="AO796" s="215"/>
      <c r="AP796" s="215"/>
      <c r="AQ796" s="215"/>
      <c r="AR796" s="215"/>
      <c r="AS796" s="215"/>
      <c r="AT796" s="215"/>
      <c r="AU796" s="215"/>
      <c r="AV796" s="215"/>
      <c r="AW796" s="215"/>
      <c r="AX796" s="215"/>
      <c r="AY796" s="215"/>
      <c r="AZ796" s="215"/>
      <c r="BA796" s="215"/>
      <c r="BB796" s="215"/>
      <c r="BC796" s="215"/>
      <c r="BD796" s="215"/>
      <c r="BE796" s="215"/>
      <c r="BF796" s="215"/>
      <c r="BG796" s="215"/>
      <c r="BH796" s="215"/>
      <c r="BI796" s="215"/>
      <c r="BJ796" s="215"/>
      <c r="BK796" s="215"/>
      <c r="BL796" s="215"/>
      <c r="BM796" s="215"/>
      <c r="BN796" s="215"/>
      <c r="BO796" s="215"/>
      <c r="BP796" s="215"/>
      <c r="BQ796" s="215"/>
      <c r="BR796" s="215"/>
      <c r="BS796" s="215"/>
      <c r="BT796" s="215"/>
      <c r="BU796" s="215"/>
      <c r="BV796" s="215"/>
      <c r="BW796" s="215"/>
      <c r="BX796" s="215"/>
      <c r="BY796" s="215"/>
      <c r="BZ796" s="215"/>
      <c r="CA796" s="215"/>
      <c r="CB796" s="215"/>
      <c r="CC796" s="215"/>
      <c r="CD796" s="215"/>
      <c r="CE796" s="215"/>
    </row>
    <row r="797" spans="1:83" ht="12.65" customHeight="1" x14ac:dyDescent="0.3">
      <c r="A797" s="160" t="str">
        <f>RIGHT($C$83,3)&amp;"*"&amp;RIGHT($C$82,4)&amp;"*"&amp;BN$55&amp;"*"&amp;"A"</f>
        <v>085*2021*8610*A</v>
      </c>
      <c r="B797" s="214"/>
      <c r="C797" s="216">
        <f>ROUND(BN60,2)</f>
        <v>0</v>
      </c>
      <c r="D797" s="214">
        <f>ROUND(BN61,0)</f>
        <v>0</v>
      </c>
      <c r="E797" s="214">
        <f>ROUND(BN62,0)</f>
        <v>0</v>
      </c>
      <c r="F797" s="214">
        <f>ROUND(BN63,0)</f>
        <v>0</v>
      </c>
      <c r="G797" s="214">
        <f>ROUND(BN64,0)</f>
        <v>0</v>
      </c>
      <c r="H797" s="214">
        <f>ROUND(BN65,0)</f>
        <v>0</v>
      </c>
      <c r="I797" s="214">
        <f>ROUND(BN66,0)</f>
        <v>0</v>
      </c>
      <c r="J797" s="214">
        <f>ROUND(BN67,0)</f>
        <v>0</v>
      </c>
      <c r="K797" s="214">
        <f>ROUND(BN68,0)</f>
        <v>0</v>
      </c>
      <c r="L797" s="214">
        <f>ROUND(BN69,0)</f>
        <v>0</v>
      </c>
      <c r="M797" s="214">
        <f>ROUND(BN70,0)</f>
        <v>0</v>
      </c>
      <c r="N797" s="214"/>
      <c r="O797" s="214"/>
      <c r="P797" s="214">
        <f>IF(BN76&gt;0,ROUND(BN76,0),0)</f>
        <v>0</v>
      </c>
      <c r="Q797" s="214">
        <f>IF(BN77&gt;0,ROUND(BN77,0),0)</f>
        <v>0</v>
      </c>
      <c r="R797" s="214">
        <f>IF(BN78&gt;0,ROUND(BN78,0),0)</f>
        <v>0</v>
      </c>
      <c r="S797" s="214">
        <f>IF(BN79&gt;0,ROUND(BN79,0),0)</f>
        <v>0</v>
      </c>
      <c r="T797" s="216">
        <f>IF(BN80&gt;0,ROUND(BN80,2),0)</f>
        <v>0</v>
      </c>
      <c r="U797" s="214"/>
      <c r="V797" s="215"/>
      <c r="W797" s="214"/>
      <c r="X797" s="214"/>
      <c r="Y797" s="214"/>
      <c r="Z797" s="215"/>
      <c r="AA797" s="215"/>
      <c r="AB797" s="215"/>
      <c r="AC797" s="215"/>
      <c r="AD797" s="215"/>
      <c r="AE797" s="215"/>
      <c r="AF797" s="215"/>
      <c r="AG797" s="215"/>
      <c r="AH797" s="215"/>
      <c r="AI797" s="215"/>
      <c r="AJ797" s="215"/>
      <c r="AK797" s="215"/>
      <c r="AL797" s="215"/>
      <c r="AM797" s="215"/>
      <c r="AN797" s="215"/>
      <c r="AO797" s="215"/>
      <c r="AP797" s="215"/>
      <c r="AQ797" s="215"/>
      <c r="AR797" s="215"/>
      <c r="AS797" s="215"/>
      <c r="AT797" s="215"/>
      <c r="AU797" s="215"/>
      <c r="AV797" s="215"/>
      <c r="AW797" s="215"/>
      <c r="AX797" s="215"/>
      <c r="AY797" s="215"/>
      <c r="AZ797" s="215"/>
      <c r="BA797" s="215"/>
      <c r="BB797" s="215"/>
      <c r="BC797" s="215"/>
      <c r="BD797" s="215"/>
      <c r="BE797" s="215"/>
      <c r="BF797" s="215"/>
      <c r="BG797" s="215"/>
      <c r="BH797" s="215"/>
      <c r="BI797" s="215"/>
      <c r="BJ797" s="215"/>
      <c r="BK797" s="215"/>
      <c r="BL797" s="215"/>
      <c r="BM797" s="215"/>
      <c r="BN797" s="215"/>
      <c r="BO797" s="215"/>
      <c r="BP797" s="215"/>
      <c r="BQ797" s="215"/>
      <c r="BR797" s="215"/>
      <c r="BS797" s="215"/>
      <c r="BT797" s="215"/>
      <c r="BU797" s="215"/>
      <c r="BV797" s="215"/>
      <c r="BW797" s="215"/>
      <c r="BX797" s="215"/>
      <c r="BY797" s="215"/>
      <c r="BZ797" s="215"/>
      <c r="CA797" s="215"/>
      <c r="CB797" s="215"/>
      <c r="CC797" s="215"/>
      <c r="CD797" s="215"/>
      <c r="CE797" s="215"/>
    </row>
    <row r="798" spans="1:83" ht="12.65" customHeight="1" x14ac:dyDescent="0.3">
      <c r="A798" s="160" t="str">
        <f>RIGHT($C$83,3)&amp;"*"&amp;RIGHT($C$82,4)&amp;"*"&amp;BO$55&amp;"*"&amp;"A"</f>
        <v>085*2021*8620*A</v>
      </c>
      <c r="B798" s="214"/>
      <c r="C798" s="216">
        <f>ROUND(BO60,2)</f>
        <v>0.3</v>
      </c>
      <c r="D798" s="214">
        <f>ROUND(BO61,0)</f>
        <v>21920</v>
      </c>
      <c r="E798" s="214">
        <f>ROUND(BO62,0)</f>
        <v>4944</v>
      </c>
      <c r="F798" s="214">
        <f>ROUND(BO63,0)</f>
        <v>0</v>
      </c>
      <c r="G798" s="214">
        <f>ROUND(BO64,0)</f>
        <v>29874</v>
      </c>
      <c r="H798" s="214">
        <f>ROUND(BO65,0)</f>
        <v>0</v>
      </c>
      <c r="I798" s="214">
        <f>ROUND(BO66,0)</f>
        <v>3777</v>
      </c>
      <c r="J798" s="214">
        <f>ROUND(BO67,0)</f>
        <v>7578</v>
      </c>
      <c r="K798" s="214">
        <f>ROUND(BO68,0)</f>
        <v>0</v>
      </c>
      <c r="L798" s="214">
        <f>ROUND(BO69,0)</f>
        <v>3057</v>
      </c>
      <c r="M798" s="214">
        <f>ROUND(BO70,0)</f>
        <v>0</v>
      </c>
      <c r="N798" s="214"/>
      <c r="O798" s="214"/>
      <c r="P798" s="214">
        <f>IF(BO76&gt;0,ROUND(BO76,0),0)</f>
        <v>243</v>
      </c>
      <c r="Q798" s="214">
        <f>IF(BO77&gt;0,ROUND(BO77,0),0)</f>
        <v>0</v>
      </c>
      <c r="R798" s="214">
        <f>IF(BO78&gt;0,ROUND(BO78,0),0)</f>
        <v>0</v>
      </c>
      <c r="S798" s="214">
        <f>IF(BO79&gt;0,ROUND(BO79,0),0)</f>
        <v>0</v>
      </c>
      <c r="T798" s="216">
        <f>IF(BO80&gt;0,ROUND(BO80,2),0)</f>
        <v>0</v>
      </c>
      <c r="U798" s="214"/>
      <c r="V798" s="215"/>
      <c r="W798" s="214"/>
      <c r="X798" s="214"/>
      <c r="Y798" s="214"/>
      <c r="Z798" s="215"/>
      <c r="AA798" s="215"/>
      <c r="AB798" s="215"/>
      <c r="AC798" s="215"/>
      <c r="AD798" s="215"/>
      <c r="AE798" s="215"/>
      <c r="AF798" s="215"/>
      <c r="AG798" s="215"/>
      <c r="AH798" s="215"/>
      <c r="AI798" s="215"/>
      <c r="AJ798" s="215"/>
      <c r="AK798" s="215"/>
      <c r="AL798" s="215"/>
      <c r="AM798" s="215"/>
      <c r="AN798" s="215"/>
      <c r="AO798" s="215"/>
      <c r="AP798" s="215"/>
      <c r="AQ798" s="215"/>
      <c r="AR798" s="215"/>
      <c r="AS798" s="215"/>
      <c r="AT798" s="215"/>
      <c r="AU798" s="215"/>
      <c r="AV798" s="215"/>
      <c r="AW798" s="215"/>
      <c r="AX798" s="215"/>
      <c r="AY798" s="215"/>
      <c r="AZ798" s="215"/>
      <c r="BA798" s="215"/>
      <c r="BB798" s="215"/>
      <c r="BC798" s="215"/>
      <c r="BD798" s="215"/>
      <c r="BE798" s="215"/>
      <c r="BF798" s="215"/>
      <c r="BG798" s="215"/>
      <c r="BH798" s="215"/>
      <c r="BI798" s="215"/>
      <c r="BJ798" s="215"/>
      <c r="BK798" s="215"/>
      <c r="BL798" s="215"/>
      <c r="BM798" s="215"/>
      <c r="BN798" s="215"/>
      <c r="BO798" s="215"/>
      <c r="BP798" s="215"/>
      <c r="BQ798" s="215"/>
      <c r="BR798" s="215"/>
      <c r="BS798" s="215"/>
      <c r="BT798" s="215"/>
      <c r="BU798" s="215"/>
      <c r="BV798" s="215"/>
      <c r="BW798" s="215"/>
      <c r="BX798" s="215"/>
      <c r="BY798" s="215"/>
      <c r="BZ798" s="215"/>
      <c r="CA798" s="215"/>
      <c r="CB798" s="215"/>
      <c r="CC798" s="215"/>
      <c r="CD798" s="215"/>
      <c r="CE798" s="215"/>
    </row>
    <row r="799" spans="1:83" ht="12.65" customHeight="1" x14ac:dyDescent="0.3">
      <c r="A799" s="160" t="str">
        <f>RIGHT($C$83,3)&amp;"*"&amp;RIGHT($C$82,4)&amp;"*"&amp;BP$55&amp;"*"&amp;"A"</f>
        <v>085*2021*8630*A</v>
      </c>
      <c r="B799" s="214"/>
      <c r="C799" s="216">
        <f>ROUND(BP60,2)</f>
        <v>0</v>
      </c>
      <c r="D799" s="214">
        <f>ROUND(BP61,0)</f>
        <v>0</v>
      </c>
      <c r="E799" s="214">
        <f>ROUND(BP62,0)</f>
        <v>0</v>
      </c>
      <c r="F799" s="214">
        <f>ROUND(BP63,0)</f>
        <v>0</v>
      </c>
      <c r="G799" s="214">
        <f>ROUND(BP64,0)</f>
        <v>0</v>
      </c>
      <c r="H799" s="214">
        <f>ROUND(BP65,0)</f>
        <v>0</v>
      </c>
      <c r="I799" s="214">
        <f>ROUND(BP66,0)</f>
        <v>0</v>
      </c>
      <c r="J799" s="214">
        <f>ROUND(BP67,0)</f>
        <v>0</v>
      </c>
      <c r="K799" s="214">
        <f>ROUND(BP68,0)</f>
        <v>0</v>
      </c>
      <c r="L799" s="214">
        <f>ROUND(BP69,0)</f>
        <v>0</v>
      </c>
      <c r="M799" s="214">
        <f>ROUND(BP70,0)</f>
        <v>0</v>
      </c>
      <c r="N799" s="214"/>
      <c r="O799" s="214"/>
      <c r="P799" s="214">
        <f>IF(BP76&gt;0,ROUND(BP76,0),0)</f>
        <v>0</v>
      </c>
      <c r="Q799" s="214">
        <f>IF(BP77&gt;0,ROUND(BP77,0),0)</f>
        <v>0</v>
      </c>
      <c r="R799" s="214">
        <f>IF(BP78&gt;0,ROUND(BP78,0),0)</f>
        <v>0</v>
      </c>
      <c r="S799" s="214">
        <f>IF(BP79&gt;0,ROUND(BP79,0),0)</f>
        <v>0</v>
      </c>
      <c r="T799" s="216">
        <f>IF(BP80&gt;0,ROUND(BP80,2),0)</f>
        <v>0</v>
      </c>
      <c r="U799" s="214"/>
      <c r="V799" s="215"/>
      <c r="W799" s="214"/>
      <c r="X799" s="214"/>
      <c r="Y799" s="214"/>
      <c r="Z799" s="215"/>
      <c r="AA799" s="215"/>
      <c r="AB799" s="215"/>
      <c r="AC799" s="215"/>
      <c r="AD799" s="215"/>
      <c r="AE799" s="215"/>
      <c r="AF799" s="215"/>
      <c r="AG799" s="215"/>
      <c r="AH799" s="215"/>
      <c r="AI799" s="215"/>
      <c r="AJ799" s="215"/>
      <c r="AK799" s="215"/>
      <c r="AL799" s="215"/>
      <c r="AM799" s="215"/>
      <c r="AN799" s="215"/>
      <c r="AO799" s="215"/>
      <c r="AP799" s="215"/>
      <c r="AQ799" s="215"/>
      <c r="AR799" s="215"/>
      <c r="AS799" s="215"/>
      <c r="AT799" s="215"/>
      <c r="AU799" s="215"/>
      <c r="AV799" s="215"/>
      <c r="AW799" s="215"/>
      <c r="AX799" s="215"/>
      <c r="AY799" s="215"/>
      <c r="AZ799" s="215"/>
      <c r="BA799" s="215"/>
      <c r="BB799" s="215"/>
      <c r="BC799" s="215"/>
      <c r="BD799" s="215"/>
      <c r="BE799" s="215"/>
      <c r="BF799" s="215"/>
      <c r="BG799" s="215"/>
      <c r="BH799" s="215"/>
      <c r="BI799" s="215"/>
      <c r="BJ799" s="215"/>
      <c r="BK799" s="215"/>
      <c r="BL799" s="215"/>
      <c r="BM799" s="215"/>
      <c r="BN799" s="215"/>
      <c r="BO799" s="215"/>
      <c r="BP799" s="215"/>
      <c r="BQ799" s="215"/>
      <c r="BR799" s="215"/>
      <c r="BS799" s="215"/>
      <c r="BT799" s="215"/>
      <c r="BU799" s="215"/>
      <c r="BV799" s="215"/>
      <c r="BW799" s="215"/>
      <c r="BX799" s="215"/>
      <c r="BY799" s="215"/>
      <c r="BZ799" s="215"/>
      <c r="CA799" s="215"/>
      <c r="CB799" s="215"/>
      <c r="CC799" s="215"/>
      <c r="CD799" s="215"/>
      <c r="CE799" s="215"/>
    </row>
    <row r="800" spans="1:83" ht="12.65" customHeight="1" x14ac:dyDescent="0.3">
      <c r="A800" s="160" t="str">
        <f>RIGHT($C$83,3)&amp;"*"&amp;RIGHT($C$82,4)&amp;"*"&amp;BQ$55&amp;"*"&amp;"A"</f>
        <v>085*2021*8640*A</v>
      </c>
      <c r="B800" s="214"/>
      <c r="C800" s="216">
        <f>ROUND(BQ60,2)</f>
        <v>0</v>
      </c>
      <c r="D800" s="214">
        <f>ROUND(BQ61,0)</f>
        <v>0</v>
      </c>
      <c r="E800" s="214">
        <f>ROUND(BQ62,0)</f>
        <v>0</v>
      </c>
      <c r="F800" s="214">
        <f>ROUND(BQ63,0)</f>
        <v>0</v>
      </c>
      <c r="G800" s="214">
        <f>ROUND(BQ64,0)</f>
        <v>0</v>
      </c>
      <c r="H800" s="214">
        <f>ROUND(BQ65,0)</f>
        <v>0</v>
      </c>
      <c r="I800" s="214">
        <f>ROUND(BQ66,0)</f>
        <v>0</v>
      </c>
      <c r="J800" s="214">
        <f>ROUND(BQ67,0)</f>
        <v>0</v>
      </c>
      <c r="K800" s="214">
        <f>ROUND(BQ68,0)</f>
        <v>0</v>
      </c>
      <c r="L800" s="214">
        <f>ROUND(BQ69,0)</f>
        <v>0</v>
      </c>
      <c r="M800" s="214">
        <f>ROUND(BQ70,0)</f>
        <v>0</v>
      </c>
      <c r="N800" s="214"/>
      <c r="O800" s="214"/>
      <c r="P800" s="214">
        <f>IF(BQ76&gt;0,ROUND(BQ76,0),0)</f>
        <v>0</v>
      </c>
      <c r="Q800" s="214">
        <f>IF(BQ77&gt;0,ROUND(BQ77,0),0)</f>
        <v>0</v>
      </c>
      <c r="R800" s="214">
        <f>IF(BQ78&gt;0,ROUND(BQ78,0),0)</f>
        <v>0</v>
      </c>
      <c r="S800" s="214">
        <f>IF(BQ79&gt;0,ROUND(BQ79,0),0)</f>
        <v>0</v>
      </c>
      <c r="T800" s="216">
        <f>IF(BQ80&gt;0,ROUND(BQ80,2),0)</f>
        <v>0</v>
      </c>
      <c r="U800" s="214"/>
      <c r="V800" s="215"/>
      <c r="W800" s="214"/>
      <c r="X800" s="214"/>
      <c r="Y800" s="214"/>
      <c r="Z800" s="215"/>
      <c r="AA800" s="215"/>
      <c r="AB800" s="215"/>
      <c r="AC800" s="215"/>
      <c r="AD800" s="215"/>
      <c r="AE800" s="215"/>
      <c r="AF800" s="215"/>
      <c r="AG800" s="215"/>
      <c r="AH800" s="215"/>
      <c r="AI800" s="215"/>
      <c r="AJ800" s="215"/>
      <c r="AK800" s="215"/>
      <c r="AL800" s="215"/>
      <c r="AM800" s="215"/>
      <c r="AN800" s="215"/>
      <c r="AO800" s="215"/>
      <c r="AP800" s="215"/>
      <c r="AQ800" s="215"/>
      <c r="AR800" s="215"/>
      <c r="AS800" s="215"/>
      <c r="AT800" s="215"/>
      <c r="AU800" s="215"/>
      <c r="AV800" s="215"/>
      <c r="AW800" s="215"/>
      <c r="AX800" s="215"/>
      <c r="AY800" s="215"/>
      <c r="AZ800" s="215"/>
      <c r="BA800" s="215"/>
      <c r="BB800" s="215"/>
      <c r="BC800" s="215"/>
      <c r="BD800" s="215"/>
      <c r="BE800" s="215"/>
      <c r="BF800" s="215"/>
      <c r="BG800" s="215"/>
      <c r="BH800" s="215"/>
      <c r="BI800" s="215"/>
      <c r="BJ800" s="215"/>
      <c r="BK800" s="215"/>
      <c r="BL800" s="215"/>
      <c r="BM800" s="215"/>
      <c r="BN800" s="215"/>
      <c r="BO800" s="215"/>
      <c r="BP800" s="215"/>
      <c r="BQ800" s="215"/>
      <c r="BR800" s="215"/>
      <c r="BS800" s="215"/>
      <c r="BT800" s="215"/>
      <c r="BU800" s="215"/>
      <c r="BV800" s="215"/>
      <c r="BW800" s="215"/>
      <c r="BX800" s="215"/>
      <c r="BY800" s="215"/>
      <c r="BZ800" s="215"/>
      <c r="CA800" s="215"/>
      <c r="CB800" s="215"/>
      <c r="CC800" s="215"/>
      <c r="CD800" s="215"/>
      <c r="CE800" s="215"/>
    </row>
    <row r="801" spans="1:83" ht="12.65" customHeight="1" x14ac:dyDescent="0.3">
      <c r="A801" s="160" t="str">
        <f>RIGHT($C$83,3)&amp;"*"&amp;RIGHT($C$82,4)&amp;"*"&amp;BR$55&amp;"*"&amp;"A"</f>
        <v>085*2021*8650*A</v>
      </c>
      <c r="B801" s="214"/>
      <c r="C801" s="216">
        <f>ROUND(BR60,2)</f>
        <v>9.3800000000000008</v>
      </c>
      <c r="D801" s="214">
        <f>ROUND(BR61,0)</f>
        <v>977336</v>
      </c>
      <c r="E801" s="214">
        <f>ROUND(BR62,0)</f>
        <v>220438</v>
      </c>
      <c r="F801" s="214">
        <f>ROUND(BR63,0)</f>
        <v>203090</v>
      </c>
      <c r="G801" s="214">
        <f>ROUND(BR64,0)</f>
        <v>20203</v>
      </c>
      <c r="H801" s="214">
        <f>ROUND(BR65,0)</f>
        <v>3697</v>
      </c>
      <c r="I801" s="214">
        <f>ROUND(BR66,0)</f>
        <v>49894</v>
      </c>
      <c r="J801" s="214">
        <f>ROUND(BR67,0)</f>
        <v>49867</v>
      </c>
      <c r="K801" s="214">
        <f>ROUND(BR68,0)</f>
        <v>0</v>
      </c>
      <c r="L801" s="214">
        <f>ROUND(BR69,0)</f>
        <v>78255</v>
      </c>
      <c r="M801" s="214">
        <f>ROUND(BR70,0)</f>
        <v>0</v>
      </c>
      <c r="N801" s="214"/>
      <c r="O801" s="214"/>
      <c r="P801" s="214">
        <f>IF(BR76&gt;0,ROUND(BR76,0),0)</f>
        <v>1599</v>
      </c>
      <c r="Q801" s="214">
        <f>IF(BR77&gt;0,ROUND(BR77,0),0)</f>
        <v>0</v>
      </c>
      <c r="R801" s="214">
        <f>IF(BR78&gt;0,ROUND(BR78,0),0)</f>
        <v>0</v>
      </c>
      <c r="S801" s="214">
        <f>IF(BR79&gt;0,ROUND(BR79,0),0)</f>
        <v>0</v>
      </c>
      <c r="T801" s="216">
        <f>IF(BR80&gt;0,ROUND(BR80,2),0)</f>
        <v>0</v>
      </c>
      <c r="U801" s="214"/>
      <c r="V801" s="215"/>
      <c r="W801" s="214"/>
      <c r="X801" s="214"/>
      <c r="Y801" s="214"/>
      <c r="Z801" s="215"/>
      <c r="AA801" s="215"/>
      <c r="AB801" s="215"/>
      <c r="AC801" s="215"/>
      <c r="AD801" s="215"/>
      <c r="AE801" s="215"/>
      <c r="AF801" s="215"/>
      <c r="AG801" s="215"/>
      <c r="AH801" s="215"/>
      <c r="AI801" s="215"/>
      <c r="AJ801" s="215"/>
      <c r="AK801" s="215"/>
      <c r="AL801" s="215"/>
      <c r="AM801" s="215"/>
      <c r="AN801" s="215"/>
      <c r="AO801" s="215"/>
      <c r="AP801" s="215"/>
      <c r="AQ801" s="215"/>
      <c r="AR801" s="215"/>
      <c r="AS801" s="215"/>
      <c r="AT801" s="215"/>
      <c r="AU801" s="215"/>
      <c r="AV801" s="215"/>
      <c r="AW801" s="215"/>
      <c r="AX801" s="215"/>
      <c r="AY801" s="215"/>
      <c r="AZ801" s="215"/>
      <c r="BA801" s="215"/>
      <c r="BB801" s="215"/>
      <c r="BC801" s="215"/>
      <c r="BD801" s="215"/>
      <c r="BE801" s="215"/>
      <c r="BF801" s="215"/>
      <c r="BG801" s="215"/>
      <c r="BH801" s="215"/>
      <c r="BI801" s="215"/>
      <c r="BJ801" s="215"/>
      <c r="BK801" s="215"/>
      <c r="BL801" s="215"/>
      <c r="BM801" s="215"/>
      <c r="BN801" s="215"/>
      <c r="BO801" s="215"/>
      <c r="BP801" s="215"/>
      <c r="BQ801" s="215"/>
      <c r="BR801" s="215"/>
      <c r="BS801" s="215"/>
      <c r="BT801" s="215"/>
      <c r="BU801" s="215"/>
      <c r="BV801" s="215"/>
      <c r="BW801" s="215"/>
      <c r="BX801" s="215"/>
      <c r="BY801" s="215"/>
      <c r="BZ801" s="215"/>
      <c r="CA801" s="215"/>
      <c r="CB801" s="215"/>
      <c r="CC801" s="215"/>
      <c r="CD801" s="215"/>
      <c r="CE801" s="215"/>
    </row>
    <row r="802" spans="1:83" ht="12.65" customHeight="1" x14ac:dyDescent="0.3">
      <c r="A802" s="160" t="str">
        <f>RIGHT($C$83,3)&amp;"*"&amp;RIGHT($C$82,4)&amp;"*"&amp;BS$55&amp;"*"&amp;"A"</f>
        <v>085*2021*8660*A</v>
      </c>
      <c r="B802" s="214"/>
      <c r="C802" s="216">
        <f>ROUND(BS60,2)</f>
        <v>0</v>
      </c>
      <c r="D802" s="214">
        <f>ROUND(BS61,0)</f>
        <v>0</v>
      </c>
      <c r="E802" s="214">
        <f>ROUND(BS62,0)</f>
        <v>0</v>
      </c>
      <c r="F802" s="214">
        <f>ROUND(BS63,0)</f>
        <v>0</v>
      </c>
      <c r="G802" s="214">
        <f>ROUND(BS64,0)</f>
        <v>0</v>
      </c>
      <c r="H802" s="214">
        <f>ROUND(BS65,0)</f>
        <v>0</v>
      </c>
      <c r="I802" s="214">
        <f>ROUND(BS66,0)</f>
        <v>0</v>
      </c>
      <c r="J802" s="214">
        <f>ROUND(BS67,0)</f>
        <v>0</v>
      </c>
      <c r="K802" s="214">
        <f>ROUND(BS68,0)</f>
        <v>0</v>
      </c>
      <c r="L802" s="214">
        <f>ROUND(BS69,0)</f>
        <v>0</v>
      </c>
      <c r="M802" s="214">
        <f>ROUND(BS70,0)</f>
        <v>0</v>
      </c>
      <c r="N802" s="214"/>
      <c r="O802" s="214"/>
      <c r="P802" s="214">
        <f>IF(BS76&gt;0,ROUND(BS76,0),0)</f>
        <v>0</v>
      </c>
      <c r="Q802" s="214">
        <f>IF(BS77&gt;0,ROUND(BS77,0),0)</f>
        <v>0</v>
      </c>
      <c r="R802" s="214">
        <f>IF(BS78&gt;0,ROUND(BS78,0),0)</f>
        <v>0</v>
      </c>
      <c r="S802" s="214">
        <f>IF(BS79&gt;0,ROUND(BS79,0),0)</f>
        <v>0</v>
      </c>
      <c r="T802" s="216">
        <f>IF(BS80&gt;0,ROUND(BS80,2),0)</f>
        <v>0</v>
      </c>
      <c r="U802" s="214"/>
      <c r="V802" s="215"/>
      <c r="W802" s="214"/>
      <c r="X802" s="214"/>
      <c r="Y802" s="214"/>
      <c r="Z802" s="215"/>
      <c r="AA802" s="215"/>
      <c r="AB802" s="215"/>
      <c r="AC802" s="215"/>
      <c r="AD802" s="215"/>
      <c r="AE802" s="215"/>
      <c r="AF802" s="215"/>
      <c r="AG802" s="215"/>
      <c r="AH802" s="215"/>
      <c r="AI802" s="215"/>
      <c r="AJ802" s="215"/>
      <c r="AK802" s="215"/>
      <c r="AL802" s="215"/>
      <c r="AM802" s="215"/>
      <c r="AN802" s="215"/>
      <c r="AO802" s="215"/>
      <c r="AP802" s="215"/>
      <c r="AQ802" s="215"/>
      <c r="AR802" s="215"/>
      <c r="AS802" s="215"/>
      <c r="AT802" s="215"/>
      <c r="AU802" s="215"/>
      <c r="AV802" s="215"/>
      <c r="AW802" s="215"/>
      <c r="AX802" s="215"/>
      <c r="AY802" s="215"/>
      <c r="AZ802" s="215"/>
      <c r="BA802" s="215"/>
      <c r="BB802" s="215"/>
      <c r="BC802" s="215"/>
      <c r="BD802" s="215"/>
      <c r="BE802" s="215"/>
      <c r="BF802" s="215"/>
      <c r="BG802" s="215"/>
      <c r="BH802" s="215"/>
      <c r="BI802" s="215"/>
      <c r="BJ802" s="215"/>
      <c r="BK802" s="215"/>
      <c r="BL802" s="215"/>
      <c r="BM802" s="215"/>
      <c r="BN802" s="215"/>
      <c r="BO802" s="215"/>
      <c r="BP802" s="215"/>
      <c r="BQ802" s="215"/>
      <c r="BR802" s="215"/>
      <c r="BS802" s="215"/>
      <c r="BT802" s="215"/>
      <c r="BU802" s="215"/>
      <c r="BV802" s="215"/>
      <c r="BW802" s="215"/>
      <c r="BX802" s="215"/>
      <c r="BY802" s="215"/>
      <c r="BZ802" s="215"/>
      <c r="CA802" s="215"/>
      <c r="CB802" s="215"/>
      <c r="CC802" s="215"/>
      <c r="CD802" s="215"/>
      <c r="CE802" s="215"/>
    </row>
    <row r="803" spans="1:83" ht="12.65" customHeight="1" x14ac:dyDescent="0.3">
      <c r="A803" s="160" t="str">
        <f>RIGHT($C$83,3)&amp;"*"&amp;RIGHT($C$82,4)&amp;"*"&amp;BT$55&amp;"*"&amp;"A"</f>
        <v>085*2021*8670*A</v>
      </c>
      <c r="B803" s="214"/>
      <c r="C803" s="216">
        <f>ROUND(BT60,2)</f>
        <v>0</v>
      </c>
      <c r="D803" s="214">
        <f>ROUND(BT61,0)</f>
        <v>0</v>
      </c>
      <c r="E803" s="214">
        <f>ROUND(BT62,0)</f>
        <v>0</v>
      </c>
      <c r="F803" s="214">
        <f>ROUND(BT63,0)</f>
        <v>0</v>
      </c>
      <c r="G803" s="214">
        <f>ROUND(BT64,0)</f>
        <v>0</v>
      </c>
      <c r="H803" s="214">
        <f>ROUND(BT65,0)</f>
        <v>0</v>
      </c>
      <c r="I803" s="214">
        <f>ROUND(BT66,0)</f>
        <v>0</v>
      </c>
      <c r="J803" s="214">
        <f>ROUND(BT67,0)</f>
        <v>0</v>
      </c>
      <c r="K803" s="214">
        <f>ROUND(BT68,0)</f>
        <v>0</v>
      </c>
      <c r="L803" s="214">
        <f>ROUND(BT69,0)</f>
        <v>0</v>
      </c>
      <c r="M803" s="214">
        <f>ROUND(BT70,0)</f>
        <v>0</v>
      </c>
      <c r="N803" s="214"/>
      <c r="O803" s="214"/>
      <c r="P803" s="214">
        <f>IF(BT76&gt;0,ROUND(BT76,0),0)</f>
        <v>0</v>
      </c>
      <c r="Q803" s="214">
        <f>IF(BT77&gt;0,ROUND(BT77,0),0)</f>
        <v>0</v>
      </c>
      <c r="R803" s="214">
        <f>IF(BT78&gt;0,ROUND(BT78,0),0)</f>
        <v>0</v>
      </c>
      <c r="S803" s="214">
        <f>IF(BT79&gt;0,ROUND(BT79,0),0)</f>
        <v>0</v>
      </c>
      <c r="T803" s="216">
        <f>IF(BT80&gt;0,ROUND(BT80,2),0)</f>
        <v>0</v>
      </c>
      <c r="U803" s="214"/>
      <c r="V803" s="215"/>
      <c r="W803" s="214"/>
      <c r="X803" s="214"/>
      <c r="Y803" s="214"/>
      <c r="Z803" s="215"/>
      <c r="AA803" s="215"/>
      <c r="AB803" s="215"/>
      <c r="AC803" s="215"/>
      <c r="AD803" s="215"/>
      <c r="AE803" s="215"/>
      <c r="AF803" s="215"/>
      <c r="AG803" s="215"/>
      <c r="AH803" s="215"/>
      <c r="AI803" s="215"/>
      <c r="AJ803" s="215"/>
      <c r="AK803" s="215"/>
      <c r="AL803" s="215"/>
      <c r="AM803" s="215"/>
      <c r="AN803" s="215"/>
      <c r="AO803" s="215"/>
      <c r="AP803" s="215"/>
      <c r="AQ803" s="215"/>
      <c r="AR803" s="215"/>
      <c r="AS803" s="215"/>
      <c r="AT803" s="215"/>
      <c r="AU803" s="215"/>
      <c r="AV803" s="215"/>
      <c r="AW803" s="215"/>
      <c r="AX803" s="215"/>
      <c r="AY803" s="215"/>
      <c r="AZ803" s="215"/>
      <c r="BA803" s="215"/>
      <c r="BB803" s="215"/>
      <c r="BC803" s="215"/>
      <c r="BD803" s="215"/>
      <c r="BE803" s="215"/>
      <c r="BF803" s="215"/>
      <c r="BG803" s="215"/>
      <c r="BH803" s="215"/>
      <c r="BI803" s="215"/>
      <c r="BJ803" s="215"/>
      <c r="BK803" s="215"/>
      <c r="BL803" s="215"/>
      <c r="BM803" s="215"/>
      <c r="BN803" s="215"/>
      <c r="BO803" s="215"/>
      <c r="BP803" s="215"/>
      <c r="BQ803" s="215"/>
      <c r="BR803" s="215"/>
      <c r="BS803" s="215"/>
      <c r="BT803" s="215"/>
      <c r="BU803" s="215"/>
      <c r="BV803" s="215"/>
      <c r="BW803" s="215"/>
      <c r="BX803" s="215"/>
      <c r="BY803" s="215"/>
      <c r="BZ803" s="215"/>
      <c r="CA803" s="215"/>
      <c r="CB803" s="215"/>
      <c r="CC803" s="215"/>
      <c r="CD803" s="215"/>
      <c r="CE803" s="215"/>
    </row>
    <row r="804" spans="1:83" ht="12.65" customHeight="1" x14ac:dyDescent="0.3">
      <c r="A804" s="160" t="str">
        <f>RIGHT($C$83,3)&amp;"*"&amp;RIGHT($C$82,4)&amp;"*"&amp;BU$55&amp;"*"&amp;"A"</f>
        <v>085*2021*8680*A</v>
      </c>
      <c r="B804" s="214"/>
      <c r="C804" s="216">
        <f>ROUND(BU60,2)</f>
        <v>0</v>
      </c>
      <c r="D804" s="214">
        <f>ROUND(BU61,0)</f>
        <v>0</v>
      </c>
      <c r="E804" s="214">
        <f>ROUND(BU62,0)</f>
        <v>0</v>
      </c>
      <c r="F804" s="214">
        <f>ROUND(BU63,0)</f>
        <v>0</v>
      </c>
      <c r="G804" s="214">
        <f>ROUND(BU64,0)</f>
        <v>0</v>
      </c>
      <c r="H804" s="214">
        <f>ROUND(BU65,0)</f>
        <v>0</v>
      </c>
      <c r="I804" s="214">
        <f>ROUND(BU66,0)</f>
        <v>0</v>
      </c>
      <c r="J804" s="214">
        <f>ROUND(BU67,0)</f>
        <v>0</v>
      </c>
      <c r="K804" s="214">
        <f>ROUND(BU68,0)</f>
        <v>0</v>
      </c>
      <c r="L804" s="214">
        <f>ROUND(BU69,0)</f>
        <v>0</v>
      </c>
      <c r="M804" s="214">
        <f>ROUND(BU70,0)</f>
        <v>0</v>
      </c>
      <c r="N804" s="214"/>
      <c r="O804" s="214"/>
      <c r="P804" s="214">
        <f>IF(BU76&gt;0,ROUND(BU76,0),0)</f>
        <v>0</v>
      </c>
      <c r="Q804" s="214">
        <f>IF(BU77&gt;0,ROUND(BU77,0),0)</f>
        <v>0</v>
      </c>
      <c r="R804" s="214">
        <f>IF(BU78&gt;0,ROUND(BU78,0),0)</f>
        <v>0</v>
      </c>
      <c r="S804" s="214">
        <f>IF(BU79&gt;0,ROUND(BU79,0),0)</f>
        <v>0</v>
      </c>
      <c r="T804" s="216">
        <f>IF(BU80&gt;0,ROUND(BU80,2),0)</f>
        <v>0</v>
      </c>
      <c r="U804" s="214"/>
      <c r="V804" s="215"/>
      <c r="W804" s="214"/>
      <c r="X804" s="214"/>
      <c r="Y804" s="214"/>
      <c r="Z804" s="215"/>
      <c r="AA804" s="215"/>
      <c r="AB804" s="215"/>
      <c r="AC804" s="215"/>
      <c r="AD804" s="215"/>
      <c r="AE804" s="215"/>
      <c r="AF804" s="215"/>
      <c r="AG804" s="215"/>
      <c r="AH804" s="215"/>
      <c r="AI804" s="215"/>
      <c r="AJ804" s="215"/>
      <c r="AK804" s="215"/>
      <c r="AL804" s="215"/>
      <c r="AM804" s="215"/>
      <c r="AN804" s="215"/>
      <c r="AO804" s="215"/>
      <c r="AP804" s="215"/>
      <c r="AQ804" s="215"/>
      <c r="AR804" s="215"/>
      <c r="AS804" s="215"/>
      <c r="AT804" s="215"/>
      <c r="AU804" s="215"/>
      <c r="AV804" s="215"/>
      <c r="AW804" s="215"/>
      <c r="AX804" s="215"/>
      <c r="AY804" s="215"/>
      <c r="AZ804" s="215"/>
      <c r="BA804" s="215"/>
      <c r="BB804" s="215"/>
      <c r="BC804" s="215"/>
      <c r="BD804" s="215"/>
      <c r="BE804" s="215"/>
      <c r="BF804" s="215"/>
      <c r="BG804" s="215"/>
      <c r="BH804" s="215"/>
      <c r="BI804" s="215"/>
      <c r="BJ804" s="215"/>
      <c r="BK804" s="215"/>
      <c r="BL804" s="215"/>
      <c r="BM804" s="215"/>
      <c r="BN804" s="215"/>
      <c r="BO804" s="215"/>
      <c r="BP804" s="215"/>
      <c r="BQ804" s="215"/>
      <c r="BR804" s="215"/>
      <c r="BS804" s="215"/>
      <c r="BT804" s="215"/>
      <c r="BU804" s="215"/>
      <c r="BV804" s="215"/>
      <c r="BW804" s="215"/>
      <c r="BX804" s="215"/>
      <c r="BY804" s="215"/>
      <c r="BZ804" s="215"/>
      <c r="CA804" s="215"/>
      <c r="CB804" s="215"/>
      <c r="CC804" s="215"/>
      <c r="CD804" s="215"/>
      <c r="CE804" s="215"/>
    </row>
    <row r="805" spans="1:83" ht="12.65" customHeight="1" x14ac:dyDescent="0.3">
      <c r="A805" s="160" t="str">
        <f>RIGHT($C$83,3)&amp;"*"&amp;RIGHT($C$82,4)&amp;"*"&amp;BV$55&amp;"*"&amp;"A"</f>
        <v>085*2021*8690*A</v>
      </c>
      <c r="B805" s="214"/>
      <c r="C805" s="216">
        <f>ROUND(BV60,2)</f>
        <v>11.14</v>
      </c>
      <c r="D805" s="214">
        <f>ROUND(BV61,0)</f>
        <v>554055</v>
      </c>
      <c r="E805" s="214">
        <f>ROUND(BV62,0)</f>
        <v>124967</v>
      </c>
      <c r="F805" s="214">
        <f>ROUND(BV63,0)</f>
        <v>0</v>
      </c>
      <c r="G805" s="214">
        <f>ROUND(BV64,0)</f>
        <v>7975</v>
      </c>
      <c r="H805" s="214">
        <f>ROUND(BV65,0)</f>
        <v>6459</v>
      </c>
      <c r="I805" s="214">
        <f>ROUND(BV66,0)</f>
        <v>114549</v>
      </c>
      <c r="J805" s="214">
        <f>ROUND(BV67,0)</f>
        <v>0</v>
      </c>
      <c r="K805" s="214">
        <f>ROUND(BV68,0)</f>
        <v>23086</v>
      </c>
      <c r="L805" s="214">
        <f>ROUND(BV69,0)</f>
        <v>31</v>
      </c>
      <c r="M805" s="214">
        <f>ROUND(BV70,0)</f>
        <v>0</v>
      </c>
      <c r="N805" s="214"/>
      <c r="O805" s="214"/>
      <c r="P805" s="214">
        <f>IF(BV76&gt;0,ROUND(BV76,0),0)</f>
        <v>0</v>
      </c>
      <c r="Q805" s="214">
        <f>IF(BV77&gt;0,ROUND(BV77,0),0)</f>
        <v>0</v>
      </c>
      <c r="R805" s="214">
        <f>IF(BV78&gt;0,ROUND(BV78,0),0)</f>
        <v>0</v>
      </c>
      <c r="S805" s="214">
        <f>IF(BV79&gt;0,ROUND(BV79,0),0)</f>
        <v>0</v>
      </c>
      <c r="T805" s="216">
        <f>IF(BV80&gt;0,ROUND(BV80,2),0)</f>
        <v>0</v>
      </c>
      <c r="U805" s="214"/>
      <c r="V805" s="215"/>
      <c r="W805" s="214"/>
      <c r="X805" s="214"/>
      <c r="Y805" s="214"/>
      <c r="Z805" s="215"/>
      <c r="AA805" s="215"/>
      <c r="AB805" s="215"/>
      <c r="AC805" s="215"/>
      <c r="AD805" s="215"/>
      <c r="AE805" s="215"/>
      <c r="AF805" s="215"/>
      <c r="AG805" s="215"/>
      <c r="AH805" s="215"/>
      <c r="AI805" s="215"/>
      <c r="AJ805" s="215"/>
      <c r="AK805" s="215"/>
      <c r="AL805" s="215"/>
      <c r="AM805" s="215"/>
      <c r="AN805" s="215"/>
      <c r="AO805" s="215"/>
      <c r="AP805" s="215"/>
      <c r="AQ805" s="215"/>
      <c r="AR805" s="215"/>
      <c r="AS805" s="215"/>
      <c r="AT805" s="215"/>
      <c r="AU805" s="215"/>
      <c r="AV805" s="215"/>
      <c r="AW805" s="215"/>
      <c r="AX805" s="215"/>
      <c r="AY805" s="215"/>
      <c r="AZ805" s="215"/>
      <c r="BA805" s="215"/>
      <c r="BB805" s="215"/>
      <c r="BC805" s="215"/>
      <c r="BD805" s="215"/>
      <c r="BE805" s="215"/>
      <c r="BF805" s="215"/>
      <c r="BG805" s="215"/>
      <c r="BH805" s="215"/>
      <c r="BI805" s="215"/>
      <c r="BJ805" s="215"/>
      <c r="BK805" s="215"/>
      <c r="BL805" s="215"/>
      <c r="BM805" s="215"/>
      <c r="BN805" s="215"/>
      <c r="BO805" s="215"/>
      <c r="BP805" s="215"/>
      <c r="BQ805" s="215"/>
      <c r="BR805" s="215"/>
      <c r="BS805" s="215"/>
      <c r="BT805" s="215"/>
      <c r="BU805" s="215"/>
      <c r="BV805" s="215"/>
      <c r="BW805" s="215"/>
      <c r="BX805" s="215"/>
      <c r="BY805" s="215"/>
      <c r="BZ805" s="215"/>
      <c r="CA805" s="215"/>
      <c r="CB805" s="215"/>
      <c r="CC805" s="215"/>
      <c r="CD805" s="215"/>
      <c r="CE805" s="215"/>
    </row>
    <row r="806" spans="1:83" ht="12.65" customHeight="1" x14ac:dyDescent="0.3">
      <c r="A806" s="160" t="str">
        <f>RIGHT($C$83,3)&amp;"*"&amp;RIGHT($C$82,4)&amp;"*"&amp;BW$55&amp;"*"&amp;"A"</f>
        <v>085*2021*8700*A</v>
      </c>
      <c r="B806" s="214"/>
      <c r="C806" s="216">
        <f>ROUND(BW60,2)</f>
        <v>0</v>
      </c>
      <c r="D806" s="214">
        <f>ROUND(BW61,0)</f>
        <v>0</v>
      </c>
      <c r="E806" s="214">
        <f>ROUND(BW62,0)</f>
        <v>0</v>
      </c>
      <c r="F806" s="214">
        <f>ROUND(BW63,0)</f>
        <v>0</v>
      </c>
      <c r="G806" s="214">
        <f>ROUND(BW64,0)</f>
        <v>0</v>
      </c>
      <c r="H806" s="214">
        <f>ROUND(BW65,0)</f>
        <v>0</v>
      </c>
      <c r="I806" s="214">
        <f>ROUND(BW66,0)</f>
        <v>0</v>
      </c>
      <c r="J806" s="214">
        <f>ROUND(BW67,0)</f>
        <v>0</v>
      </c>
      <c r="K806" s="214">
        <f>ROUND(BW68,0)</f>
        <v>0</v>
      </c>
      <c r="L806" s="214">
        <f>ROUND(BW69,0)</f>
        <v>0</v>
      </c>
      <c r="M806" s="214">
        <f>ROUND(BW70,0)</f>
        <v>0</v>
      </c>
      <c r="N806" s="214"/>
      <c r="O806" s="214"/>
      <c r="P806" s="214">
        <f>IF(BW76&gt;0,ROUND(BW76,0),0)</f>
        <v>0</v>
      </c>
      <c r="Q806" s="214">
        <f>IF(BW77&gt;0,ROUND(BW77,0),0)</f>
        <v>0</v>
      </c>
      <c r="R806" s="214">
        <f>IF(BW78&gt;0,ROUND(BW78,0),0)</f>
        <v>0</v>
      </c>
      <c r="S806" s="214">
        <f>IF(BW79&gt;0,ROUND(BW79,0),0)</f>
        <v>0</v>
      </c>
      <c r="T806" s="216">
        <f>IF(BW80&gt;0,ROUND(BW80,2),0)</f>
        <v>0</v>
      </c>
      <c r="U806" s="214"/>
      <c r="V806" s="215"/>
      <c r="W806" s="214"/>
      <c r="X806" s="214"/>
      <c r="Y806" s="214"/>
      <c r="Z806" s="215"/>
      <c r="AA806" s="215"/>
      <c r="AB806" s="215"/>
      <c r="AC806" s="215"/>
      <c r="AD806" s="215"/>
      <c r="AE806" s="215"/>
      <c r="AF806" s="215"/>
      <c r="AG806" s="215"/>
      <c r="AH806" s="215"/>
      <c r="AI806" s="215"/>
      <c r="AJ806" s="215"/>
      <c r="AK806" s="215"/>
      <c r="AL806" s="215"/>
      <c r="AM806" s="215"/>
      <c r="AN806" s="215"/>
      <c r="AO806" s="215"/>
      <c r="AP806" s="215"/>
      <c r="AQ806" s="215"/>
      <c r="AR806" s="215"/>
      <c r="AS806" s="215"/>
      <c r="AT806" s="215"/>
      <c r="AU806" s="215"/>
      <c r="AV806" s="215"/>
      <c r="AW806" s="215"/>
      <c r="AX806" s="215"/>
      <c r="AY806" s="215"/>
      <c r="AZ806" s="215"/>
      <c r="BA806" s="215"/>
      <c r="BB806" s="215"/>
      <c r="BC806" s="215"/>
      <c r="BD806" s="215"/>
      <c r="BE806" s="215"/>
      <c r="BF806" s="215"/>
      <c r="BG806" s="215"/>
      <c r="BH806" s="215"/>
      <c r="BI806" s="215"/>
      <c r="BJ806" s="215"/>
      <c r="BK806" s="215"/>
      <c r="BL806" s="215"/>
      <c r="BM806" s="215"/>
      <c r="BN806" s="215"/>
      <c r="BO806" s="215"/>
      <c r="BP806" s="215"/>
      <c r="BQ806" s="215"/>
      <c r="BR806" s="215"/>
      <c r="BS806" s="215"/>
      <c r="BT806" s="215"/>
      <c r="BU806" s="215"/>
      <c r="BV806" s="215"/>
      <c r="BW806" s="215"/>
      <c r="BX806" s="215"/>
      <c r="BY806" s="215"/>
      <c r="BZ806" s="215"/>
      <c r="CA806" s="215"/>
      <c r="CB806" s="215"/>
      <c r="CC806" s="215"/>
      <c r="CD806" s="215"/>
      <c r="CE806" s="215"/>
    </row>
    <row r="807" spans="1:83" ht="12.65" customHeight="1" x14ac:dyDescent="0.3">
      <c r="A807" s="160" t="str">
        <f>RIGHT($C$83,3)&amp;"*"&amp;RIGHT($C$82,4)&amp;"*"&amp;BX$55&amp;"*"&amp;"A"</f>
        <v>085*2021*8710*A</v>
      </c>
      <c r="B807" s="214"/>
      <c r="C807" s="216">
        <f>ROUND(BX60,2)</f>
        <v>0</v>
      </c>
      <c r="D807" s="214">
        <f>ROUND(BX61,0)</f>
        <v>0</v>
      </c>
      <c r="E807" s="214">
        <f>ROUND(BX62,0)</f>
        <v>0</v>
      </c>
      <c r="F807" s="214">
        <f>ROUND(BX63,0)</f>
        <v>0</v>
      </c>
      <c r="G807" s="214">
        <f>ROUND(BX64,0)</f>
        <v>0</v>
      </c>
      <c r="H807" s="214">
        <f>ROUND(BX65,0)</f>
        <v>0</v>
      </c>
      <c r="I807" s="214">
        <f>ROUND(BX66,0)</f>
        <v>0</v>
      </c>
      <c r="J807" s="214">
        <f>ROUND(BX67,0)</f>
        <v>0</v>
      </c>
      <c r="K807" s="214">
        <f>ROUND(BX68,0)</f>
        <v>0</v>
      </c>
      <c r="L807" s="214">
        <f>ROUND(BX69,0)</f>
        <v>0</v>
      </c>
      <c r="M807" s="214">
        <f>ROUND(BX70,0)</f>
        <v>0</v>
      </c>
      <c r="N807" s="214"/>
      <c r="O807" s="214"/>
      <c r="P807" s="214">
        <f>IF(BX76&gt;0,ROUND(BX76,0),0)</f>
        <v>0</v>
      </c>
      <c r="Q807" s="214">
        <f>IF(BX77&gt;0,ROUND(BX77,0),0)</f>
        <v>0</v>
      </c>
      <c r="R807" s="214">
        <f>IF(BX78&gt;0,ROUND(BX78,0),0)</f>
        <v>0</v>
      </c>
      <c r="S807" s="214">
        <f>IF(BX79&gt;0,ROUND(BX79,0),0)</f>
        <v>0</v>
      </c>
      <c r="T807" s="216">
        <f>IF(BX80&gt;0,ROUND(BX80,2),0)</f>
        <v>0</v>
      </c>
      <c r="U807" s="214"/>
      <c r="V807" s="215"/>
      <c r="W807" s="214"/>
      <c r="X807" s="214"/>
      <c r="Y807" s="214"/>
      <c r="Z807" s="215"/>
      <c r="AA807" s="215"/>
      <c r="AB807" s="215"/>
      <c r="AC807" s="215"/>
      <c r="AD807" s="215"/>
      <c r="AE807" s="215"/>
      <c r="AF807" s="215"/>
      <c r="AG807" s="215"/>
      <c r="AH807" s="215"/>
      <c r="AI807" s="215"/>
      <c r="AJ807" s="215"/>
      <c r="AK807" s="215"/>
      <c r="AL807" s="215"/>
      <c r="AM807" s="215"/>
      <c r="AN807" s="215"/>
      <c r="AO807" s="215"/>
      <c r="AP807" s="215"/>
      <c r="AQ807" s="215"/>
      <c r="AR807" s="215"/>
      <c r="AS807" s="215"/>
      <c r="AT807" s="215"/>
      <c r="AU807" s="215"/>
      <c r="AV807" s="215"/>
      <c r="AW807" s="215"/>
      <c r="AX807" s="215"/>
      <c r="AY807" s="215"/>
      <c r="AZ807" s="215"/>
      <c r="BA807" s="215"/>
      <c r="BB807" s="215"/>
      <c r="BC807" s="215"/>
      <c r="BD807" s="215"/>
      <c r="BE807" s="215"/>
      <c r="BF807" s="215"/>
      <c r="BG807" s="215"/>
      <c r="BH807" s="215"/>
      <c r="BI807" s="215"/>
      <c r="BJ807" s="215"/>
      <c r="BK807" s="215"/>
      <c r="BL807" s="215"/>
      <c r="BM807" s="215"/>
      <c r="BN807" s="215"/>
      <c r="BO807" s="215"/>
      <c r="BP807" s="215"/>
      <c r="BQ807" s="215"/>
      <c r="BR807" s="215"/>
      <c r="BS807" s="215"/>
      <c r="BT807" s="215"/>
      <c r="BU807" s="215"/>
      <c r="BV807" s="215"/>
      <c r="BW807" s="215"/>
      <c r="BX807" s="215"/>
      <c r="BY807" s="215"/>
      <c r="BZ807" s="215"/>
      <c r="CA807" s="215"/>
      <c r="CB807" s="215"/>
      <c r="CC807" s="215"/>
      <c r="CD807" s="215"/>
      <c r="CE807" s="215"/>
    </row>
    <row r="808" spans="1:83" ht="12.65" customHeight="1" x14ac:dyDescent="0.3">
      <c r="A808" s="160" t="str">
        <f>RIGHT($C$83,3)&amp;"*"&amp;RIGHT($C$82,4)&amp;"*"&amp;BY$55&amp;"*"&amp;"A"</f>
        <v>085*2021*8720*A</v>
      </c>
      <c r="B808" s="214"/>
      <c r="C808" s="216">
        <f>ROUND(BY60,2)</f>
        <v>20.97</v>
      </c>
      <c r="D808" s="214">
        <f>ROUND(BY61,0)</f>
        <v>1947570</v>
      </c>
      <c r="E808" s="214">
        <f>ROUND(BY62,0)</f>
        <v>439275</v>
      </c>
      <c r="F808" s="214">
        <f>ROUND(BY63,0)</f>
        <v>0</v>
      </c>
      <c r="G808" s="214">
        <f>ROUND(BY64,0)</f>
        <v>237686</v>
      </c>
      <c r="H808" s="214">
        <f>ROUND(BY65,0)</f>
        <v>1671</v>
      </c>
      <c r="I808" s="214">
        <f>ROUND(BY66,0)</f>
        <v>223370</v>
      </c>
      <c r="J808" s="214">
        <f>ROUND(BY67,0)</f>
        <v>53983</v>
      </c>
      <c r="K808" s="214">
        <f>ROUND(BY68,0)</f>
        <v>0</v>
      </c>
      <c r="L808" s="214">
        <f>ROUND(BY69,0)</f>
        <v>68752</v>
      </c>
      <c r="M808" s="214">
        <f>ROUND(BY70,0)</f>
        <v>0</v>
      </c>
      <c r="N808" s="214"/>
      <c r="O808" s="214"/>
      <c r="P808" s="214">
        <f>IF(BY76&gt;0,ROUND(BY76,0),0)</f>
        <v>1731</v>
      </c>
      <c r="Q808" s="214">
        <f>IF(BY77&gt;0,ROUND(BY77,0),0)</f>
        <v>0</v>
      </c>
      <c r="R808" s="214">
        <f>IF(BY78&gt;0,ROUND(BY78,0),0)</f>
        <v>584</v>
      </c>
      <c r="S808" s="214">
        <f>IF(BY79&gt;0,ROUND(BY79,0),0)</f>
        <v>0</v>
      </c>
      <c r="T808" s="216">
        <f>IF(BY80&gt;0,ROUND(BY80,2),0)</f>
        <v>0</v>
      </c>
      <c r="U808" s="214"/>
      <c r="V808" s="215"/>
      <c r="W808" s="214"/>
      <c r="X808" s="214"/>
      <c r="Y808" s="214"/>
      <c r="Z808" s="215"/>
      <c r="AA808" s="215"/>
      <c r="AB808" s="215"/>
      <c r="AC808" s="215"/>
      <c r="AD808" s="215"/>
      <c r="AE808" s="215"/>
      <c r="AF808" s="215"/>
      <c r="AG808" s="215"/>
      <c r="AH808" s="215"/>
      <c r="AI808" s="215"/>
      <c r="AJ808" s="215"/>
      <c r="AK808" s="215"/>
      <c r="AL808" s="215"/>
      <c r="AM808" s="215"/>
      <c r="AN808" s="215"/>
      <c r="AO808" s="215"/>
      <c r="AP808" s="215"/>
      <c r="AQ808" s="215"/>
      <c r="AR808" s="215"/>
      <c r="AS808" s="215"/>
      <c r="AT808" s="215"/>
      <c r="AU808" s="215"/>
      <c r="AV808" s="215"/>
      <c r="AW808" s="215"/>
      <c r="AX808" s="215"/>
      <c r="AY808" s="215"/>
      <c r="AZ808" s="215"/>
      <c r="BA808" s="215"/>
      <c r="BB808" s="215"/>
      <c r="BC808" s="215"/>
      <c r="BD808" s="215"/>
      <c r="BE808" s="215"/>
      <c r="BF808" s="215"/>
      <c r="BG808" s="215"/>
      <c r="BH808" s="215"/>
      <c r="BI808" s="215"/>
      <c r="BJ808" s="215"/>
      <c r="BK808" s="215"/>
      <c r="BL808" s="215"/>
      <c r="BM808" s="215"/>
      <c r="BN808" s="215"/>
      <c r="BO808" s="215"/>
      <c r="BP808" s="215"/>
      <c r="BQ808" s="215"/>
      <c r="BR808" s="215"/>
      <c r="BS808" s="215"/>
      <c r="BT808" s="215"/>
      <c r="BU808" s="215"/>
      <c r="BV808" s="215"/>
      <c r="BW808" s="215"/>
      <c r="BX808" s="215"/>
      <c r="BY808" s="215"/>
      <c r="BZ808" s="215"/>
      <c r="CA808" s="215"/>
      <c r="CB808" s="215"/>
      <c r="CC808" s="215"/>
      <c r="CD808" s="215"/>
      <c r="CE808" s="215"/>
    </row>
    <row r="809" spans="1:83" ht="12.65" customHeight="1" x14ac:dyDescent="0.3">
      <c r="A809" s="160" t="str">
        <f>RIGHT($C$83,3)&amp;"*"&amp;RIGHT($C$82,4)&amp;"*"&amp;BZ$55&amp;"*"&amp;"A"</f>
        <v>085*2021*8730*A</v>
      </c>
      <c r="B809" s="214"/>
      <c r="C809" s="216">
        <f>ROUND(BZ60,2)</f>
        <v>0</v>
      </c>
      <c r="D809" s="214">
        <f>ROUND(BZ61,0)</f>
        <v>0</v>
      </c>
      <c r="E809" s="214">
        <f>ROUND(BZ62,0)</f>
        <v>0</v>
      </c>
      <c r="F809" s="214">
        <f>ROUND(BZ63,0)</f>
        <v>0</v>
      </c>
      <c r="G809" s="214">
        <f>ROUND(BZ64,0)</f>
        <v>0</v>
      </c>
      <c r="H809" s="214">
        <f>ROUND(BZ65,0)</f>
        <v>0</v>
      </c>
      <c r="I809" s="214">
        <f>ROUND(BZ66,0)</f>
        <v>0</v>
      </c>
      <c r="J809" s="214">
        <f>ROUND(BZ67,0)</f>
        <v>0</v>
      </c>
      <c r="K809" s="214">
        <f>ROUND(BZ68,0)</f>
        <v>0</v>
      </c>
      <c r="L809" s="214">
        <f>ROUND(BZ69,0)</f>
        <v>0</v>
      </c>
      <c r="M809" s="214">
        <f>ROUND(BZ70,0)</f>
        <v>0</v>
      </c>
      <c r="N809" s="214"/>
      <c r="O809" s="214"/>
      <c r="P809" s="214">
        <f>IF(BZ76&gt;0,ROUND(BZ76,0),0)</f>
        <v>0</v>
      </c>
      <c r="Q809" s="214">
        <f>IF(BZ77&gt;0,ROUND(BZ77,0),0)</f>
        <v>0</v>
      </c>
      <c r="R809" s="214">
        <f>IF(BZ78&gt;0,ROUND(BZ78,0),0)</f>
        <v>0</v>
      </c>
      <c r="S809" s="214">
        <f>IF(BZ79&gt;0,ROUND(BZ79,0),0)</f>
        <v>0</v>
      </c>
      <c r="T809" s="216">
        <f>IF(BZ80&gt;0,ROUND(BZ80,2),0)</f>
        <v>0</v>
      </c>
      <c r="U809" s="214"/>
      <c r="V809" s="215"/>
      <c r="W809" s="214"/>
      <c r="X809" s="214"/>
      <c r="Y809" s="214"/>
      <c r="Z809" s="215"/>
      <c r="AA809" s="215"/>
      <c r="AB809" s="215"/>
      <c r="AC809" s="215"/>
      <c r="AD809" s="215"/>
      <c r="AE809" s="215"/>
      <c r="AF809" s="215"/>
      <c r="AG809" s="215"/>
      <c r="AH809" s="215"/>
      <c r="AI809" s="215"/>
      <c r="AJ809" s="215"/>
      <c r="AK809" s="215"/>
      <c r="AL809" s="215"/>
      <c r="AM809" s="215"/>
      <c r="AN809" s="215"/>
      <c r="AO809" s="215"/>
      <c r="AP809" s="215"/>
      <c r="AQ809" s="215"/>
      <c r="AR809" s="215"/>
      <c r="AS809" s="215"/>
      <c r="AT809" s="215"/>
      <c r="AU809" s="215"/>
      <c r="AV809" s="215"/>
      <c r="AW809" s="215"/>
      <c r="AX809" s="215"/>
      <c r="AY809" s="215"/>
      <c r="AZ809" s="215"/>
      <c r="BA809" s="215"/>
      <c r="BB809" s="215"/>
      <c r="BC809" s="215"/>
      <c r="BD809" s="215"/>
      <c r="BE809" s="215"/>
      <c r="BF809" s="215"/>
      <c r="BG809" s="215"/>
      <c r="BH809" s="215"/>
      <c r="BI809" s="215"/>
      <c r="BJ809" s="215"/>
      <c r="BK809" s="215"/>
      <c r="BL809" s="215"/>
      <c r="BM809" s="215"/>
      <c r="BN809" s="215"/>
      <c r="BO809" s="215"/>
      <c r="BP809" s="215"/>
      <c r="BQ809" s="215"/>
      <c r="BR809" s="215"/>
      <c r="BS809" s="215"/>
      <c r="BT809" s="215"/>
      <c r="BU809" s="215"/>
      <c r="BV809" s="215"/>
      <c r="BW809" s="215"/>
      <c r="BX809" s="215"/>
      <c r="BY809" s="215"/>
      <c r="BZ809" s="215"/>
      <c r="CA809" s="215"/>
      <c r="CB809" s="215"/>
      <c r="CC809" s="215"/>
      <c r="CD809" s="215"/>
      <c r="CE809" s="215"/>
    </row>
    <row r="810" spans="1:83" ht="12.65" customHeight="1" x14ac:dyDescent="0.3">
      <c r="A810" s="160" t="str">
        <f>RIGHT($C$83,3)&amp;"*"&amp;RIGHT($C$82,4)&amp;"*"&amp;CA$55&amp;"*"&amp;"A"</f>
        <v>085*2021*8740*A</v>
      </c>
      <c r="B810" s="214"/>
      <c r="C810" s="216">
        <f>ROUND(CA60,2)</f>
        <v>0</v>
      </c>
      <c r="D810" s="214">
        <f>ROUND(CA61,0)</f>
        <v>0</v>
      </c>
      <c r="E810" s="214">
        <f>ROUND(CA62,0)</f>
        <v>0</v>
      </c>
      <c r="F810" s="214">
        <f>ROUND(CA63,0)</f>
        <v>0</v>
      </c>
      <c r="G810" s="214">
        <f>ROUND(CA64,0)</f>
        <v>0</v>
      </c>
      <c r="H810" s="214">
        <f>ROUND(CA65,0)</f>
        <v>0</v>
      </c>
      <c r="I810" s="214">
        <f>ROUND(CA66,0)</f>
        <v>0</v>
      </c>
      <c r="J810" s="214">
        <f>ROUND(CA67,0)</f>
        <v>0</v>
      </c>
      <c r="K810" s="214">
        <f>ROUND(CA68,0)</f>
        <v>0</v>
      </c>
      <c r="L810" s="214">
        <f>ROUND(CA69,0)</f>
        <v>0</v>
      </c>
      <c r="M810" s="214">
        <f>ROUND(CA70,0)</f>
        <v>0</v>
      </c>
      <c r="N810" s="214"/>
      <c r="O810" s="214"/>
      <c r="P810" s="214">
        <f>IF(CA76&gt;0,ROUND(CA76,0),0)</f>
        <v>0</v>
      </c>
      <c r="Q810" s="214">
        <f>IF(CA77&gt;0,ROUND(CA77,0),0)</f>
        <v>0</v>
      </c>
      <c r="R810" s="214">
        <f>IF(CA78&gt;0,ROUND(CA78,0),0)</f>
        <v>0</v>
      </c>
      <c r="S810" s="214">
        <f>IF(CA79&gt;0,ROUND(CA79,0),0)</f>
        <v>0</v>
      </c>
      <c r="T810" s="216">
        <f>IF(CA80&gt;0,ROUND(CA80,2),0)</f>
        <v>0</v>
      </c>
      <c r="U810" s="214"/>
      <c r="V810" s="215"/>
      <c r="W810" s="214"/>
      <c r="X810" s="214"/>
      <c r="Y810" s="214"/>
      <c r="Z810" s="215"/>
      <c r="AA810" s="215"/>
      <c r="AB810" s="215"/>
      <c r="AC810" s="215"/>
      <c r="AD810" s="215"/>
      <c r="AE810" s="215"/>
      <c r="AF810" s="215"/>
      <c r="AG810" s="215"/>
      <c r="AH810" s="215"/>
      <c r="AI810" s="215"/>
      <c r="AJ810" s="215"/>
      <c r="AK810" s="215"/>
      <c r="AL810" s="215"/>
      <c r="AM810" s="215"/>
      <c r="AN810" s="215"/>
      <c r="AO810" s="215"/>
      <c r="AP810" s="215"/>
      <c r="AQ810" s="215"/>
      <c r="AR810" s="215"/>
      <c r="AS810" s="215"/>
      <c r="AT810" s="215"/>
      <c r="AU810" s="215"/>
      <c r="AV810" s="215"/>
      <c r="AW810" s="215"/>
      <c r="AX810" s="215"/>
      <c r="AY810" s="215"/>
      <c r="AZ810" s="215"/>
      <c r="BA810" s="215"/>
      <c r="BB810" s="215"/>
      <c r="BC810" s="215"/>
      <c r="BD810" s="215"/>
      <c r="BE810" s="215"/>
      <c r="BF810" s="215"/>
      <c r="BG810" s="215"/>
      <c r="BH810" s="215"/>
      <c r="BI810" s="215"/>
      <c r="BJ810" s="215"/>
      <c r="BK810" s="215"/>
      <c r="BL810" s="215"/>
      <c r="BM810" s="215"/>
      <c r="BN810" s="215"/>
      <c r="BO810" s="215"/>
      <c r="BP810" s="215"/>
      <c r="BQ810" s="215"/>
      <c r="BR810" s="215"/>
      <c r="BS810" s="215"/>
      <c r="BT810" s="215"/>
      <c r="BU810" s="215"/>
      <c r="BV810" s="215"/>
      <c r="BW810" s="215"/>
      <c r="BX810" s="215"/>
      <c r="BY810" s="215"/>
      <c r="BZ810" s="215"/>
      <c r="CA810" s="215"/>
      <c r="CB810" s="215"/>
      <c r="CC810" s="215"/>
      <c r="CD810" s="215"/>
      <c r="CE810" s="215"/>
    </row>
    <row r="811" spans="1:83" ht="12.65" customHeight="1" x14ac:dyDescent="0.3">
      <c r="A811" s="160" t="str">
        <f>RIGHT($C$83,3)&amp;"*"&amp;RIGHT($C$82,4)&amp;"*"&amp;CB$55&amp;"*"&amp;"A"</f>
        <v>085*2021*8770*A</v>
      </c>
      <c r="B811" s="214"/>
      <c r="C811" s="216">
        <f>ROUND(CB60,2)</f>
        <v>0</v>
      </c>
      <c r="D811" s="214">
        <f>ROUND(CB61,0)</f>
        <v>0</v>
      </c>
      <c r="E811" s="214">
        <f>ROUND(CB62,0)</f>
        <v>0</v>
      </c>
      <c r="F811" s="214">
        <f>ROUND(CB63,0)</f>
        <v>0</v>
      </c>
      <c r="G811" s="214">
        <f>ROUND(CB64,0)</f>
        <v>0</v>
      </c>
      <c r="H811" s="214">
        <f>ROUND(CB65,0)</f>
        <v>0</v>
      </c>
      <c r="I811" s="214">
        <f>ROUND(CB66,0)</f>
        <v>0</v>
      </c>
      <c r="J811" s="214">
        <f>ROUND(CB67,0)</f>
        <v>0</v>
      </c>
      <c r="K811" s="214">
        <f>ROUND(CB68,0)</f>
        <v>0</v>
      </c>
      <c r="L811" s="214">
        <f>ROUND(CB69,0)</f>
        <v>0</v>
      </c>
      <c r="M811" s="214">
        <f>ROUND(CB70,0)</f>
        <v>0</v>
      </c>
      <c r="N811" s="214"/>
      <c r="O811" s="214"/>
      <c r="P811" s="214">
        <f>IF(CB76&gt;0,ROUND(CB76,0),0)</f>
        <v>0</v>
      </c>
      <c r="Q811" s="214">
        <f>IF(CB77&gt;0,ROUND(CB77,0),0)</f>
        <v>0</v>
      </c>
      <c r="R811" s="214">
        <f>IF(CB78&gt;0,ROUND(CB78,0),0)</f>
        <v>0</v>
      </c>
      <c r="S811" s="214">
        <f>IF(CB79&gt;0,ROUND(CB79,0),0)</f>
        <v>0</v>
      </c>
      <c r="T811" s="216">
        <f>IF(CB80&gt;0,ROUND(CB80,2),0)</f>
        <v>0</v>
      </c>
      <c r="U811" s="214"/>
      <c r="V811" s="215"/>
      <c r="W811" s="214"/>
      <c r="X811" s="214"/>
      <c r="Y811" s="214"/>
      <c r="Z811" s="215"/>
      <c r="AA811" s="215"/>
      <c r="AB811" s="215"/>
      <c r="AC811" s="215"/>
      <c r="AD811" s="215"/>
      <c r="AE811" s="215"/>
      <c r="AF811" s="215"/>
      <c r="AG811" s="215"/>
      <c r="AH811" s="215"/>
      <c r="AI811" s="215"/>
      <c r="AJ811" s="215"/>
      <c r="AK811" s="215"/>
      <c r="AL811" s="215"/>
      <c r="AM811" s="215"/>
      <c r="AN811" s="215"/>
      <c r="AO811" s="215"/>
      <c r="AP811" s="215"/>
      <c r="AQ811" s="215"/>
      <c r="AR811" s="215"/>
      <c r="AS811" s="215"/>
      <c r="AT811" s="215"/>
      <c r="AU811" s="215"/>
      <c r="AV811" s="215"/>
      <c r="AW811" s="215"/>
      <c r="AX811" s="215"/>
      <c r="AY811" s="215"/>
      <c r="AZ811" s="215"/>
      <c r="BA811" s="215"/>
      <c r="BB811" s="215"/>
      <c r="BC811" s="215"/>
      <c r="BD811" s="215"/>
      <c r="BE811" s="215"/>
      <c r="BF811" s="215"/>
      <c r="BG811" s="215"/>
      <c r="BH811" s="215"/>
      <c r="BI811" s="215"/>
      <c r="BJ811" s="215"/>
      <c r="BK811" s="215"/>
      <c r="BL811" s="215"/>
      <c r="BM811" s="215"/>
      <c r="BN811" s="215"/>
      <c r="BO811" s="215"/>
      <c r="BP811" s="215"/>
      <c r="BQ811" s="215"/>
      <c r="BR811" s="215"/>
      <c r="BS811" s="215"/>
      <c r="BT811" s="215"/>
      <c r="BU811" s="215"/>
      <c r="BV811" s="215"/>
      <c r="BW811" s="215"/>
      <c r="BX811" s="215"/>
      <c r="BY811" s="215"/>
      <c r="BZ811" s="215"/>
      <c r="CA811" s="215"/>
      <c r="CB811" s="215"/>
      <c r="CC811" s="215"/>
      <c r="CD811" s="215"/>
      <c r="CE811" s="215"/>
    </row>
    <row r="812" spans="1:83" ht="12.65" customHeight="1" x14ac:dyDescent="0.3">
      <c r="A812" s="160" t="str">
        <f>RIGHT($C$83,3)&amp;"*"&amp;RIGHT($C$82,4)&amp;"*"&amp;CC$55&amp;"*"&amp;"A"</f>
        <v>085*2021*8790*A</v>
      </c>
      <c r="B812" s="214"/>
      <c r="C812" s="216">
        <f>ROUND(CC60,2)</f>
        <v>31.44</v>
      </c>
      <c r="D812" s="214">
        <f>ROUND(CC61,0)</f>
        <v>4977218</v>
      </c>
      <c r="E812" s="214">
        <f>ROUND(CC62,0)</f>
        <v>1122612</v>
      </c>
      <c r="F812" s="214">
        <f>ROUND(CC63,0)</f>
        <v>264390</v>
      </c>
      <c r="G812" s="214">
        <f>ROUND(CC64,0)</f>
        <v>73898</v>
      </c>
      <c r="H812" s="214">
        <f>ROUND(CC65,0)</f>
        <v>9849</v>
      </c>
      <c r="I812" s="214">
        <f>ROUND(CC66,0)</f>
        <v>476492</v>
      </c>
      <c r="J812" s="214">
        <f>ROUND(CC67,0)</f>
        <v>457409</v>
      </c>
      <c r="K812" s="214">
        <f>ROUND(CC68,0)</f>
        <v>151769</v>
      </c>
      <c r="L812" s="214">
        <f>ROUND(CC69,0)</f>
        <v>717041</v>
      </c>
      <c r="M812" s="214">
        <f>ROUND(CC70,0)</f>
        <v>0</v>
      </c>
      <c r="N812" s="214"/>
      <c r="O812" s="214"/>
      <c r="P812" s="214">
        <f>IF(CC76&gt;0,ROUND(CC76,0),0)</f>
        <v>14667</v>
      </c>
      <c r="Q812" s="214">
        <f>IF(CC77&gt;0,ROUND(CC77,0),0)</f>
        <v>0</v>
      </c>
      <c r="R812" s="214">
        <f>IF(CC78&gt;0,ROUND(CC78,0),0)</f>
        <v>0</v>
      </c>
      <c r="S812" s="214">
        <f>IF(CC79&gt;0,ROUND(CC79,0),0)</f>
        <v>0</v>
      </c>
      <c r="T812" s="216">
        <f>IF(CC80&gt;0,ROUND(CC80,2),0)</f>
        <v>0</v>
      </c>
      <c r="U812" s="214"/>
      <c r="V812" s="215"/>
      <c r="W812" s="214"/>
      <c r="X812" s="214"/>
      <c r="Y812" s="214"/>
      <c r="Z812" s="215"/>
      <c r="AA812" s="215"/>
      <c r="AB812" s="215"/>
      <c r="AC812" s="215"/>
      <c r="AD812" s="215"/>
      <c r="AE812" s="215"/>
      <c r="AF812" s="215"/>
      <c r="AG812" s="215"/>
      <c r="AH812" s="215"/>
      <c r="AI812" s="215"/>
      <c r="AJ812" s="215"/>
      <c r="AK812" s="215"/>
      <c r="AL812" s="215"/>
      <c r="AM812" s="215"/>
      <c r="AN812" s="215"/>
      <c r="AO812" s="215"/>
      <c r="AP812" s="215"/>
      <c r="AQ812" s="215"/>
      <c r="AR812" s="215"/>
      <c r="AS812" s="215"/>
      <c r="AT812" s="215"/>
      <c r="AU812" s="215"/>
      <c r="AV812" s="215"/>
      <c r="AW812" s="215"/>
      <c r="AX812" s="215"/>
      <c r="AY812" s="215"/>
      <c r="AZ812" s="215"/>
      <c r="BA812" s="215"/>
      <c r="BB812" s="215"/>
      <c r="BC812" s="215"/>
      <c r="BD812" s="215"/>
      <c r="BE812" s="215"/>
      <c r="BF812" s="215"/>
      <c r="BG812" s="215"/>
      <c r="BH812" s="215"/>
      <c r="BI812" s="215"/>
      <c r="BJ812" s="215"/>
      <c r="BK812" s="215"/>
      <c r="BL812" s="215"/>
      <c r="BM812" s="215"/>
      <c r="BN812" s="215"/>
      <c r="BO812" s="215"/>
      <c r="BP812" s="215"/>
      <c r="BQ812" s="215"/>
      <c r="BR812" s="215"/>
      <c r="BS812" s="215"/>
      <c r="BT812" s="215"/>
      <c r="BU812" s="215"/>
      <c r="BV812" s="215"/>
      <c r="BW812" s="215"/>
      <c r="BX812" s="215"/>
      <c r="BY812" s="215"/>
      <c r="BZ812" s="215"/>
      <c r="CA812" s="215"/>
      <c r="CB812" s="215"/>
      <c r="CC812" s="215"/>
      <c r="CD812" s="215"/>
      <c r="CE812" s="215"/>
    </row>
    <row r="813" spans="1:83" ht="12.65" customHeight="1" x14ac:dyDescent="0.3">
      <c r="A813" s="160" t="str">
        <f>RIGHT($C$83,3)&amp;"*"&amp;RIGHT($C$82,4)&amp;"*"&amp;"9000"&amp;"*"&amp;"A"</f>
        <v>085*2021*9000*A</v>
      </c>
      <c r="B813" s="214"/>
      <c r="C813" s="217"/>
      <c r="D813" s="214"/>
      <c r="E813" s="214"/>
      <c r="F813" s="214"/>
      <c r="G813" s="214"/>
      <c r="H813" s="214"/>
      <c r="I813" s="214"/>
      <c r="J813" s="214"/>
      <c r="K813" s="214"/>
      <c r="L813" s="214"/>
      <c r="M813" s="214"/>
      <c r="N813" s="214"/>
      <c r="O813" s="214"/>
      <c r="P813" s="214"/>
      <c r="Q813" s="214"/>
      <c r="R813" s="214"/>
      <c r="S813" s="214"/>
      <c r="T813" s="217"/>
      <c r="U813" s="214">
        <f>ROUND(CD69,0)</f>
        <v>3048547</v>
      </c>
      <c r="V813" s="215">
        <f>ROUND(CD70,0)</f>
        <v>9226620</v>
      </c>
      <c r="W813" s="214">
        <f>ROUND(CE72,0)</f>
        <v>503708</v>
      </c>
      <c r="X813" s="214">
        <f>ROUND(C131,0)</f>
        <v>0</v>
      </c>
      <c r="Y813" s="214"/>
      <c r="Z813" s="215"/>
      <c r="AA813" s="215"/>
      <c r="AB813" s="215"/>
      <c r="AC813" s="215"/>
      <c r="AD813" s="215"/>
      <c r="AE813" s="215"/>
      <c r="AF813" s="215"/>
      <c r="AG813" s="215"/>
      <c r="AH813" s="215"/>
      <c r="AI813" s="215"/>
      <c r="AJ813" s="215"/>
      <c r="AK813" s="215"/>
      <c r="AL813" s="215"/>
      <c r="AM813" s="215"/>
      <c r="AN813" s="215"/>
      <c r="AO813" s="215"/>
      <c r="AP813" s="215"/>
      <c r="AQ813" s="215"/>
      <c r="AR813" s="215"/>
      <c r="AS813" s="215"/>
      <c r="AT813" s="215"/>
      <c r="AU813" s="215"/>
      <c r="AV813" s="215"/>
      <c r="AW813" s="215"/>
      <c r="AX813" s="215"/>
      <c r="AY813" s="215"/>
      <c r="AZ813" s="215"/>
      <c r="BA813" s="215"/>
      <c r="BB813" s="215"/>
      <c r="BC813" s="215"/>
      <c r="BD813" s="215"/>
      <c r="BE813" s="215"/>
      <c r="BF813" s="215"/>
      <c r="BG813" s="215"/>
      <c r="BH813" s="215"/>
      <c r="BI813" s="215"/>
      <c r="BJ813" s="215"/>
      <c r="BK813" s="215"/>
      <c r="BL813" s="215"/>
      <c r="BM813" s="215"/>
      <c r="BN813" s="215"/>
      <c r="BO813" s="215"/>
      <c r="BP813" s="215"/>
      <c r="BQ813" s="215"/>
      <c r="BR813" s="215"/>
      <c r="BS813" s="215"/>
      <c r="BT813" s="215"/>
      <c r="BU813" s="215"/>
      <c r="BV813" s="215"/>
      <c r="BW813" s="215"/>
      <c r="BX813" s="215"/>
      <c r="BY813" s="215"/>
      <c r="BZ813" s="215"/>
      <c r="CA813" s="215"/>
      <c r="CB813" s="215"/>
      <c r="CC813" s="215"/>
      <c r="CD813" s="215"/>
      <c r="CE813" s="215"/>
    </row>
    <row r="814" spans="1:83" ht="12.65" customHeight="1" x14ac:dyDescent="0.3">
      <c r="B814" s="215"/>
      <c r="C814" s="215"/>
      <c r="D814" s="215"/>
      <c r="E814" s="215"/>
      <c r="F814" s="215"/>
      <c r="G814" s="215"/>
      <c r="H814" s="215"/>
      <c r="I814" s="215"/>
      <c r="J814" s="215"/>
      <c r="K814" s="215"/>
      <c r="L814" s="215"/>
      <c r="M814" s="215"/>
      <c r="N814" s="215"/>
      <c r="O814" s="215"/>
      <c r="P814" s="215"/>
      <c r="Q814" s="215"/>
      <c r="R814" s="215"/>
      <c r="S814" s="215"/>
      <c r="T814" s="215"/>
      <c r="U814" s="215"/>
      <c r="V814" s="215"/>
      <c r="W814" s="215"/>
      <c r="X814" s="215"/>
      <c r="Y814" s="215"/>
      <c r="Z814" s="215"/>
      <c r="AA814" s="215"/>
      <c r="AB814" s="215"/>
      <c r="AC814" s="215"/>
      <c r="AD814" s="215"/>
      <c r="AE814" s="215"/>
      <c r="AF814" s="215"/>
      <c r="AG814" s="215"/>
      <c r="AH814" s="215"/>
      <c r="AI814" s="215"/>
      <c r="AJ814" s="215"/>
      <c r="AK814" s="215"/>
      <c r="AL814" s="215"/>
      <c r="AM814" s="215"/>
      <c r="AN814" s="215"/>
      <c r="AO814" s="215"/>
      <c r="AP814" s="215"/>
      <c r="AQ814" s="215"/>
      <c r="AR814" s="215"/>
      <c r="AS814" s="215"/>
      <c r="AT814" s="215"/>
      <c r="AU814" s="215"/>
      <c r="AV814" s="215"/>
      <c r="AW814" s="215"/>
      <c r="AX814" s="215"/>
      <c r="AY814" s="215"/>
      <c r="AZ814" s="215"/>
      <c r="BA814" s="215"/>
      <c r="BB814" s="215"/>
      <c r="BC814" s="215"/>
      <c r="BD814" s="215"/>
      <c r="BE814" s="215"/>
      <c r="BF814" s="215"/>
      <c r="BG814" s="215"/>
      <c r="BH814" s="215"/>
      <c r="BI814" s="215"/>
      <c r="BJ814" s="215"/>
      <c r="BK814" s="215"/>
      <c r="BL814" s="215"/>
      <c r="BM814" s="215"/>
      <c r="BN814" s="215"/>
      <c r="BO814" s="215"/>
      <c r="BP814" s="215"/>
      <c r="BQ814" s="215"/>
      <c r="BR814" s="215"/>
      <c r="BS814" s="215"/>
      <c r="BT814" s="215"/>
      <c r="BU814" s="215"/>
      <c r="BV814" s="215"/>
      <c r="BW814" s="215"/>
      <c r="BX814" s="215"/>
      <c r="BY814" s="215"/>
      <c r="BZ814" s="215"/>
      <c r="CA814" s="215"/>
      <c r="CB814" s="215"/>
      <c r="CC814" s="215"/>
      <c r="CD814" s="215"/>
      <c r="CE814" s="215"/>
    </row>
    <row r="815" spans="1:83" ht="12.65" customHeight="1" x14ac:dyDescent="0.3">
      <c r="B815" s="218" t="s">
        <v>1004</v>
      </c>
      <c r="C815" s="219">
        <f t="shared" ref="C815:K815" si="23">SUM(C734:C813)</f>
        <v>652.30000000000007</v>
      </c>
      <c r="D815" s="215">
        <f t="shared" si="23"/>
        <v>70571033</v>
      </c>
      <c r="E815" s="215">
        <f t="shared" si="23"/>
        <v>15917309</v>
      </c>
      <c r="F815" s="215">
        <f t="shared" si="23"/>
        <v>3069586</v>
      </c>
      <c r="G815" s="215">
        <f t="shared" si="23"/>
        <v>28439638</v>
      </c>
      <c r="H815" s="215">
        <f t="shared" si="23"/>
        <v>1192355</v>
      </c>
      <c r="I815" s="215">
        <f t="shared" si="23"/>
        <v>8621438</v>
      </c>
      <c r="J815" s="215">
        <f t="shared" si="23"/>
        <v>4376582</v>
      </c>
      <c r="K815" s="215">
        <f t="shared" si="23"/>
        <v>1681492</v>
      </c>
      <c r="L815" s="215">
        <f>SUM(L734:L813)+SUM(U734:U813)</f>
        <v>5418066</v>
      </c>
      <c r="M815" s="215">
        <f>SUM(M734:M813)+SUM(V734:V813)</f>
        <v>9226620</v>
      </c>
      <c r="N815" s="215">
        <f t="shared" ref="N815:Y815" si="24">SUM(N734:N813)</f>
        <v>297995582</v>
      </c>
      <c r="O815" s="215">
        <f t="shared" si="24"/>
        <v>39798234</v>
      </c>
      <c r="P815" s="215">
        <f t="shared" si="24"/>
        <v>140337</v>
      </c>
      <c r="Q815" s="215">
        <f t="shared" si="24"/>
        <v>15220</v>
      </c>
      <c r="R815" s="215">
        <f t="shared" si="24"/>
        <v>35590</v>
      </c>
      <c r="S815" s="215">
        <f t="shared" si="24"/>
        <v>281505</v>
      </c>
      <c r="T815" s="219">
        <f t="shared" si="24"/>
        <v>157.86000000000001</v>
      </c>
      <c r="U815" s="215">
        <f t="shared" si="24"/>
        <v>3048547</v>
      </c>
      <c r="V815" s="215">
        <f t="shared" si="24"/>
        <v>9226620</v>
      </c>
      <c r="W815" s="215">
        <f t="shared" si="24"/>
        <v>503708</v>
      </c>
      <c r="X815" s="215">
        <f t="shared" si="24"/>
        <v>0</v>
      </c>
      <c r="Y815" s="215">
        <f t="shared" si="24"/>
        <v>22174072</v>
      </c>
      <c r="Z815" s="215"/>
      <c r="AA815" s="215"/>
      <c r="AB815" s="215"/>
      <c r="AC815" s="215"/>
      <c r="AD815" s="215"/>
      <c r="AE815" s="215"/>
      <c r="AF815" s="215"/>
      <c r="AG815" s="215"/>
      <c r="AH815" s="215"/>
      <c r="AI815" s="215"/>
      <c r="AJ815" s="215"/>
      <c r="AK815" s="215"/>
      <c r="AL815" s="215"/>
      <c r="AM815" s="215"/>
      <c r="AN815" s="215"/>
      <c r="AO815" s="215"/>
      <c r="AP815" s="215"/>
      <c r="AQ815" s="215"/>
      <c r="AR815" s="215"/>
      <c r="AS815" s="215"/>
      <c r="AT815" s="215"/>
      <c r="AU815" s="215"/>
      <c r="AV815" s="215"/>
      <c r="AW815" s="215"/>
      <c r="AX815" s="215"/>
      <c r="AY815" s="215"/>
      <c r="AZ815" s="215"/>
      <c r="BA815" s="215"/>
      <c r="BB815" s="215"/>
      <c r="BC815" s="215"/>
      <c r="BD815" s="215"/>
      <c r="BE815" s="215"/>
      <c r="BF815" s="215"/>
      <c r="BG815" s="215"/>
      <c r="BH815" s="215"/>
      <c r="BI815" s="215"/>
      <c r="BJ815" s="215"/>
      <c r="BK815" s="215"/>
      <c r="BL815" s="215"/>
      <c r="BM815" s="215"/>
      <c r="BN815" s="215"/>
      <c r="BO815" s="215"/>
      <c r="BP815" s="215"/>
      <c r="BQ815" s="215"/>
      <c r="BR815" s="215"/>
      <c r="BS815" s="215"/>
      <c r="BT815" s="215"/>
      <c r="BU815" s="215"/>
      <c r="BV815" s="215"/>
      <c r="BW815" s="215"/>
      <c r="BX815" s="215"/>
      <c r="BY815" s="215"/>
      <c r="BZ815" s="215"/>
      <c r="CA815" s="215"/>
      <c r="CB815" s="215"/>
      <c r="CC815" s="215"/>
      <c r="CD815" s="215"/>
      <c r="CE815" s="215"/>
    </row>
    <row r="816" spans="1:83" ht="12.65" customHeight="1" x14ac:dyDescent="0.3">
      <c r="B816" s="215" t="s">
        <v>1005</v>
      </c>
      <c r="C816" s="219">
        <f>CE60</f>
        <v>652.29000000000008</v>
      </c>
      <c r="D816" s="215">
        <f>CE61</f>
        <v>70571033</v>
      </c>
      <c r="E816" s="215">
        <f>CE62</f>
        <v>15917309</v>
      </c>
      <c r="F816" s="215">
        <f>CE63</f>
        <v>3069586</v>
      </c>
      <c r="G816" s="215">
        <f>CE64</f>
        <v>28439638</v>
      </c>
      <c r="H816" s="218">
        <f>CE65</f>
        <v>1192355</v>
      </c>
      <c r="I816" s="218">
        <f>CE66</f>
        <v>8621439</v>
      </c>
      <c r="J816" s="218">
        <f>CE67</f>
        <v>4376582</v>
      </c>
      <c r="K816" s="218">
        <f>CE68</f>
        <v>1681492</v>
      </c>
      <c r="L816" s="218">
        <f>CE69</f>
        <v>5418067</v>
      </c>
      <c r="M816" s="218">
        <f>CE70</f>
        <v>9226620</v>
      </c>
      <c r="N816" s="215">
        <f>CE75</f>
        <v>297995582</v>
      </c>
      <c r="O816" s="215">
        <f>CE73</f>
        <v>39798234</v>
      </c>
      <c r="P816" s="215">
        <f>CE76</f>
        <v>140337</v>
      </c>
      <c r="Q816" s="215">
        <f>CE77</f>
        <v>15220</v>
      </c>
      <c r="R816" s="215">
        <f>CE78</f>
        <v>35590</v>
      </c>
      <c r="S816" s="215">
        <f>CE79</f>
        <v>281505</v>
      </c>
      <c r="T816" s="219">
        <f>CE80</f>
        <v>157.85000000000002</v>
      </c>
      <c r="U816" s="215" t="s">
        <v>1006</v>
      </c>
      <c r="V816" s="215" t="s">
        <v>1006</v>
      </c>
      <c r="W816" s="215" t="s">
        <v>1006</v>
      </c>
      <c r="X816" s="215" t="s">
        <v>1006</v>
      </c>
      <c r="Y816" s="215">
        <f>M716</f>
        <v>22174071</v>
      </c>
      <c r="Z816" s="215"/>
      <c r="AA816" s="215"/>
      <c r="AB816" s="215"/>
      <c r="AC816" s="215"/>
      <c r="AD816" s="215"/>
      <c r="AE816" s="215"/>
      <c r="AF816" s="215"/>
      <c r="AG816" s="215"/>
      <c r="AH816" s="215"/>
      <c r="AI816" s="215"/>
      <c r="AJ816" s="215"/>
      <c r="AK816" s="215"/>
      <c r="AL816" s="215"/>
      <c r="AM816" s="215"/>
      <c r="AN816" s="215"/>
      <c r="AO816" s="215"/>
      <c r="AP816" s="215"/>
      <c r="AQ816" s="215"/>
      <c r="AR816" s="215"/>
      <c r="AS816" s="215"/>
      <c r="AT816" s="215"/>
      <c r="AU816" s="215"/>
      <c r="AV816" s="215"/>
      <c r="AW816" s="215"/>
      <c r="AX816" s="215"/>
      <c r="AY816" s="215"/>
      <c r="AZ816" s="215"/>
      <c r="BA816" s="215"/>
      <c r="BB816" s="215"/>
      <c r="BC816" s="215"/>
      <c r="BD816" s="215"/>
      <c r="BE816" s="215"/>
      <c r="BF816" s="215"/>
      <c r="BG816" s="215"/>
      <c r="BH816" s="215"/>
      <c r="BI816" s="215"/>
      <c r="BJ816" s="215"/>
      <c r="BK816" s="215"/>
      <c r="BL816" s="215"/>
      <c r="BM816" s="215"/>
      <c r="BN816" s="215"/>
      <c r="BO816" s="215"/>
      <c r="BP816" s="215"/>
      <c r="BQ816" s="215"/>
      <c r="BR816" s="215"/>
      <c r="BS816" s="215"/>
      <c r="BT816" s="215"/>
      <c r="BU816" s="215"/>
      <c r="BV816" s="215"/>
      <c r="BW816" s="215"/>
      <c r="BX816" s="215"/>
      <c r="BY816" s="215"/>
      <c r="BZ816" s="215"/>
      <c r="CA816" s="215"/>
      <c r="CB816" s="215"/>
      <c r="CC816" s="215"/>
      <c r="CD816" s="215"/>
      <c r="CE816" s="215"/>
    </row>
    <row r="817" spans="2:15" ht="12.65" customHeight="1" x14ac:dyDescent="0.3">
      <c r="B817" s="1" t="s">
        <v>471</v>
      </c>
      <c r="C817" s="150" t="s">
        <v>1007</v>
      </c>
      <c r="D817" s="1">
        <f>C378</f>
        <v>70571034</v>
      </c>
      <c r="E817" s="1">
        <f>C379</f>
        <v>15917306</v>
      </c>
      <c r="F817" s="1">
        <f>C380</f>
        <v>3069586</v>
      </c>
      <c r="G817" s="185">
        <f>C381</f>
        <v>28439638</v>
      </c>
      <c r="H817" s="185">
        <f>C382</f>
        <v>1192355</v>
      </c>
      <c r="I817" s="185">
        <f>C383</f>
        <v>8621439</v>
      </c>
      <c r="J817" s="185">
        <f>C384</f>
        <v>4376458</v>
      </c>
      <c r="K817" s="185">
        <f>C385</f>
        <v>1681492</v>
      </c>
      <c r="L817" s="185">
        <f>C386+C387+C388+C389</f>
        <v>5418067</v>
      </c>
      <c r="M817" s="185">
        <f>C370</f>
        <v>9226620</v>
      </c>
      <c r="N817" s="1">
        <f>D361</f>
        <v>297995582</v>
      </c>
      <c r="O817" s="1">
        <f>C359</f>
        <v>39798234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J46" transitionEvaluation="1" transitionEntry="1" codeName="Sheet10">
    <pageSetUpPr autoPageBreaks="0" fitToPage="1"/>
  </sheetPr>
  <dimension ref="A1:CF816"/>
  <sheetViews>
    <sheetView showGridLines="0" topLeftCell="AJ46" zoomScale="75" workbookViewId="0">
      <selection activeCell="BE60" sqref="BE60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3" ht="12.75" customHeight="1" x14ac:dyDescent="0.3">
      <c r="A1" s="149" t="s">
        <v>1231</v>
      </c>
    </row>
    <row r="2" spans="1:3" ht="12.75" customHeight="1" x14ac:dyDescent="0.3">
      <c r="A2" s="1" t="s">
        <v>1232</v>
      </c>
      <c r="C2" s="180"/>
    </row>
    <row r="3" spans="1:3" ht="12.75" customHeight="1" x14ac:dyDescent="0.3">
      <c r="A3" s="150"/>
      <c r="C3" s="180"/>
    </row>
    <row r="4" spans="1:3" ht="12.75" customHeight="1" x14ac:dyDescent="0.3">
      <c r="C4" s="180"/>
    </row>
    <row r="5" spans="1:3" ht="12.75" customHeight="1" x14ac:dyDescent="0.3">
      <c r="A5" s="150" t="s">
        <v>1258</v>
      </c>
      <c r="C5" s="180"/>
    </row>
    <row r="6" spans="1:3" ht="12.75" customHeight="1" x14ac:dyDescent="0.3">
      <c r="A6" s="150" t="s">
        <v>0</v>
      </c>
      <c r="C6" s="180"/>
    </row>
    <row r="7" spans="1:3" ht="12.75" customHeight="1" x14ac:dyDescent="0.3">
      <c r="A7" s="150" t="s">
        <v>1</v>
      </c>
      <c r="C7" s="180"/>
    </row>
    <row r="8" spans="1:3" ht="12.75" customHeight="1" x14ac:dyDescent="0.3">
      <c r="C8" s="180"/>
    </row>
    <row r="9" spans="1:3" ht="12.75" customHeight="1" x14ac:dyDescent="0.3">
      <c r="C9" s="180"/>
    </row>
    <row r="10" spans="1:3" ht="12.75" customHeight="1" x14ac:dyDescent="0.3">
      <c r="A10" s="149" t="s">
        <v>1228</v>
      </c>
      <c r="C10" s="180"/>
    </row>
    <row r="11" spans="1:3" ht="12.75" customHeight="1" x14ac:dyDescent="0.3">
      <c r="A11" s="149" t="s">
        <v>1230</v>
      </c>
      <c r="C11" s="180"/>
    </row>
    <row r="12" spans="1:3" ht="12.75" customHeight="1" x14ac:dyDescent="0.3">
      <c r="C12" s="180"/>
    </row>
    <row r="13" spans="1:3" ht="12.75" customHeight="1" x14ac:dyDescent="0.3">
      <c r="C13" s="180"/>
    </row>
    <row r="14" spans="1:3" ht="12.75" customHeight="1" x14ac:dyDescent="0.3">
      <c r="A14" s="150" t="s">
        <v>2</v>
      </c>
      <c r="C14" s="180"/>
    </row>
    <row r="15" spans="1:3" ht="12.75" customHeight="1" x14ac:dyDescent="0.3">
      <c r="A15" s="150"/>
      <c r="C15" s="180"/>
    </row>
    <row r="16" spans="1:3" ht="12.75" customHeight="1" x14ac:dyDescent="0.3">
      <c r="A16" s="229" t="s">
        <v>1265</v>
      </c>
      <c r="C16" s="180"/>
    </row>
    <row r="17" spans="1:7" ht="12.75" customHeight="1" x14ac:dyDescent="0.3">
      <c r="A17" s="229" t="s">
        <v>1264</v>
      </c>
      <c r="C17" s="224"/>
      <c r="F17" s="181"/>
    </row>
    <row r="18" spans="1:7" ht="12.75" customHeight="1" x14ac:dyDescent="0.3">
      <c r="A18" s="227"/>
      <c r="C18" s="180"/>
    </row>
    <row r="19" spans="1:7" ht="12.75" customHeight="1" x14ac:dyDescent="0.3">
      <c r="C19" s="180"/>
    </row>
    <row r="20" spans="1:7" ht="12.75" customHeight="1" x14ac:dyDescent="0.3">
      <c r="A20" s="211" t="s">
        <v>1233</v>
      </c>
      <c r="B20" s="211"/>
      <c r="C20" s="225"/>
      <c r="D20" s="211"/>
      <c r="E20" s="211"/>
      <c r="F20" s="211"/>
      <c r="G20" s="211"/>
    </row>
    <row r="21" spans="1:7" ht="22.5" customHeight="1" x14ac:dyDescent="0.3">
      <c r="A21" s="150"/>
      <c r="C21" s="180"/>
    </row>
    <row r="22" spans="1:7" ht="12.65" customHeight="1" x14ac:dyDescent="0.3">
      <c r="A22" s="211" t="s">
        <v>1253</v>
      </c>
      <c r="B22" s="228"/>
      <c r="C22" s="225"/>
      <c r="D22" s="211"/>
      <c r="E22" s="211"/>
      <c r="F22" s="211"/>
    </row>
    <row r="23" spans="1:7" ht="12.65" customHeight="1" x14ac:dyDescent="0.3">
      <c r="B23" s="150"/>
      <c r="C23" s="180"/>
    </row>
    <row r="24" spans="1:7" ht="12.65" customHeight="1" x14ac:dyDescent="0.3">
      <c r="A24" s="185" t="s">
        <v>3</v>
      </c>
      <c r="C24" s="180"/>
    </row>
    <row r="25" spans="1:7" ht="12.65" customHeight="1" x14ac:dyDescent="0.3">
      <c r="A25" s="149" t="s">
        <v>1234</v>
      </c>
      <c r="C25" s="180"/>
    </row>
    <row r="26" spans="1:7" ht="12.65" customHeight="1" x14ac:dyDescent="0.3">
      <c r="A26" s="150" t="s">
        <v>4</v>
      </c>
      <c r="C26" s="180"/>
    </row>
    <row r="27" spans="1:7" ht="12.65" customHeight="1" x14ac:dyDescent="0.3">
      <c r="A27" s="149" t="s">
        <v>1235</v>
      </c>
      <c r="C27" s="180"/>
    </row>
    <row r="28" spans="1:7" ht="12.65" customHeight="1" x14ac:dyDescent="0.3">
      <c r="A28" s="150" t="s">
        <v>5</v>
      </c>
      <c r="C28" s="180"/>
    </row>
    <row r="29" spans="1:7" ht="12.65" customHeight="1" x14ac:dyDescent="0.3">
      <c r="A29" s="149"/>
      <c r="C29" s="180"/>
    </row>
    <row r="30" spans="1:7" ht="12.65" customHeight="1" x14ac:dyDescent="0.3">
      <c r="A30" s="1" t="s">
        <v>6</v>
      </c>
      <c r="C30" s="180"/>
    </row>
    <row r="31" spans="1:7" ht="12.65" customHeight="1" x14ac:dyDescent="0.3">
      <c r="A31" s="150" t="s">
        <v>7</v>
      </c>
      <c r="C31" s="180"/>
    </row>
    <row r="32" spans="1:7" ht="12.65" customHeight="1" x14ac:dyDescent="0.3">
      <c r="A32" s="150" t="s">
        <v>8</v>
      </c>
      <c r="C32" s="180"/>
    </row>
    <row r="33" spans="1:83" ht="12.65" customHeight="1" x14ac:dyDescent="0.3">
      <c r="A33" s="149" t="s">
        <v>1236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1237</v>
      </c>
      <c r="C36" s="180"/>
    </row>
    <row r="37" spans="1:83" ht="12.65" customHeight="1" x14ac:dyDescent="0.3">
      <c r="A37" s="150" t="s">
        <v>1229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205</v>
      </c>
      <c r="B48" s="136">
        <v>14751096</v>
      </c>
      <c r="C48" s="132">
        <f>ROUND(((B48/CE61)*C61),0)</f>
        <v>219359</v>
      </c>
      <c r="D48" s="132">
        <f>ROUND(((B48/CE61)*D61),0)</f>
        <v>0</v>
      </c>
      <c r="E48" s="129">
        <f>ROUND(((B48/CE61)*E61),0)</f>
        <v>674864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18</v>
      </c>
      <c r="M48" s="129">
        <f>ROUND(((B48/CE61)*M61),0)</f>
        <v>0</v>
      </c>
      <c r="N48" s="129">
        <f>ROUND(((B48/CE61)*N61),0)</f>
        <v>451429</v>
      </c>
      <c r="O48" s="129">
        <f>ROUND(((B48/CE61)*O61),0)</f>
        <v>256569</v>
      </c>
      <c r="P48" s="129">
        <f>ROUND(((B48/CE61)*P61),0)</f>
        <v>398020</v>
      </c>
      <c r="Q48" s="129">
        <f>ROUND(((B48/CE61)*Q61),0)</f>
        <v>284</v>
      </c>
      <c r="R48" s="129">
        <f>ROUND(((B48/CE61)*R61),0)</f>
        <v>272691</v>
      </c>
      <c r="S48" s="129">
        <f>ROUND(((B48/CE61)*S61),0)</f>
        <v>31623</v>
      </c>
      <c r="T48" s="129">
        <f>ROUND(((B48/CE61)*T61),0)</f>
        <v>0</v>
      </c>
      <c r="U48" s="129">
        <f>ROUND(((B48/CE61)*U61),0)</f>
        <v>385851</v>
      </c>
      <c r="V48" s="129">
        <f>ROUND(((B48/CE61)*V61),0)</f>
        <v>0</v>
      </c>
      <c r="W48" s="129">
        <f>ROUND(((B48/CE61)*W61),0)</f>
        <v>45360</v>
      </c>
      <c r="X48" s="129">
        <f>ROUND(((B48/CE61)*X61),0)</f>
        <v>23940</v>
      </c>
      <c r="Y48" s="129">
        <f>ROUND(((B48/CE61)*Y61),0)</f>
        <v>377855</v>
      </c>
      <c r="Z48" s="129">
        <f>ROUND(((B48/CE61)*Z61),0)</f>
        <v>0</v>
      </c>
      <c r="AA48" s="129">
        <f>ROUND(((B48/CE61)*AA61),0)</f>
        <v>20618</v>
      </c>
      <c r="AB48" s="129">
        <f>ROUND(((B48/CE61)*AB61),0)</f>
        <v>325964</v>
      </c>
      <c r="AC48" s="129">
        <f>ROUND(((B48/CE61)*AC61),0)</f>
        <v>157752</v>
      </c>
      <c r="AD48" s="129">
        <f>ROUND(((B48/CE61)*AD61),0)</f>
        <v>0</v>
      </c>
      <c r="AE48" s="129">
        <f>ROUND(((B48/CE61)*AE61),0)</f>
        <v>607680</v>
      </c>
      <c r="AF48" s="129">
        <f>ROUND(((B48/CE61)*AF61),0)</f>
        <v>0</v>
      </c>
      <c r="AG48" s="129">
        <f>ROUND(((B48/CE61)*AG61),0)</f>
        <v>1011519</v>
      </c>
      <c r="AH48" s="129">
        <f>ROUND(((B48/CE61)*AH61),0)</f>
        <v>0</v>
      </c>
      <c r="AI48" s="129">
        <f>ROUND(((B48/CE61)*AI61),0)</f>
        <v>769063</v>
      </c>
      <c r="AJ48" s="129">
        <f>ROUND(((B48/CE61)*AJ61),0)</f>
        <v>4317314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679796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349001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176992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110727</v>
      </c>
      <c r="BE48" s="129">
        <f>ROUND(((B48/CE61)*BE61),0)</f>
        <v>267807</v>
      </c>
      <c r="BF48" s="129">
        <f>ROUND(((B48/CE61)*BF61),0)</f>
        <v>225535</v>
      </c>
      <c r="BG48" s="129">
        <f>ROUND(((B48/CE61)*BG61),0)</f>
        <v>0</v>
      </c>
      <c r="BH48" s="129">
        <f>ROUND(((B48/CE61)*BH61),0)</f>
        <v>328022</v>
      </c>
      <c r="BI48" s="129">
        <f>ROUND(((B48/CE61)*BI61),0)</f>
        <v>0</v>
      </c>
      <c r="BJ48" s="129">
        <f>ROUND(((B48/CE61)*BJ61),0)</f>
        <v>163912</v>
      </c>
      <c r="BK48" s="129">
        <f>ROUND(((B48/CE61)*BK61),0)</f>
        <v>207976</v>
      </c>
      <c r="BL48" s="129">
        <f>ROUND(((B48/CE61)*BL61),0)</f>
        <v>148293</v>
      </c>
      <c r="BM48" s="129">
        <f>ROUND(((B48/CE61)*BM61),0)</f>
        <v>70084</v>
      </c>
      <c r="BN48" s="129">
        <f>ROUND(((B48/CE61)*BN61),0)</f>
        <v>470963</v>
      </c>
      <c r="BO48" s="129">
        <f>ROUND(((B48/CE61)*BO61),0)</f>
        <v>7953</v>
      </c>
      <c r="BP48" s="129">
        <f>ROUND(((B48/CE61)*BP61),0)</f>
        <v>22615</v>
      </c>
      <c r="BQ48" s="129">
        <f>ROUND(((B48/CE61)*BQ61),0)</f>
        <v>0</v>
      </c>
      <c r="BR48" s="129">
        <f>ROUND(((B48/CE61)*BR61),0)</f>
        <v>184792</v>
      </c>
      <c r="BS48" s="129">
        <f>ROUND(((B48/CE61)*BS61),0)</f>
        <v>18716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146392</v>
      </c>
      <c r="BW48" s="129">
        <f>ROUND(((B48/CE61)*BW61),0)</f>
        <v>123712</v>
      </c>
      <c r="BX48" s="129">
        <f>ROUND(((B48/CE61)*BX61),0)</f>
        <v>119285</v>
      </c>
      <c r="BY48" s="129">
        <f>ROUND(((B48/CE61)*BY61),0)</f>
        <v>251951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4182</v>
      </c>
      <c r="CC48" s="129">
        <f>ROUND(((B48/CE61)*CC61),0)</f>
        <v>324617</v>
      </c>
      <c r="CD48" s="129"/>
      <c r="CE48" s="129">
        <f>SUM(C48:CD48)</f>
        <v>14751096</v>
      </c>
    </row>
    <row r="49" spans="1:83" ht="12.65" customHeight="1" x14ac:dyDescent="0.3">
      <c r="A49" s="129" t="s">
        <v>206</v>
      </c>
      <c r="B49" s="129">
        <f>B47+B48</f>
        <v>14751096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208</v>
      </c>
      <c r="B52" s="137">
        <v>4759009</v>
      </c>
      <c r="C52" s="129">
        <f>ROUND((B52/(CE76+CF76)*C76),0)</f>
        <v>88466</v>
      </c>
      <c r="D52" s="129">
        <f>ROUND((B52/(CE76+CF76)*D76),0)</f>
        <v>0</v>
      </c>
      <c r="E52" s="129">
        <f>ROUND((B52/(CE76+CF76)*E76),0)</f>
        <v>189074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2934</v>
      </c>
      <c r="K52" s="129">
        <f>ROUND((B52/(CE76+CF76)*K76),0)</f>
        <v>0</v>
      </c>
      <c r="L52" s="129">
        <f>ROUND((B52/(CE76+CF76)*L76),0)</f>
        <v>74378</v>
      </c>
      <c r="M52" s="129">
        <f>ROUND((B52/(CE76+CF76)*M76),0)</f>
        <v>0</v>
      </c>
      <c r="N52" s="129">
        <f>ROUND((B52/(CE76+CF76)*N76),0)</f>
        <v>9849</v>
      </c>
      <c r="O52" s="129">
        <f>ROUND((B52/(CE76+CF76)*O76),0)</f>
        <v>99013</v>
      </c>
      <c r="P52" s="129">
        <f>ROUND((B52/(CE76+CF76)*P76),0)</f>
        <v>331693</v>
      </c>
      <c r="Q52" s="129">
        <f>ROUND((B52/(CE76+CF76)*Q76),0)</f>
        <v>19986</v>
      </c>
      <c r="R52" s="129">
        <f>ROUND((B52/(CE76+CF76)*R76),0)</f>
        <v>4619</v>
      </c>
      <c r="S52" s="129">
        <f>ROUND((B52/(CE76+CF76)*S76),0)</f>
        <v>25338</v>
      </c>
      <c r="T52" s="129">
        <f>ROUND((B52/(CE76+CF76)*T76),0)</f>
        <v>0</v>
      </c>
      <c r="U52" s="129">
        <f>ROUND((B52/(CE76+CF76)*U76),0)</f>
        <v>133154</v>
      </c>
      <c r="V52" s="129">
        <f>ROUND((B52/(CE76+CF76)*V76),0)</f>
        <v>0</v>
      </c>
      <c r="W52" s="129">
        <f>ROUND((B52/(CE76+CF76)*W76),0)</f>
        <v>37602</v>
      </c>
      <c r="X52" s="129">
        <f>ROUND((B52/(CE76+CF76)*X76),0)</f>
        <v>18128</v>
      </c>
      <c r="Y52" s="129">
        <f>ROUND((B52/(CE76+CF76)*Y76),0)</f>
        <v>156434</v>
      </c>
      <c r="Z52" s="129">
        <f>ROUND((B52/(CE76+CF76)*Z76),0)</f>
        <v>0</v>
      </c>
      <c r="AA52" s="129">
        <f>ROUND((B52/(CE76+CF76)*AA76),0)</f>
        <v>12141</v>
      </c>
      <c r="AB52" s="129">
        <f>ROUND((B52/(CE76+CF76)*AB76),0)</f>
        <v>84254</v>
      </c>
      <c r="AC52" s="129">
        <f>ROUND((B52/(CE76+CF76)*AC76),0)</f>
        <v>62617</v>
      </c>
      <c r="AD52" s="129">
        <f>ROUND((B52/(CE76+CF76)*AD76),0)</f>
        <v>0</v>
      </c>
      <c r="AE52" s="129">
        <f>ROUND((B52/(CE76+CF76)*AE76),0)</f>
        <v>220325</v>
      </c>
      <c r="AF52" s="129">
        <f>ROUND((B52/(CE76+CF76)*AF76),0)</f>
        <v>0</v>
      </c>
      <c r="AG52" s="129">
        <f>ROUND((B52/(CE76+CF76)*AG76),0)</f>
        <v>215642</v>
      </c>
      <c r="AH52" s="129">
        <f>ROUND((B52/(CE76+CF76)*AH76),0)</f>
        <v>0</v>
      </c>
      <c r="AI52" s="129">
        <f>ROUND((B52/(CE76+CF76)*AI76),0)</f>
        <v>216365</v>
      </c>
      <c r="AJ52" s="129">
        <f>ROUND((B52/(CE76+CF76)*AJ76),0)</f>
        <v>1521857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126918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157242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132054</v>
      </c>
      <c r="AZ52" s="129">
        <f>ROUND((B52/(CE76+CF76)*AZ76),0)</f>
        <v>0</v>
      </c>
      <c r="BA52" s="129">
        <f>ROUND((B52/(CE76+CF76)*BA76),0)</f>
        <v>0</v>
      </c>
      <c r="BB52" s="129">
        <f>ROUND((B52/(CE76+CF76)*BB76),0)</f>
        <v>2629</v>
      </c>
      <c r="BC52" s="129">
        <f>ROUND((B52/(CE76+CF76)*BC76),0)</f>
        <v>0</v>
      </c>
      <c r="BD52" s="129">
        <f>ROUND((B52/(CE76+CF76)*BD76),0)</f>
        <v>82688</v>
      </c>
      <c r="BE52" s="129">
        <f>ROUND((B52/(CE76+CF76)*BE76),0)</f>
        <v>406596</v>
      </c>
      <c r="BF52" s="129">
        <f>ROUND((B52/(CE76+CF76)*BF76),0)</f>
        <v>105927</v>
      </c>
      <c r="BG52" s="129">
        <f>ROUND((B52/(CE76+CF76)*BG76),0)</f>
        <v>0</v>
      </c>
      <c r="BH52" s="129">
        <f>ROUND((B52/(CE76+CF76)*BH76),0)</f>
        <v>141379</v>
      </c>
      <c r="BI52" s="129">
        <f>ROUND((B52/(CE76+CF76)*BI76),0)</f>
        <v>0</v>
      </c>
      <c r="BJ52" s="129">
        <f>ROUND((B52/(CE76+CF76)*BJ76),0)</f>
        <v>36808</v>
      </c>
      <c r="BK52" s="129">
        <f>ROUND((B52/(CE76+CF76)*BK76),0)</f>
        <v>128933</v>
      </c>
      <c r="BL52" s="129">
        <f>ROUND((B52/(CE76+CF76)*BL76),0)</f>
        <v>67277</v>
      </c>
      <c r="BM52" s="129">
        <f>ROUND((B52/(CE76+CF76)*BM76),0)</f>
        <v>12430</v>
      </c>
      <c r="BN52" s="129">
        <f>ROUND((B52/(CE76+CF76)*BN76),0)</f>
        <v>382592</v>
      </c>
      <c r="BO52" s="129">
        <f>ROUND((B52/(CE76+CF76)*BO76),0)</f>
        <v>8252</v>
      </c>
      <c r="BP52" s="129">
        <f>ROUND((B52/(CE76+CF76)*BP76),0)</f>
        <v>9811</v>
      </c>
      <c r="BQ52" s="129">
        <f>ROUND((B52/(CE76+CF76)*BQ76),0)</f>
        <v>0</v>
      </c>
      <c r="BR52" s="129">
        <f>ROUND((B52/(CE76+CF76)*BR76),0)</f>
        <v>54297</v>
      </c>
      <c r="BS52" s="129">
        <f>ROUND((B52/(CE76+CF76)*BS76),0)</f>
        <v>18060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28799</v>
      </c>
      <c r="BW52" s="129">
        <f>ROUND((B52/(CE76+CF76)*BW76),0)</f>
        <v>13279</v>
      </c>
      <c r="BX52" s="129">
        <f>ROUND((B52/(CE76+CF76)*BX76),0)</f>
        <v>12234</v>
      </c>
      <c r="BY52" s="129">
        <f>ROUND((B52/(CE76+CF76)*BY76),0)</f>
        <v>30742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54439</v>
      </c>
      <c r="CC52" s="129">
        <f>ROUND((B52/(CE76+CF76)*CC76),0)</f>
        <v>117328</v>
      </c>
      <c r="CD52" s="129"/>
      <c r="CE52" s="129">
        <f>SUM(C52:CD52)</f>
        <v>5654583</v>
      </c>
    </row>
    <row r="53" spans="1:83" ht="12.65" customHeight="1" x14ac:dyDescent="0.3">
      <c r="A53" s="129" t="s">
        <v>206</v>
      </c>
      <c r="B53" s="129">
        <f>B51+B52</f>
        <v>4759009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>
        <v>179</v>
      </c>
      <c r="D59" s="137"/>
      <c r="E59" s="137">
        <v>2981</v>
      </c>
      <c r="F59" s="137"/>
      <c r="G59" s="137"/>
      <c r="H59" s="137"/>
      <c r="I59" s="137"/>
      <c r="J59" s="137">
        <v>149</v>
      </c>
      <c r="K59" s="137"/>
      <c r="L59" s="137">
        <v>167</v>
      </c>
      <c r="M59" s="137"/>
      <c r="N59" s="137">
        <v>0</v>
      </c>
      <c r="O59" s="137">
        <v>88</v>
      </c>
      <c r="P59" s="138">
        <v>164548</v>
      </c>
      <c r="Q59" s="138">
        <v>36379</v>
      </c>
      <c r="R59" s="138">
        <v>166554</v>
      </c>
      <c r="S59" s="192"/>
      <c r="T59" s="192"/>
      <c r="U59" s="172">
        <v>223520</v>
      </c>
      <c r="V59" s="138">
        <v>983</v>
      </c>
      <c r="W59" s="138">
        <v>2147</v>
      </c>
      <c r="X59" s="138">
        <v>5555</v>
      </c>
      <c r="Y59" s="138">
        <v>16265</v>
      </c>
      <c r="Z59" s="138"/>
      <c r="AA59" s="138">
        <v>446</v>
      </c>
      <c r="AB59" s="192"/>
      <c r="AC59" s="138">
        <v>28724</v>
      </c>
      <c r="AD59" s="138"/>
      <c r="AE59" s="138">
        <v>75498</v>
      </c>
      <c r="AF59" s="138"/>
      <c r="AG59" s="138">
        <v>10664</v>
      </c>
      <c r="AH59" s="138"/>
      <c r="AI59" s="138">
        <v>17436</v>
      </c>
      <c r="AJ59" s="138">
        <v>85414</v>
      </c>
      <c r="AK59" s="138">
        <v>13118</v>
      </c>
      <c r="AL59" s="138">
        <v>2593</v>
      </c>
      <c r="AM59" s="138"/>
      <c r="AN59" s="138"/>
      <c r="AO59" s="138"/>
      <c r="AP59" s="138"/>
      <c r="AQ59" s="138"/>
      <c r="AR59" s="138">
        <v>9751</v>
      </c>
      <c r="AS59" s="138"/>
      <c r="AT59" s="138"/>
      <c r="AU59" s="138"/>
      <c r="AV59" s="192"/>
      <c r="AW59" s="192"/>
      <c r="AX59" s="192"/>
      <c r="AY59" s="138">
        <v>12819</v>
      </c>
      <c r="AZ59" s="138"/>
      <c r="BA59" s="192"/>
      <c r="BB59" s="192"/>
      <c r="BC59" s="192"/>
      <c r="BD59" s="192"/>
      <c r="BE59" s="138">
        <f>111891+19497+8744</f>
        <v>140132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137">
        <v>9.5734615384615385</v>
      </c>
      <c r="D60" s="137">
        <v>0</v>
      </c>
      <c r="E60" s="137">
        <v>38.469999999999992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v>0</v>
      </c>
      <c r="L60" s="137">
        <v>2.3076923076923079E-3</v>
      </c>
      <c r="M60" s="137">
        <v>0</v>
      </c>
      <c r="N60" s="137">
        <v>0</v>
      </c>
      <c r="O60" s="137">
        <v>10.579615384615387</v>
      </c>
      <c r="P60" s="137">
        <v>18.545000000000002</v>
      </c>
      <c r="Q60" s="137">
        <v>1.5000000000000001E-2</v>
      </c>
      <c r="R60" s="137">
        <v>0</v>
      </c>
      <c r="S60" s="137">
        <v>2.742692307692308</v>
      </c>
      <c r="T60" s="137">
        <v>0</v>
      </c>
      <c r="U60" s="137">
        <v>25.882307692307695</v>
      </c>
      <c r="V60" s="137">
        <v>0</v>
      </c>
      <c r="W60" s="137">
        <v>1.9950000000000001</v>
      </c>
      <c r="X60" s="137">
        <v>1.329230769230769</v>
      </c>
      <c r="Y60" s="137">
        <v>20.157692307692312</v>
      </c>
      <c r="Z60" s="137">
        <v>0</v>
      </c>
      <c r="AA60" s="137">
        <v>0.70461538461538464</v>
      </c>
      <c r="AB60" s="137">
        <v>13.048846153846155</v>
      </c>
      <c r="AC60" s="137">
        <v>7.2815384615384611</v>
      </c>
      <c r="AD60" s="137">
        <v>0</v>
      </c>
      <c r="AE60" s="137">
        <v>33.45461538461538</v>
      </c>
      <c r="AF60" s="137">
        <v>0</v>
      </c>
      <c r="AG60" s="137">
        <v>26.750384615384618</v>
      </c>
      <c r="AH60" s="137">
        <v>0</v>
      </c>
      <c r="AI60" s="137">
        <v>23.06653846153846</v>
      </c>
      <c r="AJ60" s="137">
        <v>128.57871794871792</v>
      </c>
      <c r="AK60" s="137">
        <v>0</v>
      </c>
      <c r="AL60" s="137">
        <v>0</v>
      </c>
      <c r="AM60" s="137">
        <v>0</v>
      </c>
      <c r="AN60" s="137">
        <v>0</v>
      </c>
      <c r="AO60" s="137">
        <v>0</v>
      </c>
      <c r="AP60" s="137">
        <v>0</v>
      </c>
      <c r="AQ60" s="137">
        <v>0</v>
      </c>
      <c r="AR60" s="137">
        <v>34.968076923076922</v>
      </c>
      <c r="AS60" s="137">
        <v>0</v>
      </c>
      <c r="AT60" s="137">
        <v>0</v>
      </c>
      <c r="AU60" s="137">
        <v>0</v>
      </c>
      <c r="AV60" s="137">
        <v>17.632653846153843</v>
      </c>
      <c r="AW60" s="137">
        <v>0</v>
      </c>
      <c r="AX60" s="137">
        <v>0</v>
      </c>
      <c r="AY60" s="137">
        <v>16.066923076923082</v>
      </c>
      <c r="AZ60" s="137">
        <v>0</v>
      </c>
      <c r="BA60" s="137">
        <v>0</v>
      </c>
      <c r="BB60" s="137">
        <v>0</v>
      </c>
      <c r="BC60" s="137">
        <v>0</v>
      </c>
      <c r="BD60" s="137">
        <v>7.8992307692307691</v>
      </c>
      <c r="BE60" s="137">
        <v>17.261153846153849</v>
      </c>
      <c r="BF60" s="137">
        <v>23.281153846153849</v>
      </c>
      <c r="BG60" s="137">
        <v>0</v>
      </c>
      <c r="BH60" s="137">
        <v>16.456153846153839</v>
      </c>
      <c r="BI60" s="137">
        <v>0</v>
      </c>
      <c r="BJ60" s="137">
        <v>6.5176923076923092</v>
      </c>
      <c r="BK60" s="137">
        <v>14.024999999999999</v>
      </c>
      <c r="BL60" s="137">
        <v>14.133461538461539</v>
      </c>
      <c r="BM60" s="137">
        <v>4.6496153846153856</v>
      </c>
      <c r="BN60" s="137">
        <v>20.474615384615383</v>
      </c>
      <c r="BO60" s="137">
        <v>0.41192307692307684</v>
      </c>
      <c r="BP60" s="137">
        <v>1</v>
      </c>
      <c r="BQ60" s="137">
        <v>0</v>
      </c>
      <c r="BR60" s="137">
        <v>8.5219230769230769</v>
      </c>
      <c r="BS60" s="137">
        <v>0.75269230769230744</v>
      </c>
      <c r="BT60" s="137">
        <v>0</v>
      </c>
      <c r="BU60" s="137">
        <v>0</v>
      </c>
      <c r="BV60" s="137">
        <v>12.629615384615388</v>
      </c>
      <c r="BW60" s="137">
        <v>1.639230769230769</v>
      </c>
      <c r="BX60" s="137">
        <v>6.0238461538461552</v>
      </c>
      <c r="BY60" s="137">
        <v>8.5026923076923051</v>
      </c>
      <c r="BZ60" s="137">
        <v>0</v>
      </c>
      <c r="CA60" s="137">
        <v>0</v>
      </c>
      <c r="CB60" s="137">
        <v>0</v>
      </c>
      <c r="CC60" s="137">
        <v>11.486538461538462</v>
      </c>
      <c r="CD60" s="191" t="s">
        <v>221</v>
      </c>
      <c r="CE60" s="194">
        <f t="shared" ref="CE60:CE70" si="0">SUM(C60:CD60)</f>
        <v>606.51175641025645</v>
      </c>
    </row>
    <row r="61" spans="1:83" ht="12.65" customHeight="1" x14ac:dyDescent="0.3">
      <c r="A61" s="127" t="s">
        <v>235</v>
      </c>
      <c r="B61" s="129"/>
      <c r="C61" s="137">
        <v>971999</v>
      </c>
      <c r="D61" s="137">
        <v>0</v>
      </c>
      <c r="E61" s="137">
        <v>2990380</v>
      </c>
      <c r="F61" s="137">
        <v>0</v>
      </c>
      <c r="G61" s="137">
        <v>0</v>
      </c>
      <c r="H61" s="137">
        <v>0</v>
      </c>
      <c r="I61" s="137">
        <v>0</v>
      </c>
      <c r="J61" s="137">
        <v>0</v>
      </c>
      <c r="K61" s="137">
        <v>0</v>
      </c>
      <c r="L61" s="137">
        <v>78</v>
      </c>
      <c r="M61" s="137">
        <v>0</v>
      </c>
      <c r="N61" s="137">
        <v>2000323</v>
      </c>
      <c r="O61" s="137">
        <v>1136879</v>
      </c>
      <c r="P61" s="137">
        <v>1763663</v>
      </c>
      <c r="Q61" s="137">
        <v>1257</v>
      </c>
      <c r="R61" s="137">
        <v>1208319</v>
      </c>
      <c r="S61" s="137">
        <v>140124</v>
      </c>
      <c r="T61" s="137">
        <v>0</v>
      </c>
      <c r="U61" s="137">
        <v>1709739</v>
      </c>
      <c r="V61" s="137">
        <v>0</v>
      </c>
      <c r="W61" s="137">
        <v>200996</v>
      </c>
      <c r="X61" s="137">
        <v>106080</v>
      </c>
      <c r="Y61" s="137">
        <v>1674308</v>
      </c>
      <c r="Z61" s="137">
        <v>0</v>
      </c>
      <c r="AA61" s="137">
        <v>91358</v>
      </c>
      <c r="AB61" s="137">
        <v>1444377</v>
      </c>
      <c r="AC61" s="137">
        <v>699014</v>
      </c>
      <c r="AD61" s="137">
        <v>0</v>
      </c>
      <c r="AE61" s="137">
        <v>2692681</v>
      </c>
      <c r="AF61" s="137">
        <v>0</v>
      </c>
      <c r="AG61" s="137">
        <v>4482130</v>
      </c>
      <c r="AH61" s="137">
        <v>0</v>
      </c>
      <c r="AI61" s="137">
        <v>3407787</v>
      </c>
      <c r="AJ61" s="137">
        <v>19130395</v>
      </c>
      <c r="AK61" s="137">
        <v>0</v>
      </c>
      <c r="AL61" s="137">
        <v>0</v>
      </c>
      <c r="AM61" s="137">
        <v>0</v>
      </c>
      <c r="AN61" s="137">
        <v>0</v>
      </c>
      <c r="AO61" s="137">
        <v>0</v>
      </c>
      <c r="AP61" s="137">
        <v>0</v>
      </c>
      <c r="AQ61" s="137">
        <v>0</v>
      </c>
      <c r="AR61" s="137">
        <v>3012236</v>
      </c>
      <c r="AS61" s="137">
        <v>0</v>
      </c>
      <c r="AT61" s="137">
        <v>0</v>
      </c>
      <c r="AU61" s="137">
        <v>0</v>
      </c>
      <c r="AV61" s="137">
        <v>1546456</v>
      </c>
      <c r="AW61" s="137">
        <v>0</v>
      </c>
      <c r="AX61" s="137">
        <v>0</v>
      </c>
      <c r="AY61" s="137">
        <v>784265</v>
      </c>
      <c r="AZ61" s="137">
        <v>0</v>
      </c>
      <c r="BA61" s="137">
        <v>0</v>
      </c>
      <c r="BB61" s="137">
        <v>0</v>
      </c>
      <c r="BC61" s="137">
        <v>0</v>
      </c>
      <c r="BD61" s="137">
        <v>490643</v>
      </c>
      <c r="BE61" s="137">
        <v>1186674</v>
      </c>
      <c r="BF61" s="137">
        <v>999364</v>
      </c>
      <c r="BG61" s="137">
        <v>0</v>
      </c>
      <c r="BH61" s="137">
        <v>1453492</v>
      </c>
      <c r="BI61" s="137">
        <v>0</v>
      </c>
      <c r="BJ61" s="137">
        <v>726309</v>
      </c>
      <c r="BK61" s="137">
        <v>921558</v>
      </c>
      <c r="BL61" s="137">
        <v>657098</v>
      </c>
      <c r="BM61" s="137">
        <v>310547</v>
      </c>
      <c r="BN61" s="137">
        <v>2086880</v>
      </c>
      <c r="BO61" s="137">
        <v>35241</v>
      </c>
      <c r="BP61" s="137">
        <v>100207</v>
      </c>
      <c r="BQ61" s="137">
        <v>0</v>
      </c>
      <c r="BR61" s="137">
        <v>818831</v>
      </c>
      <c r="BS61" s="137">
        <v>82931</v>
      </c>
      <c r="BT61" s="137">
        <v>0</v>
      </c>
      <c r="BU61" s="137">
        <v>0</v>
      </c>
      <c r="BV61" s="137">
        <v>648675</v>
      </c>
      <c r="BW61" s="137">
        <v>548179</v>
      </c>
      <c r="BX61" s="137">
        <v>528564</v>
      </c>
      <c r="BY61" s="137">
        <v>1116417</v>
      </c>
      <c r="BZ61" s="137">
        <v>0</v>
      </c>
      <c r="CA61" s="137">
        <v>0</v>
      </c>
      <c r="CB61" s="137">
        <v>18532</v>
      </c>
      <c r="CC61" s="137">
        <v>1438406</v>
      </c>
      <c r="CD61" s="191" t="s">
        <v>221</v>
      </c>
      <c r="CE61" s="129">
        <f t="shared" si="0"/>
        <v>65363392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219359</v>
      </c>
      <c r="D62" s="129">
        <f t="shared" si="1"/>
        <v>0</v>
      </c>
      <c r="E62" s="129">
        <f t="shared" si="1"/>
        <v>674864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18</v>
      </c>
      <c r="M62" s="129">
        <f t="shared" si="1"/>
        <v>0</v>
      </c>
      <c r="N62" s="129">
        <f t="shared" si="1"/>
        <v>451429</v>
      </c>
      <c r="O62" s="129">
        <f t="shared" si="1"/>
        <v>256569</v>
      </c>
      <c r="P62" s="129">
        <f t="shared" si="1"/>
        <v>398020</v>
      </c>
      <c r="Q62" s="129">
        <f t="shared" si="1"/>
        <v>284</v>
      </c>
      <c r="R62" s="129">
        <f t="shared" si="1"/>
        <v>272691</v>
      </c>
      <c r="S62" s="129">
        <f t="shared" si="1"/>
        <v>31623</v>
      </c>
      <c r="T62" s="129">
        <f t="shared" si="1"/>
        <v>0</v>
      </c>
      <c r="U62" s="129">
        <f t="shared" si="1"/>
        <v>385851</v>
      </c>
      <c r="V62" s="129">
        <f t="shared" si="1"/>
        <v>0</v>
      </c>
      <c r="W62" s="129">
        <f t="shared" si="1"/>
        <v>45360</v>
      </c>
      <c r="X62" s="129">
        <f t="shared" si="1"/>
        <v>23940</v>
      </c>
      <c r="Y62" s="129">
        <f t="shared" si="1"/>
        <v>377855</v>
      </c>
      <c r="Z62" s="129">
        <f t="shared" si="1"/>
        <v>0</v>
      </c>
      <c r="AA62" s="129">
        <f t="shared" si="1"/>
        <v>20618</v>
      </c>
      <c r="AB62" s="129">
        <f t="shared" si="1"/>
        <v>325964</v>
      </c>
      <c r="AC62" s="129">
        <f t="shared" si="1"/>
        <v>157752</v>
      </c>
      <c r="AD62" s="129">
        <f t="shared" si="1"/>
        <v>0</v>
      </c>
      <c r="AE62" s="129">
        <f t="shared" si="1"/>
        <v>607680</v>
      </c>
      <c r="AF62" s="129">
        <f t="shared" si="1"/>
        <v>0</v>
      </c>
      <c r="AG62" s="129">
        <f t="shared" si="1"/>
        <v>1011519</v>
      </c>
      <c r="AH62" s="129">
        <f t="shared" si="1"/>
        <v>0</v>
      </c>
      <c r="AI62" s="129">
        <f t="shared" si="1"/>
        <v>769063</v>
      </c>
      <c r="AJ62" s="129">
        <f t="shared" si="1"/>
        <v>4317314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679796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349001</v>
      </c>
      <c r="AW62" s="129">
        <f t="shared" si="1"/>
        <v>0</v>
      </c>
      <c r="AX62" s="129">
        <f t="shared" si="1"/>
        <v>0</v>
      </c>
      <c r="AY62" s="129">
        <f>ROUND(AY47+AY48,0)</f>
        <v>176992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110727</v>
      </c>
      <c r="BE62" s="129">
        <f t="shared" si="1"/>
        <v>267807</v>
      </c>
      <c r="BF62" s="129">
        <f t="shared" si="1"/>
        <v>225535</v>
      </c>
      <c r="BG62" s="129">
        <f t="shared" si="1"/>
        <v>0</v>
      </c>
      <c r="BH62" s="129">
        <f t="shared" si="1"/>
        <v>328022</v>
      </c>
      <c r="BI62" s="129">
        <f t="shared" si="1"/>
        <v>0</v>
      </c>
      <c r="BJ62" s="129">
        <f t="shared" si="1"/>
        <v>163912</v>
      </c>
      <c r="BK62" s="129">
        <f t="shared" si="1"/>
        <v>207976</v>
      </c>
      <c r="BL62" s="129">
        <f t="shared" si="1"/>
        <v>148293</v>
      </c>
      <c r="BM62" s="129">
        <f t="shared" si="1"/>
        <v>70084</v>
      </c>
      <c r="BN62" s="129">
        <f t="shared" si="1"/>
        <v>470963</v>
      </c>
      <c r="BO62" s="129">
        <f t="shared" ref="BO62:CC62" si="2">ROUND(BO47+BO48,0)</f>
        <v>7953</v>
      </c>
      <c r="BP62" s="129">
        <f t="shared" si="2"/>
        <v>22615</v>
      </c>
      <c r="BQ62" s="129">
        <f t="shared" si="2"/>
        <v>0</v>
      </c>
      <c r="BR62" s="129">
        <f t="shared" si="2"/>
        <v>184792</v>
      </c>
      <c r="BS62" s="129">
        <f t="shared" si="2"/>
        <v>18716</v>
      </c>
      <c r="BT62" s="129">
        <f t="shared" si="2"/>
        <v>0</v>
      </c>
      <c r="BU62" s="129">
        <f t="shared" si="2"/>
        <v>0</v>
      </c>
      <c r="BV62" s="129">
        <f t="shared" si="2"/>
        <v>146392</v>
      </c>
      <c r="BW62" s="129">
        <f t="shared" si="2"/>
        <v>123712</v>
      </c>
      <c r="BX62" s="129">
        <f t="shared" si="2"/>
        <v>119285</v>
      </c>
      <c r="BY62" s="129">
        <f t="shared" si="2"/>
        <v>251951</v>
      </c>
      <c r="BZ62" s="129">
        <f t="shared" si="2"/>
        <v>0</v>
      </c>
      <c r="CA62" s="129">
        <f t="shared" si="2"/>
        <v>0</v>
      </c>
      <c r="CB62" s="129">
        <f t="shared" si="2"/>
        <v>4182</v>
      </c>
      <c r="CC62" s="129">
        <f t="shared" si="2"/>
        <v>324617</v>
      </c>
      <c r="CD62" s="191" t="s">
        <v>221</v>
      </c>
      <c r="CE62" s="129">
        <f t="shared" si="0"/>
        <v>14751096</v>
      </c>
    </row>
    <row r="63" spans="1:83" ht="12.65" customHeight="1" x14ac:dyDescent="0.3">
      <c r="A63" s="127" t="s">
        <v>236</v>
      </c>
      <c r="B63" s="129"/>
      <c r="C63" s="137">
        <v>17502</v>
      </c>
      <c r="D63" s="137">
        <v>0</v>
      </c>
      <c r="E63" s="137">
        <v>76305</v>
      </c>
      <c r="F63" s="138">
        <v>0</v>
      </c>
      <c r="G63" s="137">
        <v>0</v>
      </c>
      <c r="H63" s="137">
        <v>0</v>
      </c>
      <c r="I63" s="138">
        <v>0</v>
      </c>
      <c r="J63" s="138">
        <v>0</v>
      </c>
      <c r="K63" s="138">
        <v>0</v>
      </c>
      <c r="L63" s="138">
        <v>0</v>
      </c>
      <c r="M63" s="137">
        <v>0</v>
      </c>
      <c r="N63" s="137">
        <v>0</v>
      </c>
      <c r="O63" s="137">
        <v>0</v>
      </c>
      <c r="P63" s="138">
        <v>40517</v>
      </c>
      <c r="Q63" s="138">
        <v>0</v>
      </c>
      <c r="R63" s="138">
        <v>0</v>
      </c>
      <c r="S63" s="138">
        <v>28110</v>
      </c>
      <c r="T63" s="138">
        <v>0</v>
      </c>
      <c r="U63" s="138">
        <v>34825</v>
      </c>
      <c r="V63" s="138">
        <v>0</v>
      </c>
      <c r="W63" s="138">
        <v>0</v>
      </c>
      <c r="X63" s="138">
        <v>0</v>
      </c>
      <c r="Y63" s="138">
        <v>35200</v>
      </c>
      <c r="Z63" s="138">
        <v>0</v>
      </c>
      <c r="AA63" s="138">
        <v>0</v>
      </c>
      <c r="AB63" s="138">
        <v>690669</v>
      </c>
      <c r="AC63" s="138">
        <v>64451</v>
      </c>
      <c r="AD63" s="138">
        <v>0</v>
      </c>
      <c r="AE63" s="138">
        <v>91966</v>
      </c>
      <c r="AF63" s="138">
        <v>0</v>
      </c>
      <c r="AG63" s="138">
        <v>123703</v>
      </c>
      <c r="AH63" s="138">
        <v>0</v>
      </c>
      <c r="AI63" s="138">
        <v>0</v>
      </c>
      <c r="AJ63" s="138">
        <v>1232723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-40000</v>
      </c>
      <c r="AS63" s="138">
        <v>0</v>
      </c>
      <c r="AT63" s="138">
        <v>0</v>
      </c>
      <c r="AU63" s="138">
        <v>0</v>
      </c>
      <c r="AV63" s="138">
        <v>337523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3303</v>
      </c>
      <c r="BF63" s="138">
        <v>0</v>
      </c>
      <c r="BG63" s="138">
        <v>0</v>
      </c>
      <c r="BH63" s="138">
        <v>0</v>
      </c>
      <c r="BI63" s="138">
        <v>0</v>
      </c>
      <c r="BJ63" s="138">
        <v>104853</v>
      </c>
      <c r="BK63" s="138">
        <v>14223</v>
      </c>
      <c r="BL63" s="138">
        <v>0</v>
      </c>
      <c r="BM63" s="138">
        <v>0</v>
      </c>
      <c r="BN63" s="138">
        <v>79651</v>
      </c>
      <c r="BO63" s="138">
        <v>0</v>
      </c>
      <c r="BP63" s="138">
        <v>0</v>
      </c>
      <c r="BQ63" s="138">
        <v>0</v>
      </c>
      <c r="BR63" s="138">
        <v>24175</v>
      </c>
      <c r="BS63" s="138">
        <v>0</v>
      </c>
      <c r="BT63" s="138">
        <v>0</v>
      </c>
      <c r="BU63" s="138">
        <v>0</v>
      </c>
      <c r="BV63" s="138">
        <v>0</v>
      </c>
      <c r="BW63" s="138">
        <v>3865</v>
      </c>
      <c r="BX63" s="138">
        <v>0</v>
      </c>
      <c r="BY63" s="138">
        <v>65</v>
      </c>
      <c r="BZ63" s="138">
        <v>0</v>
      </c>
      <c r="CA63" s="138">
        <v>0</v>
      </c>
      <c r="CB63" s="138">
        <v>0</v>
      </c>
      <c r="CC63" s="138">
        <v>70674</v>
      </c>
      <c r="CD63" s="191" t="s">
        <v>221</v>
      </c>
      <c r="CE63" s="129">
        <f t="shared" si="0"/>
        <v>3034303</v>
      </c>
    </row>
    <row r="64" spans="1:83" ht="12.65" customHeight="1" x14ac:dyDescent="0.3">
      <c r="A64" s="127" t="s">
        <v>237</v>
      </c>
      <c r="B64" s="129"/>
      <c r="C64" s="137">
        <v>65686</v>
      </c>
      <c r="D64" s="137">
        <v>0</v>
      </c>
      <c r="E64" s="138">
        <v>213749</v>
      </c>
      <c r="F64" s="138">
        <v>0</v>
      </c>
      <c r="G64" s="137">
        <v>0</v>
      </c>
      <c r="H64" s="137">
        <v>0</v>
      </c>
      <c r="I64" s="138">
        <v>0</v>
      </c>
      <c r="J64" s="138">
        <v>0</v>
      </c>
      <c r="K64" s="138">
        <v>0</v>
      </c>
      <c r="L64" s="138">
        <v>0</v>
      </c>
      <c r="M64" s="137">
        <v>0</v>
      </c>
      <c r="N64" s="137">
        <v>7507</v>
      </c>
      <c r="O64" s="137">
        <v>44115</v>
      </c>
      <c r="P64" s="138">
        <v>1253780</v>
      </c>
      <c r="Q64" s="138">
        <v>12085</v>
      </c>
      <c r="R64" s="138">
        <v>121740</v>
      </c>
      <c r="S64" s="138">
        <v>1561315</v>
      </c>
      <c r="T64" s="138">
        <v>0</v>
      </c>
      <c r="U64" s="138">
        <v>1289699</v>
      </c>
      <c r="V64" s="138">
        <v>0</v>
      </c>
      <c r="W64" s="138">
        <v>30225</v>
      </c>
      <c r="X64" s="138">
        <v>111642</v>
      </c>
      <c r="Y64" s="138">
        <v>71334</v>
      </c>
      <c r="Z64" s="138">
        <v>0</v>
      </c>
      <c r="AA64" s="138">
        <v>113413</v>
      </c>
      <c r="AB64" s="138">
        <v>14600179</v>
      </c>
      <c r="AC64" s="138">
        <v>99259</v>
      </c>
      <c r="AD64" s="138">
        <v>0</v>
      </c>
      <c r="AE64" s="138">
        <v>58130</v>
      </c>
      <c r="AF64" s="138">
        <v>0</v>
      </c>
      <c r="AG64" s="138">
        <v>276913</v>
      </c>
      <c r="AH64" s="138">
        <v>0</v>
      </c>
      <c r="AI64" s="138">
        <v>358310</v>
      </c>
      <c r="AJ64" s="138">
        <v>1630887</v>
      </c>
      <c r="AK64" s="138">
        <v>0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>
        <v>0</v>
      </c>
      <c r="AR64" s="138">
        <v>135613</v>
      </c>
      <c r="AS64" s="138">
        <v>0</v>
      </c>
      <c r="AT64" s="138">
        <v>0</v>
      </c>
      <c r="AU64" s="138">
        <v>0</v>
      </c>
      <c r="AV64" s="138">
        <v>82235</v>
      </c>
      <c r="AW64" s="138">
        <v>0</v>
      </c>
      <c r="AX64" s="138">
        <v>0</v>
      </c>
      <c r="AY64" s="138">
        <v>348048</v>
      </c>
      <c r="AZ64" s="138">
        <v>0</v>
      </c>
      <c r="BA64" s="138">
        <v>34743</v>
      </c>
      <c r="BB64" s="138">
        <v>0</v>
      </c>
      <c r="BC64" s="138">
        <v>0</v>
      </c>
      <c r="BD64" s="138">
        <v>66954</v>
      </c>
      <c r="BE64" s="138">
        <v>193629</v>
      </c>
      <c r="BF64" s="138">
        <v>191368</v>
      </c>
      <c r="BG64" s="138">
        <v>42791</v>
      </c>
      <c r="BH64" s="138">
        <v>618718</v>
      </c>
      <c r="BI64" s="138">
        <v>0</v>
      </c>
      <c r="BJ64" s="138">
        <v>8332</v>
      </c>
      <c r="BK64" s="138">
        <v>12471</v>
      </c>
      <c r="BL64" s="138">
        <v>15478</v>
      </c>
      <c r="BM64" s="138">
        <v>3652</v>
      </c>
      <c r="BN64" s="138">
        <v>943179</v>
      </c>
      <c r="BO64" s="138">
        <v>36929</v>
      </c>
      <c r="BP64" s="138">
        <v>4997</v>
      </c>
      <c r="BQ64" s="138">
        <v>0</v>
      </c>
      <c r="BR64" s="138">
        <v>14552</v>
      </c>
      <c r="BS64" s="138">
        <v>1612</v>
      </c>
      <c r="BT64" s="138">
        <v>0</v>
      </c>
      <c r="BU64" s="138">
        <v>0</v>
      </c>
      <c r="BV64" s="138">
        <v>10422</v>
      </c>
      <c r="BW64" s="138">
        <v>10425</v>
      </c>
      <c r="BX64" s="138">
        <v>3707</v>
      </c>
      <c r="BY64" s="138">
        <v>20940</v>
      </c>
      <c r="BZ64" s="138">
        <v>0</v>
      </c>
      <c r="CA64" s="138">
        <v>0</v>
      </c>
      <c r="CB64" s="138">
        <v>564</v>
      </c>
      <c r="CC64" s="138">
        <v>96724</v>
      </c>
      <c r="CD64" s="191" t="s">
        <v>221</v>
      </c>
      <c r="CE64" s="129">
        <f t="shared" si="0"/>
        <v>24818051</v>
      </c>
    </row>
    <row r="65" spans="1:84" ht="12.65" customHeight="1" x14ac:dyDescent="0.3">
      <c r="A65" s="127" t="s">
        <v>238</v>
      </c>
      <c r="B65" s="129"/>
      <c r="C65" s="137">
        <v>0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138">
        <v>0</v>
      </c>
      <c r="J65" s="137">
        <v>0</v>
      </c>
      <c r="K65" s="138">
        <v>0</v>
      </c>
      <c r="L65" s="138">
        <v>0</v>
      </c>
      <c r="M65" s="137">
        <v>0</v>
      </c>
      <c r="N65" s="137">
        <v>0</v>
      </c>
      <c r="O65" s="137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7966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8250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135607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4650</v>
      </c>
      <c r="AS65" s="138">
        <v>0</v>
      </c>
      <c r="AT65" s="138">
        <v>0</v>
      </c>
      <c r="AU65" s="138">
        <v>0</v>
      </c>
      <c r="AV65" s="138">
        <v>35</v>
      </c>
      <c r="AW65" s="138">
        <v>0</v>
      </c>
      <c r="AX65" s="138">
        <v>0</v>
      </c>
      <c r="AY65" s="138">
        <v>309</v>
      </c>
      <c r="AZ65" s="138">
        <v>0</v>
      </c>
      <c r="BA65" s="138">
        <v>0</v>
      </c>
      <c r="BB65" s="138">
        <v>0</v>
      </c>
      <c r="BC65" s="138">
        <v>0</v>
      </c>
      <c r="BD65" s="138">
        <v>2658</v>
      </c>
      <c r="BE65" s="138">
        <v>750653</v>
      </c>
      <c r="BF65" s="138">
        <v>0</v>
      </c>
      <c r="BG65" s="138">
        <v>255798</v>
      </c>
      <c r="BH65" s="138">
        <v>772</v>
      </c>
      <c r="BI65" s="138">
        <v>0</v>
      </c>
      <c r="BJ65" s="138">
        <v>417</v>
      </c>
      <c r="BK65" s="138">
        <v>5158</v>
      </c>
      <c r="BL65" s="138">
        <v>0</v>
      </c>
      <c r="BM65" s="138">
        <v>0</v>
      </c>
      <c r="BN65" s="138">
        <v>5622</v>
      </c>
      <c r="BO65" s="138">
        <v>0</v>
      </c>
      <c r="BP65" s="138">
        <v>0</v>
      </c>
      <c r="BQ65" s="138">
        <v>0</v>
      </c>
      <c r="BR65" s="138">
        <v>4247</v>
      </c>
      <c r="BS65" s="138">
        <v>0</v>
      </c>
      <c r="BT65" s="138">
        <v>0</v>
      </c>
      <c r="BU65" s="138">
        <v>0</v>
      </c>
      <c r="BV65" s="138">
        <v>11300</v>
      </c>
      <c r="BW65" s="138">
        <v>33</v>
      </c>
      <c r="BX65" s="138">
        <v>0</v>
      </c>
      <c r="BY65" s="138">
        <v>2239</v>
      </c>
      <c r="BZ65" s="138">
        <v>0</v>
      </c>
      <c r="CA65" s="138">
        <v>0</v>
      </c>
      <c r="CB65" s="138">
        <v>3317</v>
      </c>
      <c r="CC65" s="138">
        <v>2655</v>
      </c>
      <c r="CD65" s="191" t="s">
        <v>221</v>
      </c>
      <c r="CE65" s="129">
        <f t="shared" si="0"/>
        <v>1201686</v>
      </c>
    </row>
    <row r="66" spans="1:84" ht="12.65" customHeight="1" x14ac:dyDescent="0.3">
      <c r="A66" s="127" t="s">
        <v>239</v>
      </c>
      <c r="B66" s="129"/>
      <c r="C66" s="137">
        <v>4210</v>
      </c>
      <c r="D66" s="137">
        <v>0</v>
      </c>
      <c r="E66" s="137">
        <v>8827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8">
        <v>0</v>
      </c>
      <c r="L66" s="138">
        <v>0</v>
      </c>
      <c r="M66" s="137">
        <v>0</v>
      </c>
      <c r="N66" s="137">
        <v>0</v>
      </c>
      <c r="O66" s="138">
        <v>2611</v>
      </c>
      <c r="P66" s="138">
        <v>91524</v>
      </c>
      <c r="Q66" s="138">
        <v>0</v>
      </c>
      <c r="R66" s="138">
        <v>8014</v>
      </c>
      <c r="S66" s="137">
        <v>0</v>
      </c>
      <c r="T66" s="137">
        <v>0</v>
      </c>
      <c r="U66" s="138">
        <v>2533888</v>
      </c>
      <c r="V66" s="138">
        <v>0</v>
      </c>
      <c r="W66" s="138">
        <v>0</v>
      </c>
      <c r="X66" s="138">
        <v>0</v>
      </c>
      <c r="Y66" s="138">
        <v>278515</v>
      </c>
      <c r="Z66" s="138">
        <v>0</v>
      </c>
      <c r="AA66" s="138">
        <v>39087</v>
      </c>
      <c r="AB66" s="138">
        <v>192950</v>
      </c>
      <c r="AC66" s="138">
        <v>19077</v>
      </c>
      <c r="AD66" s="138">
        <v>0</v>
      </c>
      <c r="AE66" s="138">
        <v>760</v>
      </c>
      <c r="AF66" s="138">
        <v>0</v>
      </c>
      <c r="AG66" s="138">
        <v>104765</v>
      </c>
      <c r="AH66" s="138">
        <v>0</v>
      </c>
      <c r="AI66" s="138">
        <v>83036</v>
      </c>
      <c r="AJ66" s="138">
        <v>873016</v>
      </c>
      <c r="AK66" s="138">
        <v>0</v>
      </c>
      <c r="AL66" s="138">
        <v>0</v>
      </c>
      <c r="AM66" s="138">
        <v>0</v>
      </c>
      <c r="AN66" s="138">
        <v>0</v>
      </c>
      <c r="AO66" s="138">
        <v>0</v>
      </c>
      <c r="AP66" s="138">
        <v>0</v>
      </c>
      <c r="AQ66" s="138">
        <v>0</v>
      </c>
      <c r="AR66" s="138">
        <v>269649</v>
      </c>
      <c r="AS66" s="138">
        <v>0</v>
      </c>
      <c r="AT66" s="138">
        <v>0</v>
      </c>
      <c r="AU66" s="138">
        <v>0</v>
      </c>
      <c r="AV66" s="138">
        <v>4456</v>
      </c>
      <c r="AW66" s="138">
        <v>0</v>
      </c>
      <c r="AX66" s="138">
        <v>0</v>
      </c>
      <c r="AY66" s="138">
        <v>24247</v>
      </c>
      <c r="AZ66" s="138">
        <v>0</v>
      </c>
      <c r="BA66" s="138">
        <v>281372</v>
      </c>
      <c r="BB66" s="138">
        <v>0</v>
      </c>
      <c r="BC66" s="138">
        <v>0</v>
      </c>
      <c r="BD66" s="138">
        <v>453</v>
      </c>
      <c r="BE66" s="138">
        <v>320634</v>
      </c>
      <c r="BF66" s="138">
        <v>32086</v>
      </c>
      <c r="BG66" s="138">
        <v>-12067</v>
      </c>
      <c r="BH66" s="138">
        <v>1681661</v>
      </c>
      <c r="BI66" s="138">
        <v>0</v>
      </c>
      <c r="BJ66" s="138">
        <v>70881</v>
      </c>
      <c r="BK66" s="138">
        <v>488393</v>
      </c>
      <c r="BL66" s="138">
        <v>25277</v>
      </c>
      <c r="BM66" s="138">
        <v>32486</v>
      </c>
      <c r="BN66" s="138">
        <v>101993</v>
      </c>
      <c r="BO66" s="138">
        <v>4908</v>
      </c>
      <c r="BP66" s="138">
        <v>87607</v>
      </c>
      <c r="BQ66" s="138">
        <v>0</v>
      </c>
      <c r="BR66" s="138">
        <v>48099</v>
      </c>
      <c r="BS66" s="138">
        <v>44</v>
      </c>
      <c r="BT66" s="138">
        <v>0</v>
      </c>
      <c r="BU66" s="138">
        <v>0</v>
      </c>
      <c r="BV66" s="138">
        <v>48777</v>
      </c>
      <c r="BW66" s="138">
        <v>58313</v>
      </c>
      <c r="BX66" s="138">
        <v>3548</v>
      </c>
      <c r="BY66" s="138">
        <v>147023</v>
      </c>
      <c r="BZ66" s="138">
        <v>0</v>
      </c>
      <c r="CA66" s="138">
        <v>0</v>
      </c>
      <c r="CB66" s="138">
        <v>3203</v>
      </c>
      <c r="CC66" s="138">
        <v>367450</v>
      </c>
      <c r="CD66" s="191" t="s">
        <v>221</v>
      </c>
      <c r="CE66" s="129">
        <f t="shared" si="0"/>
        <v>8330773</v>
      </c>
    </row>
    <row r="67" spans="1:84" ht="12.65" customHeight="1" x14ac:dyDescent="0.3">
      <c r="A67" s="127" t="s">
        <v>6</v>
      </c>
      <c r="B67" s="129"/>
      <c r="C67" s="129">
        <f>ROUND(C51+C52,0)</f>
        <v>88466</v>
      </c>
      <c r="D67" s="129">
        <f>ROUND(D51+D52,0)</f>
        <v>0</v>
      </c>
      <c r="E67" s="129">
        <f t="shared" ref="E67:BP67" si="3">ROUND(E51+E52,0)</f>
        <v>189074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2934</v>
      </c>
      <c r="K67" s="129">
        <f t="shared" si="3"/>
        <v>0</v>
      </c>
      <c r="L67" s="129">
        <f t="shared" si="3"/>
        <v>74378</v>
      </c>
      <c r="M67" s="129">
        <f t="shared" si="3"/>
        <v>0</v>
      </c>
      <c r="N67" s="129">
        <f t="shared" si="3"/>
        <v>9849</v>
      </c>
      <c r="O67" s="129">
        <f t="shared" si="3"/>
        <v>99013</v>
      </c>
      <c r="P67" s="129">
        <f t="shared" si="3"/>
        <v>331693</v>
      </c>
      <c r="Q67" s="129">
        <f t="shared" si="3"/>
        <v>19986</v>
      </c>
      <c r="R67" s="129">
        <f t="shared" si="3"/>
        <v>4619</v>
      </c>
      <c r="S67" s="129">
        <f t="shared" si="3"/>
        <v>25338</v>
      </c>
      <c r="T67" s="129">
        <f t="shared" si="3"/>
        <v>0</v>
      </c>
      <c r="U67" s="129">
        <f t="shared" si="3"/>
        <v>133154</v>
      </c>
      <c r="V67" s="129">
        <f t="shared" si="3"/>
        <v>0</v>
      </c>
      <c r="W67" s="129">
        <f t="shared" si="3"/>
        <v>37602</v>
      </c>
      <c r="X67" s="129">
        <f t="shared" si="3"/>
        <v>18128</v>
      </c>
      <c r="Y67" s="129">
        <f t="shared" si="3"/>
        <v>156434</v>
      </c>
      <c r="Z67" s="129">
        <f t="shared" si="3"/>
        <v>0</v>
      </c>
      <c r="AA67" s="129">
        <f t="shared" si="3"/>
        <v>12141</v>
      </c>
      <c r="AB67" s="129">
        <f t="shared" si="3"/>
        <v>84254</v>
      </c>
      <c r="AC67" s="129">
        <f t="shared" si="3"/>
        <v>62617</v>
      </c>
      <c r="AD67" s="129">
        <f t="shared" si="3"/>
        <v>0</v>
      </c>
      <c r="AE67" s="129">
        <f t="shared" si="3"/>
        <v>220325</v>
      </c>
      <c r="AF67" s="129">
        <f t="shared" si="3"/>
        <v>0</v>
      </c>
      <c r="AG67" s="129">
        <f t="shared" si="3"/>
        <v>215642</v>
      </c>
      <c r="AH67" s="129">
        <f t="shared" si="3"/>
        <v>0</v>
      </c>
      <c r="AI67" s="129">
        <f t="shared" si="3"/>
        <v>216365</v>
      </c>
      <c r="AJ67" s="129">
        <f t="shared" si="3"/>
        <v>1521857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126918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157242</v>
      </c>
      <c r="AW67" s="129">
        <f t="shared" si="3"/>
        <v>0</v>
      </c>
      <c r="AX67" s="129">
        <f t="shared" si="3"/>
        <v>0</v>
      </c>
      <c r="AY67" s="129">
        <f t="shared" si="3"/>
        <v>132054</v>
      </c>
      <c r="AZ67" s="129">
        <f>ROUND(AZ51+AZ52,0)</f>
        <v>0</v>
      </c>
      <c r="BA67" s="129">
        <f>ROUND(BA51+BA52,0)</f>
        <v>0</v>
      </c>
      <c r="BB67" s="129">
        <f t="shared" si="3"/>
        <v>2629</v>
      </c>
      <c r="BC67" s="129">
        <f t="shared" si="3"/>
        <v>0</v>
      </c>
      <c r="BD67" s="129">
        <f t="shared" si="3"/>
        <v>82688</v>
      </c>
      <c r="BE67" s="129">
        <f t="shared" si="3"/>
        <v>406596</v>
      </c>
      <c r="BF67" s="129">
        <f t="shared" si="3"/>
        <v>105927</v>
      </c>
      <c r="BG67" s="129">
        <f t="shared" si="3"/>
        <v>0</v>
      </c>
      <c r="BH67" s="129">
        <f t="shared" si="3"/>
        <v>141379</v>
      </c>
      <c r="BI67" s="129">
        <f t="shared" si="3"/>
        <v>0</v>
      </c>
      <c r="BJ67" s="129">
        <f t="shared" si="3"/>
        <v>36808</v>
      </c>
      <c r="BK67" s="129">
        <f t="shared" si="3"/>
        <v>128933</v>
      </c>
      <c r="BL67" s="129">
        <f t="shared" si="3"/>
        <v>67277</v>
      </c>
      <c r="BM67" s="129">
        <f t="shared" si="3"/>
        <v>12430</v>
      </c>
      <c r="BN67" s="129">
        <f t="shared" si="3"/>
        <v>382592</v>
      </c>
      <c r="BO67" s="129">
        <f t="shared" si="3"/>
        <v>8252</v>
      </c>
      <c r="BP67" s="129">
        <f t="shared" si="3"/>
        <v>9811</v>
      </c>
      <c r="BQ67" s="129">
        <f t="shared" ref="BQ67:CC67" si="4">ROUND(BQ51+BQ52,0)</f>
        <v>0</v>
      </c>
      <c r="BR67" s="129">
        <f t="shared" si="4"/>
        <v>54297</v>
      </c>
      <c r="BS67" s="129">
        <f t="shared" si="4"/>
        <v>18060</v>
      </c>
      <c r="BT67" s="129">
        <f t="shared" si="4"/>
        <v>0</v>
      </c>
      <c r="BU67" s="129">
        <f t="shared" si="4"/>
        <v>0</v>
      </c>
      <c r="BV67" s="129">
        <f t="shared" si="4"/>
        <v>28799</v>
      </c>
      <c r="BW67" s="129">
        <f t="shared" si="4"/>
        <v>13279</v>
      </c>
      <c r="BX67" s="129">
        <f t="shared" si="4"/>
        <v>12234</v>
      </c>
      <c r="BY67" s="129">
        <f t="shared" si="4"/>
        <v>30742</v>
      </c>
      <c r="BZ67" s="129">
        <f t="shared" si="4"/>
        <v>0</v>
      </c>
      <c r="CA67" s="129">
        <f t="shared" si="4"/>
        <v>0</v>
      </c>
      <c r="CB67" s="129">
        <f t="shared" si="4"/>
        <v>54439</v>
      </c>
      <c r="CC67" s="129">
        <f t="shared" si="4"/>
        <v>117328</v>
      </c>
      <c r="CD67" s="191" t="s">
        <v>221</v>
      </c>
      <c r="CE67" s="129">
        <f t="shared" si="0"/>
        <v>5654583</v>
      </c>
    </row>
    <row r="68" spans="1:84" ht="12.65" customHeight="1" x14ac:dyDescent="0.3">
      <c r="A68" s="127" t="s">
        <v>240</v>
      </c>
      <c r="B68" s="129"/>
      <c r="C68" s="137">
        <v>0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8">
        <v>0</v>
      </c>
      <c r="L68" s="138">
        <v>0</v>
      </c>
      <c r="M68" s="137">
        <v>0</v>
      </c>
      <c r="N68" s="137">
        <v>0</v>
      </c>
      <c r="O68" s="137">
        <v>4095</v>
      </c>
      <c r="P68" s="138">
        <v>126940</v>
      </c>
      <c r="Q68" s="138">
        <v>0</v>
      </c>
      <c r="R68" s="138">
        <v>3193</v>
      </c>
      <c r="S68" s="138">
        <v>0</v>
      </c>
      <c r="T68" s="138">
        <v>0</v>
      </c>
      <c r="U68" s="138">
        <v>214366</v>
      </c>
      <c r="V68" s="138">
        <v>0</v>
      </c>
      <c r="W68" s="138">
        <v>251390</v>
      </c>
      <c r="X68" s="138">
        <v>9614</v>
      </c>
      <c r="Y68" s="138">
        <v>0</v>
      </c>
      <c r="Z68" s="138">
        <v>0</v>
      </c>
      <c r="AA68" s="138">
        <v>0</v>
      </c>
      <c r="AB68" s="138">
        <v>219319</v>
      </c>
      <c r="AC68" s="138">
        <v>28145</v>
      </c>
      <c r="AD68" s="138">
        <v>0</v>
      </c>
      <c r="AE68" s="138">
        <v>0</v>
      </c>
      <c r="AF68" s="138">
        <v>0</v>
      </c>
      <c r="AG68" s="138">
        <v>2172</v>
      </c>
      <c r="AH68" s="138">
        <v>0</v>
      </c>
      <c r="AI68" s="138">
        <v>0</v>
      </c>
      <c r="AJ68" s="138">
        <v>364849</v>
      </c>
      <c r="AK68" s="138">
        <v>0</v>
      </c>
      <c r="AL68" s="138">
        <v>0</v>
      </c>
      <c r="AM68" s="138">
        <v>0</v>
      </c>
      <c r="AN68" s="138">
        <v>0</v>
      </c>
      <c r="AO68" s="138">
        <v>0</v>
      </c>
      <c r="AP68" s="138">
        <v>0</v>
      </c>
      <c r="AQ68" s="138">
        <v>0</v>
      </c>
      <c r="AR68" s="138">
        <v>111607</v>
      </c>
      <c r="AS68" s="138">
        <v>0</v>
      </c>
      <c r="AT68" s="138">
        <v>0</v>
      </c>
      <c r="AU68" s="138">
        <v>0</v>
      </c>
      <c r="AV68" s="138">
        <v>0</v>
      </c>
      <c r="AW68" s="138">
        <v>0</v>
      </c>
      <c r="AX68" s="138">
        <v>0</v>
      </c>
      <c r="AY68" s="138">
        <v>1652</v>
      </c>
      <c r="AZ68" s="138">
        <v>0</v>
      </c>
      <c r="BA68" s="138">
        <v>0</v>
      </c>
      <c r="BB68" s="138">
        <v>0</v>
      </c>
      <c r="BC68" s="138">
        <v>0</v>
      </c>
      <c r="BD68" s="138">
        <v>38731</v>
      </c>
      <c r="BE68" s="138">
        <v>21269</v>
      </c>
      <c r="BF68" s="138">
        <v>0</v>
      </c>
      <c r="BG68" s="138">
        <v>0</v>
      </c>
      <c r="BH68" s="138">
        <v>0</v>
      </c>
      <c r="BI68" s="138">
        <v>0</v>
      </c>
      <c r="BJ68" s="138">
        <v>2923</v>
      </c>
      <c r="BK68" s="138">
        <v>20929</v>
      </c>
      <c r="BL68" s="138">
        <v>0</v>
      </c>
      <c r="BM68" s="138">
        <v>0</v>
      </c>
      <c r="BN68" s="138">
        <v>106037</v>
      </c>
      <c r="BO68" s="138">
        <v>0</v>
      </c>
      <c r="BP68" s="138">
        <v>0</v>
      </c>
      <c r="BQ68" s="138">
        <v>0</v>
      </c>
      <c r="BR68" s="138">
        <v>0</v>
      </c>
      <c r="BS68" s="138">
        <v>0</v>
      </c>
      <c r="BT68" s="138">
        <v>0</v>
      </c>
      <c r="BU68" s="138">
        <v>0</v>
      </c>
      <c r="BV68" s="138">
        <v>20928</v>
      </c>
      <c r="BW68" s="138">
        <v>0</v>
      </c>
      <c r="BX68" s="138">
        <v>0</v>
      </c>
      <c r="BY68" s="138">
        <v>0</v>
      </c>
      <c r="BZ68" s="138">
        <v>0</v>
      </c>
      <c r="CA68" s="138">
        <v>0</v>
      </c>
      <c r="CB68" s="138">
        <v>32927</v>
      </c>
      <c r="CC68" s="138">
        <v>35135</v>
      </c>
      <c r="CD68" s="191" t="s">
        <v>221</v>
      </c>
      <c r="CE68" s="129">
        <f t="shared" si="0"/>
        <v>1616221</v>
      </c>
    </row>
    <row r="69" spans="1:84" ht="12.65" customHeight="1" x14ac:dyDescent="0.3">
      <c r="A69" s="127" t="s">
        <v>241</v>
      </c>
      <c r="B69" s="129"/>
      <c r="C69" s="137">
        <v>2327</v>
      </c>
      <c r="D69" s="137">
        <v>0</v>
      </c>
      <c r="E69" s="138">
        <v>21310</v>
      </c>
      <c r="F69" s="138">
        <v>0</v>
      </c>
      <c r="G69" s="137">
        <v>0</v>
      </c>
      <c r="H69" s="137">
        <v>0</v>
      </c>
      <c r="I69" s="138">
        <v>0</v>
      </c>
      <c r="J69" s="138">
        <v>0</v>
      </c>
      <c r="K69" s="138">
        <v>0</v>
      </c>
      <c r="L69" s="138">
        <v>0</v>
      </c>
      <c r="M69" s="137">
        <v>0</v>
      </c>
      <c r="N69" s="137">
        <v>38379</v>
      </c>
      <c r="O69" s="137">
        <v>18751</v>
      </c>
      <c r="P69" s="138">
        <v>36339</v>
      </c>
      <c r="Q69" s="138">
        <v>0</v>
      </c>
      <c r="R69" s="172">
        <v>27025</v>
      </c>
      <c r="S69" s="138">
        <v>4578</v>
      </c>
      <c r="T69" s="137">
        <v>0</v>
      </c>
      <c r="U69" s="138">
        <v>77292</v>
      </c>
      <c r="V69" s="138">
        <v>0</v>
      </c>
      <c r="W69" s="137">
        <v>110567</v>
      </c>
      <c r="X69" s="138">
        <v>97353</v>
      </c>
      <c r="Y69" s="138">
        <v>215930</v>
      </c>
      <c r="Z69" s="138">
        <v>0</v>
      </c>
      <c r="AA69" s="138">
        <v>247</v>
      </c>
      <c r="AB69" s="138">
        <v>153369</v>
      </c>
      <c r="AC69" s="138">
        <v>14468</v>
      </c>
      <c r="AD69" s="138">
        <v>0</v>
      </c>
      <c r="AE69" s="138">
        <v>28810</v>
      </c>
      <c r="AF69" s="138">
        <v>0</v>
      </c>
      <c r="AG69" s="138">
        <v>40735</v>
      </c>
      <c r="AH69" s="138">
        <v>0</v>
      </c>
      <c r="AI69" s="138">
        <v>31628</v>
      </c>
      <c r="AJ69" s="138">
        <v>165354</v>
      </c>
      <c r="AK69" s="138">
        <v>0</v>
      </c>
      <c r="AL69" s="138">
        <v>0</v>
      </c>
      <c r="AM69" s="138">
        <v>0</v>
      </c>
      <c r="AN69" s="138">
        <v>0</v>
      </c>
      <c r="AO69" s="137">
        <v>0</v>
      </c>
      <c r="AP69" s="138">
        <v>0</v>
      </c>
      <c r="AQ69" s="137">
        <v>0</v>
      </c>
      <c r="AR69" s="137">
        <v>135247</v>
      </c>
      <c r="AS69" s="137">
        <v>0</v>
      </c>
      <c r="AT69" s="137">
        <v>0</v>
      </c>
      <c r="AU69" s="138">
        <v>0</v>
      </c>
      <c r="AV69" s="138">
        <v>18952</v>
      </c>
      <c r="AW69" s="138">
        <v>0</v>
      </c>
      <c r="AX69" s="138">
        <v>0</v>
      </c>
      <c r="AY69" s="138">
        <v>6522</v>
      </c>
      <c r="AZ69" s="138">
        <v>0</v>
      </c>
      <c r="BA69" s="138">
        <v>0</v>
      </c>
      <c r="BB69" s="138">
        <v>0</v>
      </c>
      <c r="BC69" s="138">
        <v>0</v>
      </c>
      <c r="BD69" s="138">
        <v>42311</v>
      </c>
      <c r="BE69" s="138">
        <v>143695</v>
      </c>
      <c r="BF69" s="138">
        <v>2478</v>
      </c>
      <c r="BG69" s="138">
        <v>23004</v>
      </c>
      <c r="BH69" s="172">
        <v>288736</v>
      </c>
      <c r="BI69" s="138">
        <v>0</v>
      </c>
      <c r="BJ69" s="138">
        <v>120967</v>
      </c>
      <c r="BK69" s="138">
        <v>1897</v>
      </c>
      <c r="BL69" s="138">
        <v>506</v>
      </c>
      <c r="BM69" s="138">
        <v>5466</v>
      </c>
      <c r="BN69" s="138">
        <v>93130</v>
      </c>
      <c r="BO69" s="138">
        <v>357</v>
      </c>
      <c r="BP69" s="138">
        <v>141201</v>
      </c>
      <c r="BQ69" s="138">
        <v>0</v>
      </c>
      <c r="BR69" s="138">
        <v>114898</v>
      </c>
      <c r="BS69" s="138">
        <v>0</v>
      </c>
      <c r="BT69" s="138">
        <v>0</v>
      </c>
      <c r="BU69" s="138">
        <v>0</v>
      </c>
      <c r="BV69" s="138">
        <v>997</v>
      </c>
      <c r="BW69" s="138">
        <v>15237</v>
      </c>
      <c r="BX69" s="138">
        <v>874</v>
      </c>
      <c r="BY69" s="138">
        <v>18755</v>
      </c>
      <c r="BZ69" s="138">
        <v>0</v>
      </c>
      <c r="CA69" s="138">
        <v>0</v>
      </c>
      <c r="CB69" s="138">
        <v>0</v>
      </c>
      <c r="CC69" s="138">
        <v>344462</v>
      </c>
      <c r="CD69" s="141"/>
      <c r="CE69" s="129">
        <f t="shared" si="0"/>
        <v>2604154</v>
      </c>
    </row>
    <row r="70" spans="1:84" ht="12.65" customHeight="1" x14ac:dyDescent="0.3">
      <c r="A70" s="127" t="s">
        <v>242</v>
      </c>
      <c r="B70" s="129"/>
      <c r="C70" s="137">
        <v>0</v>
      </c>
      <c r="D70" s="137">
        <v>0</v>
      </c>
      <c r="E70" s="137">
        <v>0</v>
      </c>
      <c r="F70" s="138">
        <v>0</v>
      </c>
      <c r="G70" s="137">
        <v>0</v>
      </c>
      <c r="H70" s="137">
        <v>0</v>
      </c>
      <c r="I70" s="137">
        <v>0</v>
      </c>
      <c r="J70" s="138">
        <v>0</v>
      </c>
      <c r="K70" s="138">
        <v>0</v>
      </c>
      <c r="L70" s="138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R70" s="137">
        <v>0</v>
      </c>
      <c r="S70" s="137">
        <v>0</v>
      </c>
      <c r="T70" s="137">
        <v>0</v>
      </c>
      <c r="U70" s="138">
        <v>0</v>
      </c>
      <c r="V70" s="137">
        <v>0</v>
      </c>
      <c r="W70" s="137">
        <v>0</v>
      </c>
      <c r="X70" s="138">
        <v>0</v>
      </c>
      <c r="Y70" s="138">
        <v>0</v>
      </c>
      <c r="Z70" s="138">
        <v>0</v>
      </c>
      <c r="AA70" s="138">
        <v>0</v>
      </c>
      <c r="AB70" s="138">
        <v>3694223</v>
      </c>
      <c r="AC70" s="138">
        <v>0</v>
      </c>
      <c r="AD70" s="138">
        <v>0</v>
      </c>
      <c r="AE70" s="138">
        <v>0</v>
      </c>
      <c r="AF70" s="138">
        <v>0</v>
      </c>
      <c r="AG70" s="138">
        <v>0</v>
      </c>
      <c r="AH70" s="138">
        <v>0</v>
      </c>
      <c r="AI70" s="138">
        <v>4295</v>
      </c>
      <c r="AJ70" s="138">
        <v>408991</v>
      </c>
      <c r="AK70" s="138">
        <v>0</v>
      </c>
      <c r="AL70" s="138">
        <v>0</v>
      </c>
      <c r="AM70" s="138">
        <v>0</v>
      </c>
      <c r="AN70" s="138">
        <v>0</v>
      </c>
      <c r="AO70" s="138">
        <v>0</v>
      </c>
      <c r="AP70" s="138">
        <v>0</v>
      </c>
      <c r="AQ70" s="138">
        <v>0</v>
      </c>
      <c r="AR70" s="138">
        <v>0</v>
      </c>
      <c r="AS70" s="138">
        <v>0</v>
      </c>
      <c r="AT70" s="138">
        <v>0</v>
      </c>
      <c r="AU70" s="138">
        <v>0</v>
      </c>
      <c r="AV70" s="138">
        <v>24282</v>
      </c>
      <c r="AW70" s="138">
        <v>0</v>
      </c>
      <c r="AX70" s="138">
        <v>0</v>
      </c>
      <c r="AY70" s="138">
        <v>600075</v>
      </c>
      <c r="AZ70" s="138">
        <v>0</v>
      </c>
      <c r="BA70" s="138">
        <v>0</v>
      </c>
      <c r="BB70" s="138">
        <v>0</v>
      </c>
      <c r="BC70" s="138">
        <v>0</v>
      </c>
      <c r="BD70" s="138">
        <v>0</v>
      </c>
      <c r="BE70" s="138">
        <v>0</v>
      </c>
      <c r="BF70" s="138">
        <v>0</v>
      </c>
      <c r="BG70" s="138">
        <v>0</v>
      </c>
      <c r="BH70" s="138">
        <v>0</v>
      </c>
      <c r="BI70" s="138">
        <v>0</v>
      </c>
      <c r="BJ70" s="138">
        <v>0</v>
      </c>
      <c r="BK70" s="138">
        <v>0</v>
      </c>
      <c r="BL70" s="138">
        <v>0</v>
      </c>
      <c r="BM70" s="138">
        <v>0</v>
      </c>
      <c r="BN70" s="138">
        <v>0</v>
      </c>
      <c r="BO70" s="138">
        <v>0</v>
      </c>
      <c r="BP70" s="138">
        <v>0</v>
      </c>
      <c r="BQ70" s="138">
        <v>0</v>
      </c>
      <c r="BR70" s="138">
        <v>0</v>
      </c>
      <c r="BS70" s="138">
        <v>0</v>
      </c>
      <c r="BT70" s="138">
        <v>0</v>
      </c>
      <c r="BU70" s="138">
        <v>0</v>
      </c>
      <c r="BV70" s="138">
        <v>0</v>
      </c>
      <c r="BW70" s="138">
        <v>0</v>
      </c>
      <c r="BX70" s="138">
        <v>0</v>
      </c>
      <c r="BY70" s="138">
        <v>0</v>
      </c>
      <c r="BZ70" s="138">
        <v>0</v>
      </c>
      <c r="CA70" s="138">
        <v>0</v>
      </c>
      <c r="CB70" s="138">
        <v>6138</v>
      </c>
      <c r="CC70" s="138">
        <v>7839</v>
      </c>
      <c r="CD70" s="141">
        <v>328936</v>
      </c>
      <c r="CE70" s="129">
        <f t="shared" si="0"/>
        <v>5074779</v>
      </c>
    </row>
    <row r="71" spans="1:84" ht="12.65" customHeight="1" x14ac:dyDescent="0.3">
      <c r="A71" s="127" t="s">
        <v>243</v>
      </c>
      <c r="B71" s="129"/>
      <c r="C71" s="129">
        <f>SUM(C61:C68)+C69-C70</f>
        <v>1369549</v>
      </c>
      <c r="D71" s="129">
        <f t="shared" ref="D71:AI71" si="5">SUM(D61:D69)-D70</f>
        <v>0</v>
      </c>
      <c r="E71" s="129">
        <f t="shared" si="5"/>
        <v>4174509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2934</v>
      </c>
      <c r="K71" s="129">
        <f t="shared" si="5"/>
        <v>0</v>
      </c>
      <c r="L71" s="129">
        <f t="shared" si="5"/>
        <v>74474</v>
      </c>
      <c r="M71" s="129">
        <f t="shared" si="5"/>
        <v>0</v>
      </c>
      <c r="N71" s="129">
        <f t="shared" si="5"/>
        <v>2507487</v>
      </c>
      <c r="O71" s="129">
        <f t="shared" si="5"/>
        <v>1562033</v>
      </c>
      <c r="P71" s="129">
        <f t="shared" si="5"/>
        <v>4042476</v>
      </c>
      <c r="Q71" s="129">
        <f t="shared" si="5"/>
        <v>33612</v>
      </c>
      <c r="R71" s="129">
        <f t="shared" si="5"/>
        <v>1645601</v>
      </c>
      <c r="S71" s="129">
        <f t="shared" si="5"/>
        <v>1791088</v>
      </c>
      <c r="T71" s="129">
        <f t="shared" si="5"/>
        <v>0</v>
      </c>
      <c r="U71" s="129">
        <f t="shared" si="5"/>
        <v>6386780</v>
      </c>
      <c r="V71" s="129">
        <f t="shared" si="5"/>
        <v>0</v>
      </c>
      <c r="W71" s="129">
        <f t="shared" si="5"/>
        <v>676140</v>
      </c>
      <c r="X71" s="129">
        <f t="shared" si="5"/>
        <v>366757</v>
      </c>
      <c r="Y71" s="129">
        <f t="shared" si="5"/>
        <v>2809576</v>
      </c>
      <c r="Z71" s="129">
        <f t="shared" si="5"/>
        <v>0</v>
      </c>
      <c r="AA71" s="129">
        <f t="shared" si="5"/>
        <v>276864</v>
      </c>
      <c r="AB71" s="129">
        <f t="shared" si="5"/>
        <v>14025108</v>
      </c>
      <c r="AC71" s="129">
        <f t="shared" si="5"/>
        <v>1144783</v>
      </c>
      <c r="AD71" s="129">
        <f t="shared" si="5"/>
        <v>0</v>
      </c>
      <c r="AE71" s="129">
        <f t="shared" si="5"/>
        <v>3700352</v>
      </c>
      <c r="AF71" s="129">
        <f t="shared" si="5"/>
        <v>0</v>
      </c>
      <c r="AG71" s="129">
        <f t="shared" si="5"/>
        <v>6257579</v>
      </c>
      <c r="AH71" s="129">
        <f t="shared" si="5"/>
        <v>0</v>
      </c>
      <c r="AI71" s="129">
        <f t="shared" si="5"/>
        <v>4861894</v>
      </c>
      <c r="AJ71" s="129">
        <f t="shared" ref="AJ71:BO71" si="6">SUM(AJ61:AJ69)-AJ70</f>
        <v>28963011</v>
      </c>
      <c r="AK71" s="129">
        <f t="shared" si="6"/>
        <v>0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4435716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2471618</v>
      </c>
      <c r="AW71" s="129">
        <f t="shared" si="6"/>
        <v>0</v>
      </c>
      <c r="AX71" s="129">
        <f t="shared" si="6"/>
        <v>0</v>
      </c>
      <c r="AY71" s="129">
        <f t="shared" si="6"/>
        <v>874014</v>
      </c>
      <c r="AZ71" s="129">
        <f t="shared" si="6"/>
        <v>0</v>
      </c>
      <c r="BA71" s="129">
        <f t="shared" si="6"/>
        <v>316115</v>
      </c>
      <c r="BB71" s="129">
        <f t="shared" si="6"/>
        <v>2629</v>
      </c>
      <c r="BC71" s="129">
        <f t="shared" si="6"/>
        <v>0</v>
      </c>
      <c r="BD71" s="129">
        <f t="shared" si="6"/>
        <v>835165</v>
      </c>
      <c r="BE71" s="129">
        <f t="shared" si="6"/>
        <v>3294260</v>
      </c>
      <c r="BF71" s="129">
        <f t="shared" si="6"/>
        <v>1556758</v>
      </c>
      <c r="BG71" s="129">
        <f t="shared" si="6"/>
        <v>309526</v>
      </c>
      <c r="BH71" s="129">
        <f t="shared" si="6"/>
        <v>4512780</v>
      </c>
      <c r="BI71" s="129">
        <f t="shared" si="6"/>
        <v>0</v>
      </c>
      <c r="BJ71" s="129">
        <f t="shared" si="6"/>
        <v>1235402</v>
      </c>
      <c r="BK71" s="129">
        <f t="shared" si="6"/>
        <v>1801538</v>
      </c>
      <c r="BL71" s="129">
        <f t="shared" si="6"/>
        <v>913929</v>
      </c>
      <c r="BM71" s="129">
        <f t="shared" si="6"/>
        <v>434665</v>
      </c>
      <c r="BN71" s="129">
        <f t="shared" si="6"/>
        <v>4270047</v>
      </c>
      <c r="BO71" s="129">
        <f t="shared" si="6"/>
        <v>93640</v>
      </c>
      <c r="BP71" s="129">
        <f t="shared" ref="BP71:CC71" si="7">SUM(BP61:BP69)-BP70</f>
        <v>366438</v>
      </c>
      <c r="BQ71" s="129">
        <f t="shared" si="7"/>
        <v>0</v>
      </c>
      <c r="BR71" s="129">
        <f t="shared" si="7"/>
        <v>1263891</v>
      </c>
      <c r="BS71" s="129">
        <f t="shared" si="7"/>
        <v>121363</v>
      </c>
      <c r="BT71" s="129">
        <f t="shared" si="7"/>
        <v>0</v>
      </c>
      <c r="BU71" s="129">
        <f t="shared" si="7"/>
        <v>0</v>
      </c>
      <c r="BV71" s="129">
        <f t="shared" si="7"/>
        <v>916290</v>
      </c>
      <c r="BW71" s="129">
        <f t="shared" si="7"/>
        <v>773043</v>
      </c>
      <c r="BX71" s="129">
        <f t="shared" si="7"/>
        <v>668212</v>
      </c>
      <c r="BY71" s="129">
        <f t="shared" si="7"/>
        <v>1588132</v>
      </c>
      <c r="BZ71" s="129">
        <f t="shared" si="7"/>
        <v>0</v>
      </c>
      <c r="CA71" s="129">
        <f t="shared" si="7"/>
        <v>0</v>
      </c>
      <c r="CB71" s="129">
        <f t="shared" si="7"/>
        <v>111026</v>
      </c>
      <c r="CC71" s="129">
        <f t="shared" si="7"/>
        <v>2789612</v>
      </c>
      <c r="CD71" s="132">
        <f>CD69-CD70</f>
        <v>-328936</v>
      </c>
      <c r="CE71" s="129">
        <f>SUM(CE61:CE69)-CE70</f>
        <v>122299480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41">
        <v>484235</v>
      </c>
    </row>
    <row r="73" spans="1:84" ht="12.65" customHeight="1" x14ac:dyDescent="0.3">
      <c r="A73" s="127" t="s">
        <v>245</v>
      </c>
      <c r="B73" s="129"/>
      <c r="C73" s="137">
        <v>1988716</v>
      </c>
      <c r="D73" s="137">
        <v>0</v>
      </c>
      <c r="E73" s="138">
        <v>7015219</v>
      </c>
      <c r="F73" s="138">
        <v>0</v>
      </c>
      <c r="G73" s="137">
        <v>0</v>
      </c>
      <c r="H73" s="137">
        <v>0</v>
      </c>
      <c r="I73" s="138">
        <v>0</v>
      </c>
      <c r="J73" s="138">
        <v>239815</v>
      </c>
      <c r="K73" s="138">
        <v>0</v>
      </c>
      <c r="L73" s="138">
        <v>264632</v>
      </c>
      <c r="M73" s="137">
        <v>0</v>
      </c>
      <c r="N73" s="137">
        <v>1651219</v>
      </c>
      <c r="O73" s="137">
        <v>775981</v>
      </c>
      <c r="P73" s="138">
        <v>8722989</v>
      </c>
      <c r="Q73" s="138">
        <v>539374</v>
      </c>
      <c r="R73" s="138">
        <v>2638417</v>
      </c>
      <c r="S73" s="138">
        <v>22617</v>
      </c>
      <c r="T73" s="138">
        <v>0</v>
      </c>
      <c r="U73" s="138">
        <v>1523448</v>
      </c>
      <c r="V73" s="138">
        <v>0</v>
      </c>
      <c r="W73" s="138">
        <v>346692</v>
      </c>
      <c r="X73" s="138">
        <v>922824</v>
      </c>
      <c r="Y73" s="138">
        <v>997206</v>
      </c>
      <c r="Z73" s="138">
        <v>0</v>
      </c>
      <c r="AA73" s="138">
        <v>11820</v>
      </c>
      <c r="AB73" s="138">
        <v>3526678</v>
      </c>
      <c r="AC73" s="138">
        <v>1612586</v>
      </c>
      <c r="AD73" s="138">
        <v>0</v>
      </c>
      <c r="AE73" s="138">
        <v>522288</v>
      </c>
      <c r="AF73" s="138">
        <v>0</v>
      </c>
      <c r="AG73" s="138">
        <v>1072142</v>
      </c>
      <c r="AH73" s="138">
        <v>0</v>
      </c>
      <c r="AI73" s="138">
        <v>33936</v>
      </c>
      <c r="AJ73" s="138">
        <v>1574402</v>
      </c>
      <c r="AK73" s="138">
        <v>0</v>
      </c>
      <c r="AL73" s="138">
        <v>0</v>
      </c>
      <c r="AM73" s="138">
        <v>0</v>
      </c>
      <c r="AN73" s="138">
        <v>0</v>
      </c>
      <c r="AO73" s="138">
        <v>0</v>
      </c>
      <c r="AP73" s="138">
        <v>0</v>
      </c>
      <c r="AQ73" s="138">
        <v>0</v>
      </c>
      <c r="AR73" s="138">
        <v>0</v>
      </c>
      <c r="AS73" s="138">
        <v>0</v>
      </c>
      <c r="AT73" s="138">
        <v>0</v>
      </c>
      <c r="AU73" s="138">
        <v>0</v>
      </c>
      <c r="AV73" s="138">
        <v>419573</v>
      </c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 t="shared" ref="CE73:CE80" si="8">SUM(C73:CD73)</f>
        <v>36422574</v>
      </c>
    </row>
    <row r="74" spans="1:84" ht="12.65" customHeight="1" x14ac:dyDescent="0.3">
      <c r="A74" s="127" t="s">
        <v>246</v>
      </c>
      <c r="B74" s="129"/>
      <c r="C74" s="137">
        <v>13107</v>
      </c>
      <c r="D74" s="137">
        <v>0</v>
      </c>
      <c r="E74" s="138">
        <v>1811737</v>
      </c>
      <c r="F74" s="138">
        <v>0</v>
      </c>
      <c r="G74" s="137">
        <v>0</v>
      </c>
      <c r="H74" s="137">
        <v>0</v>
      </c>
      <c r="I74" s="137">
        <v>0</v>
      </c>
      <c r="J74" s="138">
        <v>669</v>
      </c>
      <c r="K74" s="138">
        <v>0</v>
      </c>
      <c r="L74" s="138">
        <v>0</v>
      </c>
      <c r="M74" s="137">
        <v>0</v>
      </c>
      <c r="N74" s="137">
        <v>389154</v>
      </c>
      <c r="O74" s="137">
        <v>206615</v>
      </c>
      <c r="P74" s="138">
        <v>15142369</v>
      </c>
      <c r="Q74" s="138">
        <v>4015308</v>
      </c>
      <c r="R74" s="138">
        <v>6980654</v>
      </c>
      <c r="S74" s="138">
        <v>422114</v>
      </c>
      <c r="T74" s="138">
        <v>0</v>
      </c>
      <c r="U74" s="138">
        <v>16450267</v>
      </c>
      <c r="V74" s="138">
        <v>138</v>
      </c>
      <c r="W74" s="138">
        <v>4803596</v>
      </c>
      <c r="X74" s="138">
        <v>13219956</v>
      </c>
      <c r="Y74" s="138">
        <v>11390733</v>
      </c>
      <c r="Z74" s="138">
        <v>0</v>
      </c>
      <c r="AA74" s="138">
        <v>2875803</v>
      </c>
      <c r="AB74" s="138">
        <v>44684307</v>
      </c>
      <c r="AC74" s="138">
        <v>1673273</v>
      </c>
      <c r="AD74" s="138">
        <v>0</v>
      </c>
      <c r="AE74" s="138">
        <v>7413485</v>
      </c>
      <c r="AF74" s="138">
        <v>0</v>
      </c>
      <c r="AG74" s="138">
        <v>29273848</v>
      </c>
      <c r="AH74" s="138">
        <v>0</v>
      </c>
      <c r="AI74" s="138">
        <v>7814620</v>
      </c>
      <c r="AJ74" s="138">
        <v>36398495</v>
      </c>
      <c r="AK74" s="138">
        <v>0</v>
      </c>
      <c r="AL74" s="138">
        <v>0</v>
      </c>
      <c r="AM74" s="138">
        <v>0</v>
      </c>
      <c r="AN74" s="138">
        <v>0</v>
      </c>
      <c r="AO74" s="138">
        <v>0</v>
      </c>
      <c r="AP74" s="138">
        <v>0</v>
      </c>
      <c r="AQ74" s="138">
        <v>0</v>
      </c>
      <c r="AR74" s="138">
        <v>6399431</v>
      </c>
      <c r="AS74" s="138">
        <v>0</v>
      </c>
      <c r="AT74" s="138">
        <v>0</v>
      </c>
      <c r="AU74" s="138">
        <v>0</v>
      </c>
      <c r="AV74" s="138">
        <v>8363997</v>
      </c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 t="shared" si="8"/>
        <v>219743676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2001823</v>
      </c>
      <c r="D75" s="129">
        <f t="shared" si="9"/>
        <v>0</v>
      </c>
      <c r="E75" s="129">
        <f t="shared" si="9"/>
        <v>8826956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240484</v>
      </c>
      <c r="K75" s="129">
        <f t="shared" si="9"/>
        <v>0</v>
      </c>
      <c r="L75" s="129">
        <f t="shared" si="9"/>
        <v>264632</v>
      </c>
      <c r="M75" s="129">
        <f t="shared" si="9"/>
        <v>0</v>
      </c>
      <c r="N75" s="129">
        <f t="shared" si="9"/>
        <v>2040373</v>
      </c>
      <c r="O75" s="129">
        <f t="shared" si="9"/>
        <v>982596</v>
      </c>
      <c r="P75" s="129">
        <f t="shared" si="9"/>
        <v>23865358</v>
      </c>
      <c r="Q75" s="129">
        <f t="shared" si="9"/>
        <v>4554682</v>
      </c>
      <c r="R75" s="129">
        <f t="shared" si="9"/>
        <v>9619071</v>
      </c>
      <c r="S75" s="129">
        <f t="shared" si="9"/>
        <v>444731</v>
      </c>
      <c r="T75" s="129">
        <f t="shared" si="9"/>
        <v>0</v>
      </c>
      <c r="U75" s="129">
        <f t="shared" si="9"/>
        <v>17973715</v>
      </c>
      <c r="V75" s="129">
        <f t="shared" si="9"/>
        <v>138</v>
      </c>
      <c r="W75" s="129">
        <f t="shared" si="9"/>
        <v>5150288</v>
      </c>
      <c r="X75" s="129">
        <f t="shared" si="9"/>
        <v>14142780</v>
      </c>
      <c r="Y75" s="129">
        <f t="shared" si="9"/>
        <v>12387939</v>
      </c>
      <c r="Z75" s="129">
        <f t="shared" si="9"/>
        <v>0</v>
      </c>
      <c r="AA75" s="129">
        <f t="shared" si="9"/>
        <v>2887623</v>
      </c>
      <c r="AB75" s="129">
        <f t="shared" si="9"/>
        <v>48210985</v>
      </c>
      <c r="AC75" s="129">
        <f t="shared" si="9"/>
        <v>3285859</v>
      </c>
      <c r="AD75" s="129">
        <f t="shared" si="9"/>
        <v>0</v>
      </c>
      <c r="AE75" s="129">
        <f t="shared" si="9"/>
        <v>7935773</v>
      </c>
      <c r="AF75" s="129">
        <f t="shared" si="9"/>
        <v>0</v>
      </c>
      <c r="AG75" s="129">
        <f t="shared" si="9"/>
        <v>30345990</v>
      </c>
      <c r="AH75" s="129">
        <f t="shared" si="9"/>
        <v>0</v>
      </c>
      <c r="AI75" s="129">
        <f t="shared" si="9"/>
        <v>7848556</v>
      </c>
      <c r="AJ75" s="129">
        <f t="shared" si="9"/>
        <v>37972897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0</v>
      </c>
      <c r="AP75" s="129">
        <f t="shared" si="9"/>
        <v>0</v>
      </c>
      <c r="AQ75" s="129">
        <f t="shared" si="9"/>
        <v>0</v>
      </c>
      <c r="AR75" s="129">
        <f t="shared" si="9"/>
        <v>6399431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8783570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si="8"/>
        <v>256166250</v>
      </c>
    </row>
    <row r="76" spans="1:84" ht="12.65" customHeight="1" x14ac:dyDescent="0.3">
      <c r="A76" s="127" t="s">
        <v>248</v>
      </c>
      <c r="B76" s="129"/>
      <c r="C76" s="137">
        <v>2604.9500000000003</v>
      </c>
      <c r="D76" s="137">
        <v>0</v>
      </c>
      <c r="E76" s="137">
        <v>5567.3899999999985</v>
      </c>
      <c r="F76" s="137">
        <v>0</v>
      </c>
      <c r="G76" s="137">
        <v>0</v>
      </c>
      <c r="H76" s="137">
        <v>0</v>
      </c>
      <c r="I76" s="137">
        <v>0</v>
      </c>
      <c r="J76" s="137">
        <v>86.40000000000002</v>
      </c>
      <c r="K76" s="137">
        <v>0</v>
      </c>
      <c r="L76" s="137">
        <v>2190.0999999999995</v>
      </c>
      <c r="M76" s="137">
        <v>0</v>
      </c>
      <c r="N76" s="137">
        <v>290</v>
      </c>
      <c r="O76" s="137">
        <v>2915.5</v>
      </c>
      <c r="P76" s="137">
        <v>9766.899999999996</v>
      </c>
      <c r="Q76" s="137">
        <v>588.5</v>
      </c>
      <c r="R76" s="137">
        <v>135.99999999999997</v>
      </c>
      <c r="S76" s="137">
        <v>746.09999999999991</v>
      </c>
      <c r="T76" s="137">
        <v>0</v>
      </c>
      <c r="U76" s="137">
        <v>3920.8000000000011</v>
      </c>
      <c r="V76" s="137">
        <v>0</v>
      </c>
      <c r="W76" s="137">
        <v>1107.2</v>
      </c>
      <c r="X76" s="137">
        <v>533.80000000000007</v>
      </c>
      <c r="Y76" s="137">
        <v>4606.3</v>
      </c>
      <c r="Z76" s="137">
        <v>0</v>
      </c>
      <c r="AA76" s="137">
        <v>357.50000000000017</v>
      </c>
      <c r="AB76" s="137">
        <v>2480.9</v>
      </c>
      <c r="AC76" s="137">
        <v>1843.8000000000004</v>
      </c>
      <c r="AD76" s="137">
        <v>0</v>
      </c>
      <c r="AE76" s="137">
        <v>6487.5999999999985</v>
      </c>
      <c r="AF76" s="137">
        <v>0</v>
      </c>
      <c r="AG76" s="137">
        <v>6349.699999999998</v>
      </c>
      <c r="AH76" s="137">
        <v>0</v>
      </c>
      <c r="AI76" s="137">
        <v>6371</v>
      </c>
      <c r="AJ76" s="137">
        <v>44812.021666666667</v>
      </c>
      <c r="AK76" s="137">
        <v>0</v>
      </c>
      <c r="AL76" s="137">
        <v>0</v>
      </c>
      <c r="AM76" s="137">
        <v>0</v>
      </c>
      <c r="AN76" s="137">
        <v>0</v>
      </c>
      <c r="AO76" s="137">
        <v>0</v>
      </c>
      <c r="AP76" s="137">
        <v>0</v>
      </c>
      <c r="AQ76" s="137">
        <v>0</v>
      </c>
      <c r="AR76" s="137">
        <v>3737.1666666666661</v>
      </c>
      <c r="AS76" s="137">
        <v>0</v>
      </c>
      <c r="AT76" s="137">
        <v>0</v>
      </c>
      <c r="AU76" s="137">
        <v>0</v>
      </c>
      <c r="AV76" s="137">
        <v>4630.09</v>
      </c>
      <c r="AW76" s="137">
        <v>0</v>
      </c>
      <c r="AX76" s="137">
        <v>0</v>
      </c>
      <c r="AY76" s="137">
        <v>3888.416666666667</v>
      </c>
      <c r="AZ76" s="137">
        <v>0</v>
      </c>
      <c r="BA76" s="137">
        <v>0</v>
      </c>
      <c r="BB76" s="137">
        <v>77.40000000000002</v>
      </c>
      <c r="BC76" s="137">
        <v>0</v>
      </c>
      <c r="BD76" s="137">
        <v>2434.8000000000002</v>
      </c>
      <c r="BE76" s="137">
        <v>11972.476666666667</v>
      </c>
      <c r="BF76" s="137">
        <v>3119.0916666666676</v>
      </c>
      <c r="BG76" s="137">
        <v>0</v>
      </c>
      <c r="BH76" s="137">
        <v>4162.9816666666666</v>
      </c>
      <c r="BI76" s="137">
        <v>0</v>
      </c>
      <c r="BJ76" s="137">
        <v>1083.8483333333334</v>
      </c>
      <c r="BK76" s="137">
        <v>3796.5</v>
      </c>
      <c r="BL76" s="137">
        <v>1980.9999999999993</v>
      </c>
      <c r="BM76" s="137">
        <v>366</v>
      </c>
      <c r="BN76" s="137">
        <v>11265.671666666667</v>
      </c>
      <c r="BO76" s="137">
        <v>243</v>
      </c>
      <c r="BP76" s="137">
        <v>288.89999999999992</v>
      </c>
      <c r="BQ76" s="137">
        <v>0</v>
      </c>
      <c r="BR76" s="137">
        <v>1598.8000000000004</v>
      </c>
      <c r="BS76" s="137">
        <v>531.77916666666658</v>
      </c>
      <c r="BT76" s="137">
        <v>0</v>
      </c>
      <c r="BU76" s="137">
        <v>0</v>
      </c>
      <c r="BV76" s="137">
        <v>847.99999999999989</v>
      </c>
      <c r="BW76" s="137">
        <v>391.00833333333344</v>
      </c>
      <c r="BX76" s="137">
        <v>360.22500000000002</v>
      </c>
      <c r="BY76" s="137">
        <v>905.22083333333353</v>
      </c>
      <c r="BZ76" s="137">
        <v>0</v>
      </c>
      <c r="CA76" s="137">
        <v>0</v>
      </c>
      <c r="CB76" s="137">
        <v>1602.9999999999998</v>
      </c>
      <c r="CC76" s="137">
        <v>3454.8016666666663</v>
      </c>
      <c r="CD76" s="191" t="s">
        <v>221</v>
      </c>
      <c r="CE76" s="129">
        <f t="shared" si="8"/>
        <v>166502.63999999998</v>
      </c>
      <c r="CF76" s="129">
        <f>BE59-CE76</f>
        <v>-26370.639999999985</v>
      </c>
    </row>
    <row r="77" spans="1:84" ht="12.65" customHeight="1" x14ac:dyDescent="0.3">
      <c r="A77" s="127" t="s">
        <v>249</v>
      </c>
      <c r="B77" s="129"/>
      <c r="C77" s="137">
        <v>736</v>
      </c>
      <c r="D77" s="137"/>
      <c r="E77" s="137">
        <v>11556</v>
      </c>
      <c r="F77" s="137"/>
      <c r="G77" s="137"/>
      <c r="H77" s="137"/>
      <c r="I77" s="137"/>
      <c r="J77" s="137"/>
      <c r="K77" s="137"/>
      <c r="L77" s="137">
        <v>527</v>
      </c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1" t="s">
        <v>221</v>
      </c>
      <c r="AY77" s="191" t="s">
        <v>221</v>
      </c>
      <c r="AZ77" s="137"/>
      <c r="BA77" s="137"/>
      <c r="BB77" s="137"/>
      <c r="BC77" s="137"/>
      <c r="BD77" s="191" t="s">
        <v>221</v>
      </c>
      <c r="BE77" s="191" t="s">
        <v>221</v>
      </c>
      <c r="BF77" s="137"/>
      <c r="BG77" s="191" t="s">
        <v>221</v>
      </c>
      <c r="BH77" s="137"/>
      <c r="BI77" s="137"/>
      <c r="BJ77" s="191" t="s">
        <v>221</v>
      </c>
      <c r="BK77" s="137"/>
      <c r="BL77" s="137"/>
      <c r="BM77" s="137"/>
      <c r="BN77" s="191" t="s">
        <v>221</v>
      </c>
      <c r="BO77" s="191" t="s">
        <v>221</v>
      </c>
      <c r="BP77" s="191" t="s">
        <v>221</v>
      </c>
      <c r="BQ77" s="191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221</v>
      </c>
      <c r="CD77" s="191" t="s">
        <v>221</v>
      </c>
      <c r="CE77" s="129">
        <f>SUM(C77:CD77)</f>
        <v>12819</v>
      </c>
      <c r="CF77" s="129">
        <f>AY59-CE77</f>
        <v>0</v>
      </c>
    </row>
    <row r="78" spans="1:84" ht="12.65" customHeight="1" x14ac:dyDescent="0.3">
      <c r="A78" s="127" t="s">
        <v>250</v>
      </c>
      <c r="B78" s="129"/>
      <c r="C78" s="137">
        <v>1048.1232945257636</v>
      </c>
      <c r="D78" s="137">
        <v>0</v>
      </c>
      <c r="E78" s="137">
        <v>5482.7257094508841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>
        <v>0</v>
      </c>
      <c r="L78" s="137">
        <v>0</v>
      </c>
      <c r="M78" s="137">
        <v>0</v>
      </c>
      <c r="N78" s="137">
        <v>0</v>
      </c>
      <c r="O78" s="137">
        <v>1105.6957272188847</v>
      </c>
      <c r="P78" s="137">
        <v>5619.2219406041113</v>
      </c>
      <c r="Q78" s="137">
        <v>0</v>
      </c>
      <c r="R78" s="137">
        <v>0</v>
      </c>
      <c r="S78" s="137">
        <v>47.405115661223455</v>
      </c>
      <c r="T78" s="137">
        <v>0</v>
      </c>
      <c r="U78" s="137">
        <v>81.97399356967594</v>
      </c>
      <c r="V78" s="137">
        <v>0</v>
      </c>
      <c r="W78" s="137">
        <v>0</v>
      </c>
      <c r="X78" s="137">
        <v>0</v>
      </c>
      <c r="Y78" s="137">
        <v>3399.6966325408239</v>
      </c>
      <c r="Z78" s="137">
        <v>0</v>
      </c>
      <c r="AA78" s="137">
        <v>0</v>
      </c>
      <c r="AB78" s="137">
        <v>0</v>
      </c>
      <c r="AC78" s="137">
        <v>0</v>
      </c>
      <c r="AD78" s="137">
        <v>0</v>
      </c>
      <c r="AE78" s="137">
        <v>2880.019640747948</v>
      </c>
      <c r="AF78" s="137">
        <v>0</v>
      </c>
      <c r="AG78" s="137">
        <v>6302.3385536847445</v>
      </c>
      <c r="AH78" s="137">
        <v>0</v>
      </c>
      <c r="AI78" s="137">
        <v>1814.357724342161</v>
      </c>
      <c r="AJ78" s="137">
        <v>5159.4050278365339</v>
      </c>
      <c r="AK78" s="137">
        <v>0</v>
      </c>
      <c r="AL78" s="137">
        <v>0</v>
      </c>
      <c r="AM78" s="137">
        <v>0</v>
      </c>
      <c r="AN78" s="137">
        <v>0</v>
      </c>
      <c r="AO78" s="137">
        <v>0</v>
      </c>
      <c r="AP78" s="137">
        <v>0</v>
      </c>
      <c r="AQ78" s="137">
        <v>0</v>
      </c>
      <c r="AR78" s="137">
        <v>0</v>
      </c>
      <c r="AS78" s="137">
        <v>0</v>
      </c>
      <c r="AT78" s="137">
        <v>0</v>
      </c>
      <c r="AU78" s="137">
        <v>0</v>
      </c>
      <c r="AV78" s="137">
        <v>1689.9351821643118</v>
      </c>
      <c r="AW78" s="137">
        <v>0</v>
      </c>
      <c r="AX78" s="191" t="s">
        <v>221</v>
      </c>
      <c r="AY78" s="191" t="s">
        <v>221</v>
      </c>
      <c r="AZ78" s="191" t="s">
        <v>221</v>
      </c>
      <c r="BA78" s="137">
        <v>2419.058904814282</v>
      </c>
      <c r="BB78" s="137">
        <v>0</v>
      </c>
      <c r="BC78" s="137">
        <v>0</v>
      </c>
      <c r="BD78" s="191" t="s">
        <v>221</v>
      </c>
      <c r="BE78" s="191" t="s">
        <v>221</v>
      </c>
      <c r="BF78" s="191" t="s">
        <v>221</v>
      </c>
      <c r="BG78" s="191" t="s">
        <v>221</v>
      </c>
      <c r="BH78" s="137"/>
      <c r="BI78" s="137"/>
      <c r="BJ78" s="191" t="s">
        <v>221</v>
      </c>
      <c r="BK78" s="137"/>
      <c r="BL78" s="137"/>
      <c r="BM78" s="137"/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1" t="s">
        <v>221</v>
      </c>
      <c r="CD78" s="191" t="s">
        <v>221</v>
      </c>
      <c r="CE78" s="129">
        <f t="shared" si="8"/>
        <v>37049.957447161352</v>
      </c>
      <c r="CF78" s="129"/>
    </row>
    <row r="79" spans="1:84" ht="12.65" customHeight="1" x14ac:dyDescent="0.3">
      <c r="A79" s="127" t="s">
        <v>251</v>
      </c>
      <c r="B79" s="129"/>
      <c r="C79" s="173">
        <v>14257</v>
      </c>
      <c r="D79" s="173">
        <v>0</v>
      </c>
      <c r="E79" s="137">
        <v>64663</v>
      </c>
      <c r="F79" s="137">
        <v>0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37">
        <v>0</v>
      </c>
      <c r="N79" s="137">
        <v>0</v>
      </c>
      <c r="O79" s="137">
        <v>0</v>
      </c>
      <c r="P79" s="137">
        <v>41607</v>
      </c>
      <c r="Q79" s="137">
        <v>0</v>
      </c>
      <c r="R79" s="137">
        <v>0</v>
      </c>
      <c r="S79" s="137">
        <v>0</v>
      </c>
      <c r="T79" s="137">
        <v>0</v>
      </c>
      <c r="U79" s="137">
        <v>7715</v>
      </c>
      <c r="V79" s="137">
        <v>0</v>
      </c>
      <c r="W79" s="137">
        <v>33870</v>
      </c>
      <c r="X79" s="137">
        <v>0</v>
      </c>
      <c r="Y79" s="137">
        <v>10096</v>
      </c>
      <c r="Z79" s="137">
        <v>0</v>
      </c>
      <c r="AA79" s="137">
        <v>0</v>
      </c>
      <c r="AB79" s="137">
        <v>0</v>
      </c>
      <c r="AC79" s="137">
        <v>0</v>
      </c>
      <c r="AD79" s="137">
        <v>0</v>
      </c>
      <c r="AE79" s="137">
        <v>29861</v>
      </c>
      <c r="AF79" s="137">
        <v>0</v>
      </c>
      <c r="AG79" s="137">
        <v>56819</v>
      </c>
      <c r="AH79" s="137">
        <v>0</v>
      </c>
      <c r="AI79" s="137">
        <v>32827</v>
      </c>
      <c r="AJ79" s="137">
        <v>50036</v>
      </c>
      <c r="AK79" s="137">
        <v>0</v>
      </c>
      <c r="AL79" s="137">
        <v>0</v>
      </c>
      <c r="AM79" s="137">
        <v>0</v>
      </c>
      <c r="AN79" s="137">
        <v>0</v>
      </c>
      <c r="AO79" s="137">
        <v>0</v>
      </c>
      <c r="AP79" s="137">
        <v>0</v>
      </c>
      <c r="AQ79" s="137">
        <v>0</v>
      </c>
      <c r="AR79" s="137">
        <v>0</v>
      </c>
      <c r="AS79" s="137">
        <v>0</v>
      </c>
      <c r="AT79" s="137">
        <v>0</v>
      </c>
      <c r="AU79" s="137">
        <v>0</v>
      </c>
      <c r="AV79" s="137">
        <v>32331</v>
      </c>
      <c r="AW79" s="137">
        <v>0</v>
      </c>
      <c r="AX79" s="191" t="s">
        <v>221</v>
      </c>
      <c r="AY79" s="191" t="s">
        <v>221</v>
      </c>
      <c r="AZ79" s="191" t="s">
        <v>221</v>
      </c>
      <c r="BA79" s="191" t="s">
        <v>221</v>
      </c>
      <c r="BB79" s="137"/>
      <c r="BC79" s="137"/>
      <c r="BD79" s="191" t="s">
        <v>221</v>
      </c>
      <c r="BE79" s="191" t="s">
        <v>221</v>
      </c>
      <c r="BF79" s="191" t="s">
        <v>221</v>
      </c>
      <c r="BG79" s="191" t="s">
        <v>221</v>
      </c>
      <c r="BH79" s="137"/>
      <c r="BI79" s="137">
        <v>82283</v>
      </c>
      <c r="BJ79" s="191" t="s">
        <v>221</v>
      </c>
      <c r="BK79" s="137"/>
      <c r="BL79" s="137"/>
      <c r="BM79" s="137"/>
      <c r="BN79" s="191" t="s">
        <v>221</v>
      </c>
      <c r="BO79" s="191" t="s">
        <v>221</v>
      </c>
      <c r="BP79" s="191" t="s">
        <v>221</v>
      </c>
      <c r="BQ79" s="191" t="s">
        <v>221</v>
      </c>
      <c r="BR79" s="191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221</v>
      </c>
      <c r="CD79" s="191" t="s">
        <v>221</v>
      </c>
      <c r="CE79" s="129">
        <f t="shared" si="8"/>
        <v>456365</v>
      </c>
      <c r="CF79" s="129">
        <f>BA59</f>
        <v>0</v>
      </c>
    </row>
    <row r="80" spans="1:84" ht="12.65" customHeight="1" x14ac:dyDescent="0.3">
      <c r="A80" s="127" t="s">
        <v>252</v>
      </c>
      <c r="B80" s="129"/>
      <c r="C80" s="140">
        <v>6.9399278846153907</v>
      </c>
      <c r="D80" s="140">
        <v>0</v>
      </c>
      <c r="E80" s="140">
        <v>18.744644230769193</v>
      </c>
      <c r="F80" s="140">
        <v>0</v>
      </c>
      <c r="G80" s="140">
        <v>0</v>
      </c>
      <c r="H80" s="140">
        <v>0</v>
      </c>
      <c r="I80" s="140">
        <v>0</v>
      </c>
      <c r="J80" s="140">
        <v>0</v>
      </c>
      <c r="K80" s="140">
        <v>0</v>
      </c>
      <c r="L80" s="140">
        <v>2.403846153846154E-3</v>
      </c>
      <c r="M80" s="140">
        <v>0</v>
      </c>
      <c r="N80" s="140">
        <v>0</v>
      </c>
      <c r="O80" s="140">
        <v>9.6889951923076865</v>
      </c>
      <c r="P80" s="140">
        <v>9.4553461538461612</v>
      </c>
      <c r="Q80" s="140">
        <v>1.5048076923076923E-2</v>
      </c>
      <c r="R80" s="140">
        <v>0</v>
      </c>
      <c r="S80" s="140">
        <v>0</v>
      </c>
      <c r="T80" s="140">
        <v>0</v>
      </c>
      <c r="U80" s="140">
        <v>0</v>
      </c>
      <c r="V80" s="140">
        <v>0</v>
      </c>
      <c r="W80" s="140">
        <v>0</v>
      </c>
      <c r="X80" s="140">
        <v>0</v>
      </c>
      <c r="Y80" s="140">
        <v>0.26495192307692311</v>
      </c>
      <c r="Z80" s="140">
        <v>0</v>
      </c>
      <c r="AA80" s="140">
        <v>0</v>
      </c>
      <c r="AB80" s="140">
        <v>0</v>
      </c>
      <c r="AC80" s="140">
        <v>0</v>
      </c>
      <c r="AD80" s="140">
        <v>0</v>
      </c>
      <c r="AE80" s="140">
        <v>0</v>
      </c>
      <c r="AF80" s="140">
        <v>0</v>
      </c>
      <c r="AG80" s="140">
        <v>13.530028846153824</v>
      </c>
      <c r="AH80" s="140">
        <v>0</v>
      </c>
      <c r="AI80" s="140">
        <v>11.037567307692303</v>
      </c>
      <c r="AJ80" s="140">
        <v>24.392091346153848</v>
      </c>
      <c r="AK80" s="140">
        <v>0</v>
      </c>
      <c r="AL80" s="140">
        <v>0</v>
      </c>
      <c r="AM80" s="140">
        <v>0</v>
      </c>
      <c r="AN80" s="140">
        <v>0</v>
      </c>
      <c r="AO80" s="140">
        <v>0</v>
      </c>
      <c r="AP80" s="140">
        <v>0</v>
      </c>
      <c r="AQ80" s="140">
        <v>0</v>
      </c>
      <c r="AR80" s="140">
        <v>13.744812500000023</v>
      </c>
      <c r="AS80" s="140">
        <v>0</v>
      </c>
      <c r="AT80" s="140">
        <v>0</v>
      </c>
      <c r="AU80" s="140">
        <v>0</v>
      </c>
      <c r="AV80" s="140">
        <v>3.8883990384615372</v>
      </c>
      <c r="AW80" s="191" t="s">
        <v>221</v>
      </c>
      <c r="AX80" s="191" t="s">
        <v>221</v>
      </c>
      <c r="AY80" s="191" t="s">
        <v>221</v>
      </c>
      <c r="AZ80" s="191" t="s">
        <v>221</v>
      </c>
      <c r="BA80" s="191" t="s">
        <v>221</v>
      </c>
      <c r="BB80" s="191" t="s">
        <v>221</v>
      </c>
      <c r="BC80" s="191" t="s">
        <v>221</v>
      </c>
      <c r="BD80" s="191" t="s">
        <v>221</v>
      </c>
      <c r="BE80" s="191" t="s">
        <v>221</v>
      </c>
      <c r="BF80" s="191" t="s">
        <v>221</v>
      </c>
      <c r="BG80" s="191" t="s">
        <v>221</v>
      </c>
      <c r="BH80" s="191" t="s">
        <v>221</v>
      </c>
      <c r="BI80" s="191" t="s">
        <v>221</v>
      </c>
      <c r="BJ80" s="191" t="s">
        <v>221</v>
      </c>
      <c r="BK80" s="191" t="s">
        <v>221</v>
      </c>
      <c r="BL80" s="191" t="s">
        <v>221</v>
      </c>
      <c r="BM80" s="191" t="s">
        <v>221</v>
      </c>
      <c r="BN80" s="191" t="s">
        <v>221</v>
      </c>
      <c r="BO80" s="191" t="s">
        <v>221</v>
      </c>
      <c r="BP80" s="191" t="s">
        <v>221</v>
      </c>
      <c r="BQ80" s="191" t="s">
        <v>221</v>
      </c>
      <c r="BR80" s="191" t="s">
        <v>221</v>
      </c>
      <c r="BS80" s="191" t="s">
        <v>221</v>
      </c>
      <c r="BT80" s="191" t="s">
        <v>221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221</v>
      </c>
      <c r="CD80" s="191" t="s">
        <v>221</v>
      </c>
      <c r="CE80" s="197">
        <f t="shared" si="8"/>
        <v>111.70421634615381</v>
      </c>
      <c r="CF80" s="197"/>
    </row>
    <row r="81" spans="1:5" ht="21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2" t="s">
        <v>1267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3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177" t="s">
        <v>1269</v>
      </c>
      <c r="D84" s="156"/>
      <c r="E84" s="155"/>
    </row>
    <row r="85" spans="1:5" ht="12.65" customHeight="1" x14ac:dyDescent="0.3">
      <c r="A85" s="129" t="s">
        <v>1250</v>
      </c>
      <c r="B85" s="128"/>
      <c r="C85" s="209" t="s">
        <v>1270</v>
      </c>
      <c r="D85" s="156"/>
      <c r="E85" s="155"/>
    </row>
    <row r="86" spans="1:5" ht="12.65" customHeight="1" x14ac:dyDescent="0.3">
      <c r="A86" s="129" t="s">
        <v>1251</v>
      </c>
      <c r="B86" s="128" t="s">
        <v>256</v>
      </c>
      <c r="C86" s="178" t="s">
        <v>1270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7" t="s">
        <v>1271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7" t="s">
        <v>1272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7" t="s">
        <v>1273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7" t="s">
        <v>1274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7" t="s">
        <v>1275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74" t="s">
        <v>1276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08" t="s">
        <v>1277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>
        <v>1</v>
      </c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/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12.65" customHeight="1" x14ac:dyDescent="0.3">
      <c r="A107" s="129"/>
      <c r="B107" s="128"/>
      <c r="C107" s="143"/>
      <c r="D107" s="129"/>
      <c r="E107" s="129"/>
    </row>
    <row r="108" spans="1:5" ht="21.7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3.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975</v>
      </c>
      <c r="D111" s="130">
        <v>2851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>
        <v>10</v>
      </c>
      <c r="D112" s="130">
        <v>152</v>
      </c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>
        <v>88</v>
      </c>
      <c r="D114" s="130">
        <v>197</v>
      </c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>
        <v>6</v>
      </c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1238</v>
      </c>
      <c r="B118" s="128" t="s">
        <v>256</v>
      </c>
      <c r="C118" s="142">
        <v>10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>
        <v>4</v>
      </c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>
        <v>5</v>
      </c>
      <c r="D123" s="129"/>
      <c r="E123" s="129"/>
    </row>
    <row r="124" spans="1:5" ht="12.65" customHeight="1" x14ac:dyDescent="0.3">
      <c r="A124" s="129" t="s">
        <v>289</v>
      </c>
      <c r="B124" s="128"/>
      <c r="C124" s="142"/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292</v>
      </c>
      <c r="B128" s="128" t="s">
        <v>256</v>
      </c>
      <c r="C128" s="142">
        <v>4</v>
      </c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>
        <v>4</v>
      </c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59" t="s">
        <v>1239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v>732</v>
      </c>
      <c r="C138" s="142">
        <v>99</v>
      </c>
      <c r="D138" s="130">
        <v>144</v>
      </c>
      <c r="E138" s="129">
        <f>SUM(B138:D138)</f>
        <v>975</v>
      </c>
    </row>
    <row r="139" spans="1:6" ht="12.65" customHeight="1" x14ac:dyDescent="0.3">
      <c r="A139" s="129" t="s">
        <v>215</v>
      </c>
      <c r="B139" s="130">
        <v>2132</v>
      </c>
      <c r="C139" s="142">
        <v>340</v>
      </c>
      <c r="D139" s="130">
        <v>379</v>
      </c>
      <c r="E139" s="129">
        <f>SUM(B139:D139)</f>
        <v>2851</v>
      </c>
    </row>
    <row r="140" spans="1:6" ht="12.65" customHeight="1" x14ac:dyDescent="0.3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245</v>
      </c>
      <c r="B141" s="130">
        <f>23634024+222745</f>
        <v>23856769</v>
      </c>
      <c r="C141" s="142">
        <v>5594630</v>
      </c>
      <c r="D141" s="130">
        <v>6929288</v>
      </c>
      <c r="E141" s="129">
        <f>SUM(B141:D141)</f>
        <v>36380687</v>
      </c>
      <c r="F141" s="150"/>
    </row>
    <row r="142" spans="1:6" ht="12.65" customHeight="1" x14ac:dyDescent="0.3">
      <c r="A142" s="129" t="s">
        <v>246</v>
      </c>
      <c r="B142" s="130">
        <v>131770813</v>
      </c>
      <c r="C142" s="142">
        <v>28781995</v>
      </c>
      <c r="D142" s="130">
        <v>58968123</v>
      </c>
      <c r="E142" s="129">
        <f>SUM(B142:D142)</f>
        <v>219520931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>
        <v>7</v>
      </c>
      <c r="C144" s="142">
        <v>1</v>
      </c>
      <c r="D144" s="130">
        <v>2</v>
      </c>
      <c r="E144" s="129">
        <f>SUM(B144:D144)</f>
        <v>10</v>
      </c>
    </row>
    <row r="145" spans="1:5" ht="12.65" customHeight="1" x14ac:dyDescent="0.3">
      <c r="A145" s="129" t="s">
        <v>215</v>
      </c>
      <c r="B145" s="130">
        <v>122</v>
      </c>
      <c r="C145" s="142">
        <v>12</v>
      </c>
      <c r="D145" s="130">
        <v>18</v>
      </c>
      <c r="E145" s="129">
        <f>SUM(B145:D145)</f>
        <v>152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>
        <v>226058</v>
      </c>
      <c r="C147" s="142">
        <v>7236</v>
      </c>
      <c r="D147" s="130">
        <v>31338</v>
      </c>
      <c r="E147" s="129">
        <f>SUM(B147:D147)</f>
        <v>264632</v>
      </c>
    </row>
    <row r="148" spans="1:5" ht="12.65" customHeight="1" x14ac:dyDescent="0.3">
      <c r="A148" s="129" t="s">
        <v>246</v>
      </c>
      <c r="B148" s="130">
        <v>0</v>
      </c>
      <c r="C148" s="142">
        <v>0</v>
      </c>
      <c r="D148" s="130">
        <v>0</v>
      </c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>
        <v>31008939</v>
      </c>
      <c r="C157" s="130">
        <v>9302681.6999999993</v>
      </c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142">
        <v>4257243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142">
        <v>209472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142">
        <v>424046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142">
        <v>7297614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142">
        <v>79884</v>
      </c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142">
        <v>2384763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142">
        <v>81638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>
        <v>16436</v>
      </c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14751096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142">
        <v>648078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142">
        <v>968143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1616221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142">
        <v>699240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142">
        <v>198544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897784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142"/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142"/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0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142">
        <v>764625</v>
      </c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142">
        <v>195865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SUM(C188:C189)</f>
        <v>960490</v>
      </c>
      <c r="E190" s="129"/>
    </row>
    <row r="191" spans="1:5" ht="11.5" customHeight="1" x14ac:dyDescent="0.3">
      <c r="A191" s="129"/>
      <c r="B191" s="129"/>
      <c r="C191" s="144"/>
      <c r="D191" s="129"/>
      <c r="E191" s="129"/>
    </row>
    <row r="192" spans="1:5" ht="18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v>1549711.19</v>
      </c>
      <c r="C195" s="142">
        <v>165620</v>
      </c>
      <c r="D195" s="130"/>
      <c r="E195" s="129">
        <f t="shared" ref="E195:E203" si="10">SUM(B195:C195)-D195</f>
        <v>1715331.19</v>
      </c>
    </row>
    <row r="196" spans="1:8" ht="12.65" customHeight="1" x14ac:dyDescent="0.3">
      <c r="A196" s="129" t="s">
        <v>333</v>
      </c>
      <c r="B196" s="130">
        <v>4028158</v>
      </c>
      <c r="C196" s="142"/>
      <c r="D196" s="130"/>
      <c r="E196" s="129">
        <f t="shared" si="10"/>
        <v>4028158</v>
      </c>
    </row>
    <row r="197" spans="1:8" ht="12.65" customHeight="1" x14ac:dyDescent="0.3">
      <c r="A197" s="129" t="s">
        <v>334</v>
      </c>
      <c r="B197" s="130">
        <v>40757243</v>
      </c>
      <c r="C197" s="142"/>
      <c r="D197" s="130"/>
      <c r="E197" s="129">
        <f t="shared" si="10"/>
        <v>40757243</v>
      </c>
    </row>
    <row r="198" spans="1:8" ht="12.65" customHeight="1" x14ac:dyDescent="0.3">
      <c r="A198" s="129" t="s">
        <v>335</v>
      </c>
      <c r="B198" s="130">
        <v>0</v>
      </c>
      <c r="C198" s="142"/>
      <c r="D198" s="130"/>
      <c r="E198" s="129">
        <f t="shared" si="10"/>
        <v>0</v>
      </c>
    </row>
    <row r="199" spans="1:8" ht="12.65" customHeight="1" x14ac:dyDescent="0.3">
      <c r="A199" s="129" t="s">
        <v>336</v>
      </c>
      <c r="B199" s="130">
        <v>0</v>
      </c>
      <c r="C199" s="142"/>
      <c r="D199" s="130"/>
      <c r="E199" s="129">
        <f t="shared" si="10"/>
        <v>0</v>
      </c>
    </row>
    <row r="200" spans="1:8" ht="12.65" customHeight="1" x14ac:dyDescent="0.3">
      <c r="A200" s="129" t="s">
        <v>337</v>
      </c>
      <c r="B200" s="130">
        <v>39493280</v>
      </c>
      <c r="C200" s="142">
        <v>2037024</v>
      </c>
      <c r="D200" s="130"/>
      <c r="E200" s="129">
        <f t="shared" si="10"/>
        <v>41530304</v>
      </c>
    </row>
    <row r="201" spans="1:8" ht="12.65" customHeight="1" x14ac:dyDescent="0.3">
      <c r="A201" s="129" t="s">
        <v>338</v>
      </c>
      <c r="B201" s="130">
        <v>0</v>
      </c>
      <c r="C201" s="142"/>
      <c r="D201" s="130"/>
      <c r="E201" s="129">
        <f t="shared" si="10"/>
        <v>0</v>
      </c>
    </row>
    <row r="202" spans="1:8" ht="12.65" customHeight="1" x14ac:dyDescent="0.3">
      <c r="A202" s="129" t="s">
        <v>339</v>
      </c>
      <c r="B202" s="130">
        <v>1361180</v>
      </c>
      <c r="C202" s="142"/>
      <c r="D202" s="130"/>
      <c r="E202" s="129">
        <f t="shared" si="10"/>
        <v>1361180</v>
      </c>
    </row>
    <row r="203" spans="1:8" ht="12.65" customHeight="1" x14ac:dyDescent="0.3">
      <c r="A203" s="129" t="s">
        <v>340</v>
      </c>
      <c r="B203" s="130">
        <v>493251</v>
      </c>
      <c r="C203" s="142">
        <v>501992</v>
      </c>
      <c r="D203" s="130"/>
      <c r="E203" s="129">
        <f t="shared" si="10"/>
        <v>995243</v>
      </c>
    </row>
    <row r="204" spans="1:8" ht="12.65" customHeight="1" x14ac:dyDescent="0.3">
      <c r="A204" s="129" t="s">
        <v>203</v>
      </c>
      <c r="B204" s="129">
        <f>SUM(B195:B203)</f>
        <v>87682823.189999998</v>
      </c>
      <c r="C204" s="144">
        <f>SUM(C195:C203)</f>
        <v>2704636</v>
      </c>
      <c r="D204" s="129">
        <f>SUM(D195:D203)</f>
        <v>0</v>
      </c>
      <c r="E204" s="129">
        <f>SUM(E195:E203)</f>
        <v>90387459.189999998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1515043</v>
      </c>
      <c r="C209" s="142">
        <v>251000</v>
      </c>
      <c r="D209" s="130"/>
      <c r="E209" s="129">
        <f t="shared" ref="E209:E216" si="11">SUM(B209:C209)-D209</f>
        <v>1766043</v>
      </c>
      <c r="H209"/>
    </row>
    <row r="210" spans="1:8" ht="12.65" customHeight="1" x14ac:dyDescent="0.3">
      <c r="A210" s="129" t="s">
        <v>334</v>
      </c>
      <c r="B210" s="130">
        <v>20142436</v>
      </c>
      <c r="C210" s="142">
        <v>1722816</v>
      </c>
      <c r="D210" s="130"/>
      <c r="E210" s="129">
        <f t="shared" si="11"/>
        <v>21865252</v>
      </c>
      <c r="H210"/>
    </row>
    <row r="211" spans="1:8" ht="12.65" customHeight="1" x14ac:dyDescent="0.3">
      <c r="A211" s="129" t="s">
        <v>335</v>
      </c>
      <c r="B211" s="130">
        <v>0</v>
      </c>
      <c r="C211" s="142">
        <v>0</v>
      </c>
      <c r="D211" s="130"/>
      <c r="E211" s="129">
        <f t="shared" si="11"/>
        <v>0</v>
      </c>
      <c r="H211"/>
    </row>
    <row r="212" spans="1:8" ht="12.65" customHeight="1" x14ac:dyDescent="0.3">
      <c r="A212" s="129" t="s">
        <v>336</v>
      </c>
      <c r="B212" s="130">
        <v>0</v>
      </c>
      <c r="C212" s="142">
        <v>0</v>
      </c>
      <c r="D212" s="130"/>
      <c r="E212" s="129">
        <f t="shared" si="11"/>
        <v>0</v>
      </c>
      <c r="H212"/>
    </row>
    <row r="213" spans="1:8" ht="12.65" customHeight="1" x14ac:dyDescent="0.3">
      <c r="A213" s="129" t="s">
        <v>337</v>
      </c>
      <c r="B213" s="130">
        <v>22593911</v>
      </c>
      <c r="C213" s="142">
        <v>2666214</v>
      </c>
      <c r="D213" s="130"/>
      <c r="E213" s="129">
        <f t="shared" si="11"/>
        <v>25260125</v>
      </c>
      <c r="H213"/>
    </row>
    <row r="214" spans="1:8" ht="12.65" customHeight="1" x14ac:dyDescent="0.3">
      <c r="A214" s="129" t="s">
        <v>338</v>
      </c>
      <c r="B214" s="130">
        <v>0</v>
      </c>
      <c r="C214" s="142">
        <v>0</v>
      </c>
      <c r="D214" s="130"/>
      <c r="E214" s="129">
        <f t="shared" si="11"/>
        <v>0</v>
      </c>
      <c r="H214"/>
    </row>
    <row r="215" spans="1:8" ht="12.65" customHeight="1" x14ac:dyDescent="0.3">
      <c r="A215" s="129" t="s">
        <v>339</v>
      </c>
      <c r="B215" s="130">
        <v>778739</v>
      </c>
      <c r="C215" s="142">
        <v>118978</v>
      </c>
      <c r="D215" s="130"/>
      <c r="E215" s="129">
        <f t="shared" si="11"/>
        <v>897717</v>
      </c>
      <c r="H215"/>
    </row>
    <row r="216" spans="1:8" ht="12.65" customHeight="1" x14ac:dyDescent="0.3">
      <c r="A216" s="129" t="s">
        <v>340</v>
      </c>
      <c r="B216" s="130">
        <v>0</v>
      </c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45030129</v>
      </c>
      <c r="C217" s="144">
        <f>SUM(C208:C216)</f>
        <v>4759008</v>
      </c>
      <c r="D217" s="129">
        <f>SUM(D208:D216)</f>
        <v>0</v>
      </c>
      <c r="E217" s="129">
        <f>SUM(E208:E216)</f>
        <v>49789137</v>
      </c>
    </row>
    <row r="218" spans="1:8" ht="12.65" customHeight="1" x14ac:dyDescent="0.3">
      <c r="A218" s="129"/>
      <c r="B218" s="129"/>
      <c r="C218" s="144"/>
      <c r="D218" s="129"/>
      <c r="E218" s="129"/>
    </row>
    <row r="219" spans="1:8" ht="21.7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70" t="s">
        <v>1254</v>
      </c>
      <c r="C220" s="270"/>
      <c r="D220" s="159"/>
      <c r="E220" s="159"/>
    </row>
    <row r="221" spans="1:8" ht="12.65" customHeight="1" x14ac:dyDescent="0.3">
      <c r="A221" s="210" t="s">
        <v>1254</v>
      </c>
      <c r="B221" s="159"/>
      <c r="C221" s="142">
        <v>3778000</v>
      </c>
      <c r="D221" s="128">
        <f>C221</f>
        <v>3778000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142">
        <v>90312560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20739856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/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/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/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111052416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142">
        <v>1773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>
        <v>336849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3339718.8199999938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3676567.8199999938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142">
        <v>99324</v>
      </c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>
        <v>22473973</v>
      </c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22573297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141080280.81999999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65" customHeight="1" x14ac:dyDescent="0.3">
      <c r="A247" s="129"/>
      <c r="B247" s="129"/>
      <c r="C247" s="144"/>
      <c r="D247" s="129"/>
      <c r="E247" s="129"/>
    </row>
    <row r="248" spans="1:5" ht="11.25" customHeight="1" x14ac:dyDescent="0.3">
      <c r="A248" s="159" t="s">
        <v>360</v>
      </c>
      <c r="B248" s="159"/>
      <c r="C248" s="159"/>
      <c r="D248" s="159"/>
      <c r="E248" s="159"/>
    </row>
    <row r="249" spans="1:5" ht="12.6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142">
        <v>8737552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142"/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142">
        <v>18331175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142">
        <v>3713000</v>
      </c>
      <c r="D253" s="129"/>
      <c r="E253" s="129"/>
    </row>
    <row r="254" spans="1:5" ht="12.65" customHeight="1" x14ac:dyDescent="0.3">
      <c r="A254" s="129" t="s">
        <v>1240</v>
      </c>
      <c r="B254" s="128" t="s">
        <v>256</v>
      </c>
      <c r="C254" s="142">
        <v>2609993</v>
      </c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142">
        <v>1522924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142"/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142">
        <v>4278466.6900000004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142">
        <v>1212852.75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1.25" customHeight="1" x14ac:dyDescent="0.3">
      <c r="A260" s="129" t="s">
        <v>371</v>
      </c>
      <c r="B260" s="129"/>
      <c r="C260" s="144"/>
      <c r="D260" s="129">
        <f>SUM(C250:C252)-C253+SUM(C254:C259)</f>
        <v>32979963.440000001</v>
      </c>
      <c r="E260" s="129"/>
    </row>
    <row r="261" spans="1:5" ht="12.6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>
        <v>47779134.609999999</v>
      </c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>
        <v>10939.32</v>
      </c>
      <c r="D264" s="129"/>
      <c r="E264" s="129"/>
    </row>
    <row r="265" spans="1:5" ht="11.25" customHeight="1" x14ac:dyDescent="0.3">
      <c r="A265" s="129" t="s">
        <v>374</v>
      </c>
      <c r="B265" s="129"/>
      <c r="C265" s="144"/>
      <c r="D265" s="129">
        <f>SUM(C262:C264)</f>
        <v>47790073.93</v>
      </c>
      <c r="E265" s="129"/>
    </row>
    <row r="266" spans="1:5" ht="12.6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142">
        <v>1715331.19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142">
        <v>4028158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142">
        <v>40757243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142">
        <v>0</v>
      </c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142">
        <v>0</v>
      </c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142">
        <v>41530304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142">
        <v>0</v>
      </c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142">
        <v>1361180</v>
      </c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89392216.189999998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v>49789137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39603079.189999998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/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/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0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/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120373116.56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29"/>
      <c r="B301" s="129"/>
      <c r="C301" s="144"/>
      <c r="D301" s="129"/>
      <c r="E301" s="129"/>
    </row>
    <row r="302" spans="1:5" ht="14.25" customHeight="1" x14ac:dyDescent="0.3">
      <c r="A302" s="159" t="s">
        <v>394</v>
      </c>
      <c r="B302" s="159"/>
      <c r="C302" s="159"/>
      <c r="D302" s="159"/>
      <c r="E302" s="159"/>
    </row>
    <row r="303" spans="1:5" ht="12.6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v>3252332.93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8033225.3300000001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/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>
        <v>18241170</v>
      </c>
      <c r="D308" s="129"/>
      <c r="E308" s="129"/>
    </row>
    <row r="309" spans="1:5" ht="12.65" customHeight="1" x14ac:dyDescent="0.3">
      <c r="A309" s="129" t="s">
        <v>1241</v>
      </c>
      <c r="B309" s="128" t="s">
        <v>256</v>
      </c>
      <c r="C309" s="142"/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>
        <v>381629</v>
      </c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/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29908357.259999998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/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>
        <v>3923948</v>
      </c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/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>
        <v>24343151</v>
      </c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9.5" customHeight="1" x14ac:dyDescent="0.3">
      <c r="A327" s="129" t="s">
        <v>418</v>
      </c>
      <c r="B327" s="128" t="s">
        <v>256</v>
      </c>
      <c r="C327" s="142"/>
      <c r="D327" s="129"/>
      <c r="E327" s="129"/>
    </row>
    <row r="328" spans="1:5" ht="12.65" customHeight="1" x14ac:dyDescent="0.3">
      <c r="A328" s="129" t="s">
        <v>203</v>
      </c>
      <c r="B328" s="129"/>
      <c r="C328" s="144"/>
      <c r="D328" s="129">
        <f>SUM(C321:C327)</f>
        <v>28267099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0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28267099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v>63160338.240000002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1252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121335794.5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120373116.56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142">
        <v>36422817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219712976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256135793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1254</v>
      </c>
      <c r="B363" s="199"/>
      <c r="C363" s="142">
        <v>3778000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142">
        <v>106984645.75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3658134.69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>
        <v>26659500</v>
      </c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141080280.44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115055512.56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142">
        <v>15262648.530000001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>
        <v>0</v>
      </c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15262648.530000001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130318161.09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142">
        <v>65363392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14751096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3034303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24818051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1201686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v>8330773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4814047.3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1616221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897783.02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749436.77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977279.25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v>3222117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129776185.33999999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541975.7500000149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v>1008586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1550561.7500000149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3.5" customHeight="1" x14ac:dyDescent="0.3">
      <c r="A396" s="129" t="s">
        <v>458</v>
      </c>
      <c r="B396" s="129"/>
      <c r="C396" s="144"/>
      <c r="D396" s="129">
        <f>D393+C394-C395</f>
        <v>1550561.7500000149</v>
      </c>
      <c r="E396" s="129"/>
    </row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Jefferson County Public Hospital District No 2   H-0     FYE 12/31/2020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975</v>
      </c>
      <c r="C414" s="1">
        <f>E138</f>
        <v>975</v>
      </c>
    </row>
    <row r="415" spans="1:5" ht="12.65" customHeight="1" x14ac:dyDescent="0.3">
      <c r="A415" s="1" t="s">
        <v>464</v>
      </c>
      <c r="B415" s="1">
        <f>D111</f>
        <v>2851</v>
      </c>
      <c r="C415" s="1">
        <f>E139</f>
        <v>2851</v>
      </c>
      <c r="D415" s="1">
        <f>SUM(C59:H59)+N59</f>
        <v>3160</v>
      </c>
    </row>
    <row r="417" spans="1:7" ht="12.65" customHeight="1" x14ac:dyDescent="0.3">
      <c r="A417" s="1" t="s">
        <v>465</v>
      </c>
      <c r="B417" s="1">
        <f>C112</f>
        <v>10</v>
      </c>
      <c r="C417" s="1">
        <f>E144</f>
        <v>10</v>
      </c>
    </row>
    <row r="418" spans="1:7" ht="12.65" customHeight="1" x14ac:dyDescent="0.3">
      <c r="A418" s="1" t="s">
        <v>466</v>
      </c>
      <c r="B418" s="1">
        <f>D112</f>
        <v>152</v>
      </c>
      <c r="C418" s="1">
        <f>E145</f>
        <v>152</v>
      </c>
      <c r="D418" s="1">
        <f>K59+L59</f>
        <v>167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88</v>
      </c>
    </row>
    <row r="424" spans="1:7" ht="12.65" customHeight="1" x14ac:dyDescent="0.3">
      <c r="A424" s="1" t="s">
        <v>1243</v>
      </c>
      <c r="B424" s="1">
        <f>D114</f>
        <v>197</v>
      </c>
      <c r="D424" s="1">
        <f>J59</f>
        <v>149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2">C378</f>
        <v>65363392</v>
      </c>
      <c r="C427" s="1">
        <f t="shared" ref="C427:C434" si="13">CE61</f>
        <v>65363392</v>
      </c>
    </row>
    <row r="428" spans="1:7" ht="12.65" customHeight="1" x14ac:dyDescent="0.3">
      <c r="A428" s="1" t="s">
        <v>3</v>
      </c>
      <c r="B428" s="1">
        <f t="shared" si="12"/>
        <v>14751096</v>
      </c>
      <c r="C428" s="1">
        <f t="shared" si="13"/>
        <v>14751096</v>
      </c>
      <c r="D428" s="1">
        <f>D173</f>
        <v>14751096</v>
      </c>
    </row>
    <row r="429" spans="1:7" ht="12.65" customHeight="1" x14ac:dyDescent="0.3">
      <c r="A429" s="1" t="s">
        <v>236</v>
      </c>
      <c r="B429" s="1">
        <f t="shared" si="12"/>
        <v>3034303</v>
      </c>
      <c r="C429" s="1">
        <f t="shared" si="13"/>
        <v>3034303</v>
      </c>
    </row>
    <row r="430" spans="1:7" ht="12.65" customHeight="1" x14ac:dyDescent="0.3">
      <c r="A430" s="1" t="s">
        <v>237</v>
      </c>
      <c r="B430" s="1">
        <f t="shared" si="12"/>
        <v>24818051</v>
      </c>
      <c r="C430" s="1">
        <f t="shared" si="13"/>
        <v>24818051</v>
      </c>
    </row>
    <row r="431" spans="1:7" ht="12.65" customHeight="1" x14ac:dyDescent="0.3">
      <c r="A431" s="1" t="s">
        <v>444</v>
      </c>
      <c r="B431" s="1">
        <f t="shared" si="12"/>
        <v>1201686</v>
      </c>
      <c r="C431" s="1">
        <f t="shared" si="13"/>
        <v>1201686</v>
      </c>
    </row>
    <row r="432" spans="1:7" ht="12.65" customHeight="1" x14ac:dyDescent="0.3">
      <c r="A432" s="1" t="s">
        <v>445</v>
      </c>
      <c r="B432" s="1">
        <f t="shared" si="12"/>
        <v>8330773</v>
      </c>
      <c r="C432" s="1">
        <f t="shared" si="13"/>
        <v>8330773</v>
      </c>
    </row>
    <row r="433" spans="1:7" ht="12.65" customHeight="1" x14ac:dyDescent="0.3">
      <c r="A433" s="1" t="s">
        <v>6</v>
      </c>
      <c r="B433" s="1">
        <f t="shared" si="12"/>
        <v>4814047.3</v>
      </c>
      <c r="C433" s="1">
        <f t="shared" si="13"/>
        <v>5654583</v>
      </c>
      <c r="D433" s="1">
        <f>C217</f>
        <v>4759008</v>
      </c>
    </row>
    <row r="434" spans="1:7" ht="12.65" customHeight="1" x14ac:dyDescent="0.3">
      <c r="A434" s="1" t="s">
        <v>474</v>
      </c>
      <c r="B434" s="1">
        <f t="shared" si="12"/>
        <v>1616221</v>
      </c>
      <c r="C434" s="1">
        <f t="shared" si="13"/>
        <v>1616221</v>
      </c>
      <c r="D434" s="1">
        <f>D177</f>
        <v>1616221</v>
      </c>
    </row>
    <row r="435" spans="1:7" ht="12.65" customHeight="1" x14ac:dyDescent="0.3">
      <c r="A435" s="1" t="s">
        <v>447</v>
      </c>
      <c r="B435" s="1">
        <f t="shared" si="12"/>
        <v>897783.02</v>
      </c>
      <c r="D435" s="1">
        <f>D181</f>
        <v>897784</v>
      </c>
    </row>
    <row r="436" spans="1:7" ht="12.65" customHeight="1" x14ac:dyDescent="0.3">
      <c r="A436" s="1" t="s">
        <v>475</v>
      </c>
      <c r="B436" s="1">
        <f t="shared" si="12"/>
        <v>749436.77</v>
      </c>
      <c r="D436" s="1">
        <f>D186</f>
        <v>0</v>
      </c>
    </row>
    <row r="437" spans="1:7" ht="12.65" customHeight="1" x14ac:dyDescent="0.3">
      <c r="A437" s="1" t="s">
        <v>449</v>
      </c>
      <c r="B437" s="1">
        <f t="shared" si="12"/>
        <v>977279.25</v>
      </c>
      <c r="D437" s="1">
        <f>D190</f>
        <v>960490</v>
      </c>
    </row>
    <row r="438" spans="1:7" ht="12.65" customHeight="1" x14ac:dyDescent="0.3">
      <c r="A438" s="1" t="s">
        <v>476</v>
      </c>
      <c r="B438" s="1">
        <f>C386+C387+C388</f>
        <v>2624499.04</v>
      </c>
      <c r="C438" s="1">
        <f>CD69</f>
        <v>0</v>
      </c>
      <c r="D438" s="1">
        <f>D181+D186+D190</f>
        <v>1858274</v>
      </c>
    </row>
    <row r="439" spans="1:7" ht="12.65" customHeight="1" x14ac:dyDescent="0.3">
      <c r="A439" s="1" t="s">
        <v>451</v>
      </c>
      <c r="B439" s="1">
        <f>C389</f>
        <v>3222117</v>
      </c>
      <c r="C439" s="1">
        <f>SUM(C69:CC69)</f>
        <v>2604154</v>
      </c>
    </row>
    <row r="440" spans="1:7" ht="12.65" customHeight="1" x14ac:dyDescent="0.3">
      <c r="A440" s="1" t="s">
        <v>477</v>
      </c>
      <c r="B440" s="1">
        <f>B438+B439</f>
        <v>5846616.04</v>
      </c>
      <c r="C440" s="1">
        <f>CE69</f>
        <v>2604154</v>
      </c>
    </row>
    <row r="441" spans="1:7" ht="12.65" customHeight="1" x14ac:dyDescent="0.3">
      <c r="A441" s="1" t="s">
        <v>478</v>
      </c>
      <c r="B441" s="1">
        <f>D390</f>
        <v>129776185.33999999</v>
      </c>
      <c r="C441" s="1">
        <f>SUM(C427:C437)+C440</f>
        <v>127374259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1256</v>
      </c>
      <c r="B444" s="1">
        <f>D221</f>
        <v>3778000</v>
      </c>
      <c r="C444" s="1">
        <f>C363</f>
        <v>3778000</v>
      </c>
    </row>
    <row r="445" spans="1:7" ht="12.65" customHeight="1" x14ac:dyDescent="0.3">
      <c r="A445" s="1" t="s">
        <v>343</v>
      </c>
      <c r="B445" s="1">
        <f>D229</f>
        <v>111052416</v>
      </c>
      <c r="C445" s="1">
        <f>C364</f>
        <v>106984645.75</v>
      </c>
    </row>
    <row r="446" spans="1:7" ht="12.65" customHeight="1" x14ac:dyDescent="0.3">
      <c r="A446" s="1" t="s">
        <v>351</v>
      </c>
      <c r="B446" s="1">
        <f>D236</f>
        <v>3676567.8199999938</v>
      </c>
      <c r="C446" s="1">
        <f>C365</f>
        <v>3658134.69</v>
      </c>
    </row>
    <row r="447" spans="1:7" ht="12.65" customHeight="1" x14ac:dyDescent="0.3">
      <c r="A447" s="1" t="s">
        <v>356</v>
      </c>
      <c r="B447" s="1">
        <f>D240</f>
        <v>22573297</v>
      </c>
      <c r="C447" s="1">
        <f>C366</f>
        <v>26659500</v>
      </c>
    </row>
    <row r="448" spans="1:7" ht="12.65" customHeight="1" x14ac:dyDescent="0.3">
      <c r="A448" s="1" t="s">
        <v>358</v>
      </c>
      <c r="B448" s="1">
        <f>D242</f>
        <v>141080280.81999999</v>
      </c>
      <c r="C448" s="1">
        <f>D367</f>
        <v>141080280.44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1773</v>
      </c>
    </row>
    <row r="454" spans="1:7" ht="12.65" customHeight="1" x14ac:dyDescent="0.3">
      <c r="A454" s="1" t="s">
        <v>168</v>
      </c>
      <c r="B454" s="1">
        <f>C233</f>
        <v>336849</v>
      </c>
    </row>
    <row r="455" spans="1:7" ht="12.65" customHeight="1" x14ac:dyDescent="0.3">
      <c r="A455" s="1" t="s">
        <v>131</v>
      </c>
      <c r="B455" s="1">
        <f>C234</f>
        <v>3339718.8199999938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15262648.530000001</v>
      </c>
      <c r="C458" s="1">
        <f>CE70</f>
        <v>5074779</v>
      </c>
    </row>
    <row r="459" spans="1:7" ht="12.65" customHeight="1" x14ac:dyDescent="0.3">
      <c r="A459" s="1" t="s">
        <v>244</v>
      </c>
      <c r="B459" s="1">
        <f>C371</f>
        <v>0</v>
      </c>
      <c r="C459" s="1">
        <f>CE72</f>
        <v>484235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1244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36422817</v>
      </c>
      <c r="C463" s="1">
        <f>CE73</f>
        <v>36422574</v>
      </c>
      <c r="D463" s="1">
        <f>E141+E147+E153</f>
        <v>36645319</v>
      </c>
    </row>
    <row r="464" spans="1:7" ht="12.65" customHeight="1" x14ac:dyDescent="0.3">
      <c r="A464" s="1" t="s">
        <v>246</v>
      </c>
      <c r="B464" s="1">
        <f>C360</f>
        <v>219712976</v>
      </c>
      <c r="C464" s="1">
        <f>CE74</f>
        <v>219743676</v>
      </c>
      <c r="D464" s="1">
        <f>E142+E148+E154</f>
        <v>219520931</v>
      </c>
    </row>
    <row r="465" spans="1:7" ht="12.65" customHeight="1" x14ac:dyDescent="0.3">
      <c r="A465" s="1" t="s">
        <v>247</v>
      </c>
      <c r="B465" s="1">
        <f>D361</f>
        <v>256135793</v>
      </c>
      <c r="C465" s="1">
        <f>CE75</f>
        <v>256166250</v>
      </c>
      <c r="D465" s="1">
        <f>D463+D464</f>
        <v>256166250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4">C267</f>
        <v>1715331.19</v>
      </c>
      <c r="C468" s="1">
        <f>E195</f>
        <v>1715331.19</v>
      </c>
    </row>
    <row r="469" spans="1:7" ht="12.65" customHeight="1" x14ac:dyDescent="0.3">
      <c r="A469" s="1" t="s">
        <v>333</v>
      </c>
      <c r="B469" s="1">
        <f t="shared" si="14"/>
        <v>4028158</v>
      </c>
      <c r="C469" s="1">
        <f>E196</f>
        <v>4028158</v>
      </c>
    </row>
    <row r="470" spans="1:7" ht="12.65" customHeight="1" x14ac:dyDescent="0.3">
      <c r="A470" s="1" t="s">
        <v>334</v>
      </c>
      <c r="B470" s="1">
        <f t="shared" si="14"/>
        <v>40757243</v>
      </c>
      <c r="C470" s="1">
        <f>E197</f>
        <v>40757243</v>
      </c>
    </row>
    <row r="471" spans="1:7" ht="12.65" customHeight="1" x14ac:dyDescent="0.3">
      <c r="A471" s="1" t="s">
        <v>494</v>
      </c>
      <c r="B471" s="1">
        <f t="shared" si="14"/>
        <v>0</v>
      </c>
      <c r="C471" s="1">
        <f>E198</f>
        <v>0</v>
      </c>
    </row>
    <row r="472" spans="1:7" ht="12.65" customHeight="1" x14ac:dyDescent="0.3">
      <c r="A472" s="1" t="s">
        <v>377</v>
      </c>
      <c r="B472" s="1">
        <f t="shared" si="14"/>
        <v>0</v>
      </c>
      <c r="C472" s="1">
        <f>E199</f>
        <v>0</v>
      </c>
    </row>
    <row r="473" spans="1:7" ht="12.65" customHeight="1" x14ac:dyDescent="0.3">
      <c r="A473" s="1" t="s">
        <v>495</v>
      </c>
      <c r="B473" s="1">
        <f t="shared" si="14"/>
        <v>41530304</v>
      </c>
      <c r="C473" s="1">
        <f>SUM(E200:E201)</f>
        <v>41530304</v>
      </c>
    </row>
    <row r="474" spans="1:7" ht="12.65" customHeight="1" x14ac:dyDescent="0.3">
      <c r="A474" s="1" t="s">
        <v>339</v>
      </c>
      <c r="B474" s="1">
        <f t="shared" si="14"/>
        <v>0</v>
      </c>
      <c r="C474" s="1">
        <f>E202</f>
        <v>1361180</v>
      </c>
    </row>
    <row r="475" spans="1:7" ht="12.65" customHeight="1" x14ac:dyDescent="0.3">
      <c r="A475" s="1" t="s">
        <v>340</v>
      </c>
      <c r="B475" s="1">
        <f t="shared" si="14"/>
        <v>1361180</v>
      </c>
      <c r="C475" s="1">
        <f>E203</f>
        <v>995243</v>
      </c>
    </row>
    <row r="476" spans="1:7" ht="12.65" customHeight="1" x14ac:dyDescent="0.3">
      <c r="A476" s="1" t="s">
        <v>203</v>
      </c>
      <c r="B476" s="1">
        <f>D275</f>
        <v>89392216.189999998</v>
      </c>
      <c r="C476" s="1">
        <f>E204</f>
        <v>90387459.189999998</v>
      </c>
    </row>
    <row r="478" spans="1:7" ht="12.65" customHeight="1" x14ac:dyDescent="0.3">
      <c r="A478" s="1" t="s">
        <v>496</v>
      </c>
      <c r="B478" s="1">
        <f>C276</f>
        <v>49789137</v>
      </c>
      <c r="C478" s="1">
        <f>E217</f>
        <v>49789137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120373116.56</v>
      </c>
    </row>
    <row r="482" spans="1:12" ht="12.65" customHeight="1" x14ac:dyDescent="0.3">
      <c r="A482" s="1" t="s">
        <v>499</v>
      </c>
      <c r="C482" s="1">
        <f>D339</f>
        <v>121335794.5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085</v>
      </c>
      <c r="B493" s="202" t="str">
        <f>RIGHT('[1]Prior Year'!C82,4)</f>
        <v>2019</v>
      </c>
      <c r="C493" s="202" t="str">
        <f>RIGHT(C82,4)</f>
        <v>2020</v>
      </c>
      <c r="D493" s="202" t="str">
        <f>RIGHT('[1]Prior Year'!C82,4)</f>
        <v>2019</v>
      </c>
      <c r="E493" s="202" t="str">
        <f>RIGHT(C82,4)</f>
        <v>2020</v>
      </c>
      <c r="F493" s="202" t="str">
        <f>RIGHT('[1]Prior Year'!C82,4)</f>
        <v>2019</v>
      </c>
      <c r="G493" s="202" t="str">
        <f>RIGHT(C82,4)</f>
        <v>2020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'[1]Prior Year'!C71</f>
        <v>1602597</v>
      </c>
      <c r="C496" s="185">
        <f>C71</f>
        <v>1369549</v>
      </c>
      <c r="D496" s="185">
        <f>'[1]Prior Year'!C59</f>
        <v>263</v>
      </c>
      <c r="E496" s="1">
        <f>C59</f>
        <v>179</v>
      </c>
      <c r="F496" s="204">
        <f t="shared" ref="F496:G511" si="15">IF(B496=0,"",IF(D496=0,"",B496/D496))</f>
        <v>6093.5247148288972</v>
      </c>
      <c r="G496" s="204">
        <f t="shared" si="15"/>
        <v>7651.1117318435754</v>
      </c>
      <c r="H496" s="205">
        <f>IF(B496=0,"",IF(C496=0,"",IF(D496=0,"",IF(E496=0,"",IF(G496/F496-1&lt;-0.25,G496/F496-1,IF(G496/F496-1&gt;0.25,G496/F496-1,""))))))</f>
        <v>0.25561347330293294</v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'[1]Prior Year'!D71</f>
        <v>0</v>
      </c>
      <c r="C497" s="185">
        <f>D71</f>
        <v>0</v>
      </c>
      <c r="D497" s="185">
        <f>'[1]Prior Year'!D59</f>
        <v>0</v>
      </c>
      <c r="E497" s="1">
        <f>D59</f>
        <v>0</v>
      </c>
      <c r="F497" s="204" t="str">
        <f t="shared" si="15"/>
        <v/>
      </c>
      <c r="G497" s="204" t="str">
        <f t="shared" si="15"/>
        <v/>
      </c>
      <c r="H497" s="205" t="str">
        <f t="shared" ref="H497:H550" si="16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'[1]Prior Year'!E71</f>
        <v>4120145</v>
      </c>
      <c r="C498" s="185">
        <f>E71</f>
        <v>4174509</v>
      </c>
      <c r="D498" s="185">
        <f>'[1]Prior Year'!E59</f>
        <v>3864</v>
      </c>
      <c r="E498" s="1">
        <f>E59</f>
        <v>2981</v>
      </c>
      <c r="F498" s="204">
        <f t="shared" si="15"/>
        <v>1066.2901138716356</v>
      </c>
      <c r="G498" s="204">
        <f t="shared" si="15"/>
        <v>1400.3720228111372</v>
      </c>
      <c r="H498" s="205">
        <f t="shared" si="16"/>
        <v>0.31331239462257621</v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'[1]Prior Year'!F71</f>
        <v>0</v>
      </c>
      <c r="C499" s="185">
        <f>F71</f>
        <v>0</v>
      </c>
      <c r="D499" s="185">
        <f>'[1]Prior Year'!F59</f>
        <v>0</v>
      </c>
      <c r="E499" s="1">
        <f>F59</f>
        <v>0</v>
      </c>
      <c r="F499" s="204" t="str">
        <f t="shared" si="15"/>
        <v/>
      </c>
      <c r="G499" s="204" t="str">
        <f t="shared" si="15"/>
        <v/>
      </c>
      <c r="H499" s="205" t="str">
        <f t="shared" si="16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'[1]Prior Year'!G71</f>
        <v>0</v>
      </c>
      <c r="C500" s="185">
        <f>G71</f>
        <v>0</v>
      </c>
      <c r="D500" s="185">
        <f>'[1]Prior Year'!G59</f>
        <v>0</v>
      </c>
      <c r="E500" s="1">
        <f>G59</f>
        <v>0</v>
      </c>
      <c r="F500" s="204" t="str">
        <f t="shared" si="15"/>
        <v/>
      </c>
      <c r="G500" s="204" t="str">
        <f t="shared" si="15"/>
        <v/>
      </c>
      <c r="H500" s="205" t="str">
        <f t="shared" si="16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'[1]Prior Year'!H71</f>
        <v>0</v>
      </c>
      <c r="C501" s="185">
        <f>H71</f>
        <v>0</v>
      </c>
      <c r="D501" s="185">
        <f>'[1]Prior Year'!H59</f>
        <v>0</v>
      </c>
      <c r="E501" s="1">
        <f>H59</f>
        <v>0</v>
      </c>
      <c r="F501" s="204" t="str">
        <f t="shared" si="15"/>
        <v/>
      </c>
      <c r="G501" s="204" t="str">
        <f t="shared" si="15"/>
        <v/>
      </c>
      <c r="H501" s="205" t="str">
        <f t="shared" si="16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'[1]Prior Year'!I71</f>
        <v>0</v>
      </c>
      <c r="C502" s="185">
        <f>I71</f>
        <v>0</v>
      </c>
      <c r="D502" s="185">
        <f>'[1]Prior Year'!I59</f>
        <v>0</v>
      </c>
      <c r="E502" s="1">
        <f>I59</f>
        <v>0</v>
      </c>
      <c r="F502" s="204" t="str">
        <f t="shared" si="15"/>
        <v/>
      </c>
      <c r="G502" s="204" t="str">
        <f t="shared" si="15"/>
        <v/>
      </c>
      <c r="H502" s="205" t="str">
        <f t="shared" si="16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'[1]Prior Year'!J71</f>
        <v>1797</v>
      </c>
      <c r="C503" s="185">
        <f>J71</f>
        <v>2934</v>
      </c>
      <c r="D503" s="185">
        <f>'[1]Prior Year'!J59</f>
        <v>238</v>
      </c>
      <c r="E503" s="1">
        <f>J59</f>
        <v>149</v>
      </c>
      <c r="F503" s="204">
        <f t="shared" si="15"/>
        <v>7.5504201680672267</v>
      </c>
      <c r="G503" s="204">
        <f t="shared" si="15"/>
        <v>19.691275167785236</v>
      </c>
      <c r="H503" s="205">
        <f t="shared" si="16"/>
        <v>1.6079707790388906</v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'[1]Prior Year'!K71</f>
        <v>0</v>
      </c>
      <c r="C504" s="185">
        <f>K71</f>
        <v>0</v>
      </c>
      <c r="D504" s="185">
        <f>'[1]Prior Year'!K59</f>
        <v>0</v>
      </c>
      <c r="E504" s="1">
        <f>K59</f>
        <v>0</v>
      </c>
      <c r="F504" s="204" t="str">
        <f t="shared" si="15"/>
        <v/>
      </c>
      <c r="G504" s="204" t="str">
        <f t="shared" si="15"/>
        <v/>
      </c>
      <c r="H504" s="205" t="str">
        <f t="shared" si="16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'[1]Prior Year'!L71</f>
        <v>45870</v>
      </c>
      <c r="C505" s="185">
        <f>L71</f>
        <v>74474</v>
      </c>
      <c r="D505" s="185">
        <f>'[1]Prior Year'!L59</f>
        <v>188</v>
      </c>
      <c r="E505" s="1">
        <f>L59</f>
        <v>167</v>
      </c>
      <c r="F505" s="204">
        <f t="shared" si="15"/>
        <v>243.98936170212767</v>
      </c>
      <c r="G505" s="204">
        <f t="shared" si="15"/>
        <v>445.95209580838321</v>
      </c>
      <c r="H505" s="205">
        <f t="shared" si="16"/>
        <v>0.82775221303632085</v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'[1]Prior Year'!M71</f>
        <v>0</v>
      </c>
      <c r="C506" s="185">
        <f>M71</f>
        <v>0</v>
      </c>
      <c r="D506" s="185">
        <f>'[1]Prior Year'!M59</f>
        <v>0</v>
      </c>
      <c r="E506" s="1">
        <f>M59</f>
        <v>0</v>
      </c>
      <c r="F506" s="204" t="str">
        <f t="shared" si="15"/>
        <v/>
      </c>
      <c r="G506" s="204" t="str">
        <f t="shared" si="15"/>
        <v/>
      </c>
      <c r="H506" s="205" t="str">
        <f t="shared" si="16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'[1]Prior Year'!N71</f>
        <v>2336577</v>
      </c>
      <c r="C507" s="185">
        <f>N71</f>
        <v>2507487</v>
      </c>
      <c r="D507" s="185">
        <f>'[1]Prior Year'!N59</f>
        <v>0</v>
      </c>
      <c r="E507" s="1">
        <f>N59</f>
        <v>0</v>
      </c>
      <c r="F507" s="204" t="str">
        <f t="shared" si="15"/>
        <v/>
      </c>
      <c r="G507" s="204" t="str">
        <f t="shared" si="15"/>
        <v/>
      </c>
      <c r="H507" s="205" t="str">
        <f t="shared" si="16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'[1]Prior Year'!O71</f>
        <v>1523217</v>
      </c>
      <c r="C508" s="185">
        <f>O71</f>
        <v>1562033</v>
      </c>
      <c r="D508" s="185">
        <f>'[1]Prior Year'!O59</f>
        <v>112</v>
      </c>
      <c r="E508" s="1">
        <f>O59</f>
        <v>88</v>
      </c>
      <c r="F508" s="204">
        <f t="shared" si="15"/>
        <v>13600.151785714286</v>
      </c>
      <c r="G508" s="204">
        <f t="shared" si="15"/>
        <v>17750.375</v>
      </c>
      <c r="H508" s="205">
        <f t="shared" si="16"/>
        <v>0.30516006583434918</v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'[1]Prior Year'!P71</f>
        <v>4117300</v>
      </c>
      <c r="C509" s="185">
        <f>P71</f>
        <v>4042476</v>
      </c>
      <c r="D509" s="185">
        <f>'[1]Prior Year'!P59</f>
        <v>174972</v>
      </c>
      <c r="E509" s="1">
        <f>P59</f>
        <v>164548</v>
      </c>
      <c r="F509" s="204">
        <f t="shared" si="15"/>
        <v>23.531193562398556</v>
      </c>
      <c r="G509" s="204">
        <f t="shared" si="15"/>
        <v>24.567153657291488</v>
      </c>
      <c r="H509" s="205" t="str">
        <f t="shared" si="16"/>
        <v/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'[1]Prior Year'!Q71</f>
        <v>66165</v>
      </c>
      <c r="C510" s="185">
        <f>Q71</f>
        <v>33612</v>
      </c>
      <c r="D510" s="185">
        <f>'[1]Prior Year'!Q59</f>
        <v>37402</v>
      </c>
      <c r="E510" s="1">
        <f>Q59</f>
        <v>36379</v>
      </c>
      <c r="F510" s="204">
        <f t="shared" si="15"/>
        <v>1.7690230468958879</v>
      </c>
      <c r="G510" s="204">
        <f t="shared" si="15"/>
        <v>0.9239396355039996</v>
      </c>
      <c r="H510" s="205">
        <f t="shared" si="16"/>
        <v>-0.47771192855557176</v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'[1]Prior Year'!R71</f>
        <v>1509489</v>
      </c>
      <c r="C511" s="185">
        <f>R71</f>
        <v>1645601</v>
      </c>
      <c r="D511" s="185">
        <f>'[1]Prior Year'!R59</f>
        <v>173729</v>
      </c>
      <c r="E511" s="1">
        <f>R59</f>
        <v>166554</v>
      </c>
      <c r="F511" s="204">
        <f t="shared" si="15"/>
        <v>8.6887566267002061</v>
      </c>
      <c r="G511" s="204">
        <f t="shared" si="15"/>
        <v>9.8802850727091514</v>
      </c>
      <c r="H511" s="205" t="str">
        <f t="shared" si="16"/>
        <v/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'[1]Prior Year'!S71</f>
        <v>1927429</v>
      </c>
      <c r="C512" s="185">
        <f>S71</f>
        <v>1791088</v>
      </c>
      <c r="D512" s="134" t="s">
        <v>529</v>
      </c>
      <c r="E512" s="134" t="s">
        <v>529</v>
      </c>
      <c r="F512" s="204" t="str">
        <f t="shared" ref="F512:G527" si="17">IF(B512=0,"",IF(D512=0,"",B512/D512))</f>
        <v/>
      </c>
      <c r="G512" s="204" t="str">
        <f t="shared" si="17"/>
        <v/>
      </c>
      <c r="H512" s="205" t="str">
        <f t="shared" si="16"/>
        <v/>
      </c>
      <c r="I512" s="207"/>
      <c r="K512" s="202"/>
      <c r="L512" s="202"/>
    </row>
    <row r="513" spans="1:12" ht="12.65" customHeight="1" x14ac:dyDescent="0.3">
      <c r="A513" s="1" t="s">
        <v>1245</v>
      </c>
      <c r="B513" s="185">
        <f>'[1]Prior Year'!T71</f>
        <v>0</v>
      </c>
      <c r="C513" s="185">
        <f>T71</f>
        <v>0</v>
      </c>
      <c r="D513" s="134" t="s">
        <v>529</v>
      </c>
      <c r="E513" s="134" t="s">
        <v>529</v>
      </c>
      <c r="F513" s="204" t="str">
        <f t="shared" si="17"/>
        <v/>
      </c>
      <c r="G513" s="204" t="str">
        <f t="shared" si="17"/>
        <v/>
      </c>
      <c r="H513" s="205" t="str">
        <f t="shared" si="16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'[1]Prior Year'!U71</f>
        <v>4880091</v>
      </c>
      <c r="C514" s="185">
        <f>U71</f>
        <v>6386780</v>
      </c>
      <c r="D514" s="185">
        <f>'[1]Prior Year'!U59</f>
        <v>221752</v>
      </c>
      <c r="E514" s="1">
        <f>U59</f>
        <v>223520</v>
      </c>
      <c r="F514" s="204">
        <f t="shared" si="17"/>
        <v>22.006976261769903</v>
      </c>
      <c r="G514" s="204">
        <f t="shared" si="17"/>
        <v>28.573639942734431</v>
      </c>
      <c r="H514" s="205">
        <f t="shared" si="16"/>
        <v>0.29839009243500714</v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'[1]Prior Year'!V71</f>
        <v>0</v>
      </c>
      <c r="C515" s="185">
        <f>V71</f>
        <v>0</v>
      </c>
      <c r="D515" s="185">
        <f>'[1]Prior Year'!V59</f>
        <v>1223</v>
      </c>
      <c r="E515" s="1">
        <f>V59</f>
        <v>983</v>
      </c>
      <c r="F515" s="204" t="str">
        <f t="shared" si="17"/>
        <v/>
      </c>
      <c r="G515" s="204" t="str">
        <f t="shared" si="17"/>
        <v/>
      </c>
      <c r="H515" s="205" t="str">
        <f t="shared" si="16"/>
        <v/>
      </c>
      <c r="I515" s="207"/>
      <c r="K515" s="202"/>
      <c r="L515" s="202"/>
    </row>
    <row r="516" spans="1:12" ht="12.65" customHeight="1" x14ac:dyDescent="0.3">
      <c r="A516" s="1" t="s">
        <v>532</v>
      </c>
      <c r="B516" s="185">
        <f>'[1]Prior Year'!W71</f>
        <v>622375</v>
      </c>
      <c r="C516" s="185">
        <f>W71</f>
        <v>676140</v>
      </c>
      <c r="D516" s="185">
        <f>'[1]Prior Year'!W59</f>
        <v>2246</v>
      </c>
      <c r="E516" s="1">
        <f>W59</f>
        <v>2147</v>
      </c>
      <c r="F516" s="204">
        <f t="shared" si="17"/>
        <v>277.10373998219058</v>
      </c>
      <c r="G516" s="204">
        <f t="shared" si="17"/>
        <v>314.92314857941312</v>
      </c>
      <c r="H516" s="205" t="str">
        <f t="shared" si="16"/>
        <v/>
      </c>
      <c r="I516" s="207"/>
      <c r="K516" s="202"/>
      <c r="L516" s="202"/>
    </row>
    <row r="517" spans="1:12" ht="12.65" customHeight="1" x14ac:dyDescent="0.3">
      <c r="A517" s="1" t="s">
        <v>533</v>
      </c>
      <c r="B517" s="185">
        <f>'[1]Prior Year'!X71</f>
        <v>435563</v>
      </c>
      <c r="C517" s="185">
        <f>X71</f>
        <v>366757</v>
      </c>
      <c r="D517" s="185">
        <f>'[1]Prior Year'!X59</f>
        <v>5720</v>
      </c>
      <c r="E517" s="1">
        <f>X59</f>
        <v>5555</v>
      </c>
      <c r="F517" s="204">
        <f t="shared" si="17"/>
        <v>76.147377622377618</v>
      </c>
      <c r="G517" s="204">
        <f t="shared" si="17"/>
        <v>66.022862286228616</v>
      </c>
      <c r="H517" s="205" t="str">
        <f t="shared" si="16"/>
        <v/>
      </c>
      <c r="I517" s="207"/>
      <c r="K517" s="202"/>
      <c r="L517" s="202"/>
    </row>
    <row r="518" spans="1:12" ht="12.65" customHeight="1" x14ac:dyDescent="0.3">
      <c r="A518" s="1" t="s">
        <v>534</v>
      </c>
      <c r="B518" s="185">
        <f>'[1]Prior Year'!Y71</f>
        <v>2702972</v>
      </c>
      <c r="C518" s="185">
        <f>Y71</f>
        <v>2809576</v>
      </c>
      <c r="D518" s="185">
        <f>'[1]Prior Year'!Y59</f>
        <v>17752</v>
      </c>
      <c r="E518" s="1">
        <f>Y59</f>
        <v>16265</v>
      </c>
      <c r="F518" s="204">
        <f t="shared" si="17"/>
        <v>152.2629562866156</v>
      </c>
      <c r="G518" s="204">
        <f t="shared" si="17"/>
        <v>172.73753458346141</v>
      </c>
      <c r="H518" s="205" t="str">
        <f t="shared" si="16"/>
        <v/>
      </c>
      <c r="I518" s="207"/>
      <c r="K518" s="202"/>
      <c r="L518" s="202"/>
    </row>
    <row r="519" spans="1:12" ht="12.65" customHeight="1" x14ac:dyDescent="0.3">
      <c r="A519" s="1" t="s">
        <v>535</v>
      </c>
      <c r="B519" s="185">
        <f>'[1]Prior Year'!Z71</f>
        <v>0</v>
      </c>
      <c r="C519" s="185">
        <f>Z71</f>
        <v>0</v>
      </c>
      <c r="D519" s="185">
        <f>'[1]Prior Year'!Z59</f>
        <v>0</v>
      </c>
      <c r="E519" s="1">
        <f>Z59</f>
        <v>0</v>
      </c>
      <c r="F519" s="204" t="str">
        <f t="shared" si="17"/>
        <v/>
      </c>
      <c r="G519" s="204" t="str">
        <f t="shared" si="17"/>
        <v/>
      </c>
      <c r="H519" s="205" t="str">
        <f t="shared" si="16"/>
        <v/>
      </c>
      <c r="I519" s="207"/>
      <c r="K519" s="202"/>
      <c r="L519" s="202"/>
    </row>
    <row r="520" spans="1:12" ht="12.65" customHeight="1" x14ac:dyDescent="0.3">
      <c r="A520" s="1" t="s">
        <v>536</v>
      </c>
      <c r="B520" s="185">
        <f>'[1]Prior Year'!AA71</f>
        <v>287027</v>
      </c>
      <c r="C520" s="185">
        <f>AA71</f>
        <v>276864</v>
      </c>
      <c r="D520" s="185">
        <f>'[1]Prior Year'!AA59</f>
        <v>436</v>
      </c>
      <c r="E520" s="1">
        <f>AA59</f>
        <v>446</v>
      </c>
      <c r="F520" s="204">
        <f t="shared" si="17"/>
        <v>658.31880733944956</v>
      </c>
      <c r="G520" s="204">
        <f t="shared" si="17"/>
        <v>620.77130044843045</v>
      </c>
      <c r="H520" s="205" t="str">
        <f t="shared" si="16"/>
        <v/>
      </c>
      <c r="I520" s="207"/>
      <c r="K520" s="202"/>
      <c r="L520" s="202"/>
    </row>
    <row r="521" spans="1:12" ht="12.65" customHeight="1" x14ac:dyDescent="0.3">
      <c r="A521" s="1" t="s">
        <v>537</v>
      </c>
      <c r="B521" s="185">
        <f>'[1]Prior Year'!AB71</f>
        <v>16135833</v>
      </c>
      <c r="C521" s="185">
        <f>AB71</f>
        <v>14025108</v>
      </c>
      <c r="D521" s="134" t="s">
        <v>529</v>
      </c>
      <c r="E521" s="134" t="s">
        <v>529</v>
      </c>
      <c r="F521" s="204" t="str">
        <f t="shared" si="17"/>
        <v/>
      </c>
      <c r="G521" s="204" t="str">
        <f t="shared" si="17"/>
        <v/>
      </c>
      <c r="H521" s="205" t="str">
        <f t="shared" si="16"/>
        <v/>
      </c>
      <c r="I521" s="207"/>
      <c r="K521" s="202"/>
      <c r="L521" s="202"/>
    </row>
    <row r="522" spans="1:12" ht="12.65" customHeight="1" x14ac:dyDescent="0.3">
      <c r="A522" s="1" t="s">
        <v>538</v>
      </c>
      <c r="B522" s="185">
        <f>'[1]Prior Year'!AC71</f>
        <v>1083157</v>
      </c>
      <c r="C522" s="185">
        <f>AC71</f>
        <v>1144783</v>
      </c>
      <c r="D522" s="185">
        <f>'[1]Prior Year'!AC59</f>
        <v>42603</v>
      </c>
      <c r="E522" s="1">
        <f>AC59</f>
        <v>28724</v>
      </c>
      <c r="F522" s="204">
        <f t="shared" si="17"/>
        <v>25.424430204445695</v>
      </c>
      <c r="G522" s="204">
        <f t="shared" si="17"/>
        <v>39.854581534605209</v>
      </c>
      <c r="H522" s="205">
        <f t="shared" si="16"/>
        <v>0.56757029416676041</v>
      </c>
      <c r="I522" s="207"/>
      <c r="K522" s="202"/>
      <c r="L522" s="202"/>
    </row>
    <row r="523" spans="1:12" ht="12.65" customHeight="1" x14ac:dyDescent="0.3">
      <c r="A523" s="1" t="s">
        <v>539</v>
      </c>
      <c r="B523" s="185">
        <f>'[1]Prior Year'!AD71</f>
        <v>0</v>
      </c>
      <c r="C523" s="185">
        <f>AD71</f>
        <v>0</v>
      </c>
      <c r="D523" s="185">
        <f>'[1]Prior Year'!AD59</f>
        <v>0</v>
      </c>
      <c r="E523" s="1">
        <f>AD59</f>
        <v>0</v>
      </c>
      <c r="F523" s="204" t="str">
        <f t="shared" si="17"/>
        <v/>
      </c>
      <c r="G523" s="204" t="str">
        <f t="shared" si="17"/>
        <v/>
      </c>
      <c r="H523" s="205" t="str">
        <f t="shared" si="16"/>
        <v/>
      </c>
      <c r="I523" s="207"/>
      <c r="K523" s="202"/>
      <c r="L523" s="202"/>
    </row>
    <row r="524" spans="1:12" ht="12.65" customHeight="1" x14ac:dyDescent="0.3">
      <c r="A524" s="1" t="s">
        <v>540</v>
      </c>
      <c r="B524" s="185">
        <f>'[1]Prior Year'!AE71</f>
        <v>3899632</v>
      </c>
      <c r="C524" s="185">
        <f>AE71</f>
        <v>3700352</v>
      </c>
      <c r="D524" s="185">
        <f>'[1]Prior Year'!AE59</f>
        <v>98895</v>
      </c>
      <c r="E524" s="1">
        <f>AE59</f>
        <v>75498</v>
      </c>
      <c r="F524" s="204">
        <f t="shared" si="17"/>
        <v>39.432044087163156</v>
      </c>
      <c r="G524" s="204">
        <f t="shared" si="17"/>
        <v>49.012583114784498</v>
      </c>
      <c r="H524" s="205" t="str">
        <f t="shared" si="16"/>
        <v/>
      </c>
      <c r="I524" s="207"/>
      <c r="K524" s="202"/>
      <c r="L524" s="202"/>
    </row>
    <row r="525" spans="1:12" ht="12.65" customHeight="1" x14ac:dyDescent="0.3">
      <c r="A525" s="1" t="s">
        <v>541</v>
      </c>
      <c r="B525" s="185">
        <f>'[1]Prior Year'!AF71</f>
        <v>0</v>
      </c>
      <c r="C525" s="185">
        <f>AF71</f>
        <v>0</v>
      </c>
      <c r="D525" s="185">
        <f>'[1]Prior Year'!AF59</f>
        <v>0</v>
      </c>
      <c r="E525" s="1">
        <f>AF59</f>
        <v>0</v>
      </c>
      <c r="F525" s="204" t="str">
        <f t="shared" si="17"/>
        <v/>
      </c>
      <c r="G525" s="204" t="str">
        <f t="shared" si="17"/>
        <v/>
      </c>
      <c r="H525" s="205" t="str">
        <f t="shared" si="16"/>
        <v/>
      </c>
      <c r="I525" s="207"/>
      <c r="K525" s="202"/>
      <c r="L525" s="202"/>
    </row>
    <row r="526" spans="1:12" ht="12.65" customHeight="1" x14ac:dyDescent="0.3">
      <c r="A526" s="1" t="s">
        <v>542</v>
      </c>
      <c r="B526" s="185">
        <f>'[1]Prior Year'!AG71</f>
        <v>5782429</v>
      </c>
      <c r="C526" s="185">
        <f>AG71</f>
        <v>6257579</v>
      </c>
      <c r="D526" s="185">
        <f>'[1]Prior Year'!AG59</f>
        <v>12684</v>
      </c>
      <c r="E526" s="1">
        <f>AG59</f>
        <v>10664</v>
      </c>
      <c r="F526" s="204">
        <f t="shared" si="17"/>
        <v>455.88371176285085</v>
      </c>
      <c r="G526" s="204">
        <f t="shared" si="17"/>
        <v>586.79472993248316</v>
      </c>
      <c r="H526" s="205">
        <f t="shared" si="16"/>
        <v>0.28715879684188361</v>
      </c>
      <c r="I526" s="207"/>
      <c r="K526" s="202"/>
      <c r="L526" s="202"/>
    </row>
    <row r="527" spans="1:12" ht="12.65" customHeight="1" x14ac:dyDescent="0.3">
      <c r="A527" s="1" t="s">
        <v>543</v>
      </c>
      <c r="B527" s="185">
        <f>'[1]Prior Year'!AH71</f>
        <v>0</v>
      </c>
      <c r="C527" s="185">
        <f>AH71</f>
        <v>0</v>
      </c>
      <c r="D527" s="185">
        <f>'[1]Prior Year'!AH59</f>
        <v>0</v>
      </c>
      <c r="E527" s="1">
        <f>AH59</f>
        <v>0</v>
      </c>
      <c r="F527" s="204" t="str">
        <f t="shared" si="17"/>
        <v/>
      </c>
      <c r="G527" s="204" t="str">
        <f t="shared" si="17"/>
        <v/>
      </c>
      <c r="H527" s="205" t="str">
        <f t="shared" si="16"/>
        <v/>
      </c>
      <c r="I527" s="207"/>
      <c r="K527" s="202"/>
      <c r="L527" s="202"/>
    </row>
    <row r="528" spans="1:12" ht="12.65" customHeight="1" x14ac:dyDescent="0.3">
      <c r="A528" s="1" t="s">
        <v>544</v>
      </c>
      <c r="B528" s="185">
        <f>'[1]Prior Year'!AI71</f>
        <v>3988961</v>
      </c>
      <c r="C528" s="185">
        <f>AI71</f>
        <v>4861894</v>
      </c>
      <c r="D528" s="185">
        <f>'[1]Prior Year'!AI59</f>
        <v>17642</v>
      </c>
      <c r="E528" s="1">
        <f>AI59</f>
        <v>17436</v>
      </c>
      <c r="F528" s="204">
        <f t="shared" ref="F528:G540" si="18">IF(B528=0,"",IF(D528=0,"",B528/D528))</f>
        <v>226.10594036957261</v>
      </c>
      <c r="G528" s="204">
        <f t="shared" si="18"/>
        <v>278.84228033952741</v>
      </c>
      <c r="H528" s="205" t="str">
        <f t="shared" si="16"/>
        <v/>
      </c>
      <c r="I528" s="207"/>
      <c r="K528" s="202"/>
      <c r="L528" s="202"/>
    </row>
    <row r="529" spans="1:12" ht="12.65" customHeight="1" x14ac:dyDescent="0.3">
      <c r="A529" s="1" t="s">
        <v>545</v>
      </c>
      <c r="B529" s="185">
        <f>'[1]Prior Year'!AJ71</f>
        <v>26878314</v>
      </c>
      <c r="C529" s="185">
        <f>AJ71</f>
        <v>28963011</v>
      </c>
      <c r="D529" s="185">
        <f>'[1]Prior Year'!AJ59</f>
        <v>102544</v>
      </c>
      <c r="E529" s="1">
        <f>AJ59</f>
        <v>85414</v>
      </c>
      <c r="F529" s="204">
        <f t="shared" si="18"/>
        <v>262.1149360274614</v>
      </c>
      <c r="G529" s="204">
        <f t="shared" si="18"/>
        <v>339.08973938698574</v>
      </c>
      <c r="H529" s="205">
        <f t="shared" si="16"/>
        <v>0.29366813095862576</v>
      </c>
      <c r="I529" s="207"/>
      <c r="K529" s="202"/>
      <c r="L529" s="202"/>
    </row>
    <row r="530" spans="1:12" ht="12.65" customHeight="1" x14ac:dyDescent="0.3">
      <c r="A530" s="1" t="s">
        <v>546</v>
      </c>
      <c r="B530" s="185">
        <f>'[1]Prior Year'!AK71</f>
        <v>0</v>
      </c>
      <c r="C530" s="185">
        <f>AK71</f>
        <v>0</v>
      </c>
      <c r="D530" s="185">
        <f>'[1]Prior Year'!AK59</f>
        <v>0</v>
      </c>
      <c r="E530" s="1">
        <f>AK59</f>
        <v>13118</v>
      </c>
      <c r="F530" s="204" t="str">
        <f t="shared" si="18"/>
        <v/>
      </c>
      <c r="G530" s="204" t="str">
        <f t="shared" si="18"/>
        <v/>
      </c>
      <c r="H530" s="205" t="str">
        <f t="shared" si="16"/>
        <v/>
      </c>
      <c r="I530" s="207"/>
      <c r="K530" s="202"/>
      <c r="L530" s="202"/>
    </row>
    <row r="531" spans="1:12" ht="12.65" customHeight="1" x14ac:dyDescent="0.3">
      <c r="A531" s="1" t="s">
        <v>547</v>
      </c>
      <c r="B531" s="185">
        <f>'[1]Prior Year'!AL71</f>
        <v>0</v>
      </c>
      <c r="C531" s="185">
        <f>AL71</f>
        <v>0</v>
      </c>
      <c r="D531" s="185">
        <f>'[1]Prior Year'!AL59</f>
        <v>0</v>
      </c>
      <c r="E531" s="1">
        <f>AL59</f>
        <v>2593</v>
      </c>
      <c r="F531" s="204" t="str">
        <f t="shared" si="18"/>
        <v/>
      </c>
      <c r="G531" s="204" t="str">
        <f t="shared" si="18"/>
        <v/>
      </c>
      <c r="H531" s="205" t="str">
        <f t="shared" si="16"/>
        <v/>
      </c>
      <c r="I531" s="207"/>
      <c r="K531" s="202"/>
      <c r="L531" s="202"/>
    </row>
    <row r="532" spans="1:12" ht="12.65" customHeight="1" x14ac:dyDescent="0.3">
      <c r="A532" s="1" t="s">
        <v>548</v>
      </c>
      <c r="B532" s="185">
        <f>'[1]Prior Year'!AM71</f>
        <v>0</v>
      </c>
      <c r="C532" s="185">
        <f>AM71</f>
        <v>0</v>
      </c>
      <c r="D532" s="185">
        <f>'[1]Prior Year'!AM59</f>
        <v>0</v>
      </c>
      <c r="E532" s="1">
        <f>AM59</f>
        <v>0</v>
      </c>
      <c r="F532" s="204" t="str">
        <f t="shared" si="18"/>
        <v/>
      </c>
      <c r="G532" s="204" t="str">
        <f t="shared" si="18"/>
        <v/>
      </c>
      <c r="H532" s="205" t="str">
        <f t="shared" si="16"/>
        <v/>
      </c>
      <c r="I532" s="207"/>
      <c r="K532" s="202"/>
      <c r="L532" s="202"/>
    </row>
    <row r="533" spans="1:12" ht="12.65" customHeight="1" x14ac:dyDescent="0.3">
      <c r="A533" s="1" t="s">
        <v>1246</v>
      </c>
      <c r="B533" s="185">
        <f>'[1]Prior Year'!AN71</f>
        <v>0</v>
      </c>
      <c r="C533" s="185">
        <f>AN71</f>
        <v>0</v>
      </c>
      <c r="D533" s="185">
        <f>'[1]Prior Year'!AN59</f>
        <v>0</v>
      </c>
      <c r="E533" s="1">
        <f>AN59</f>
        <v>0</v>
      </c>
      <c r="F533" s="204" t="str">
        <f t="shared" si="18"/>
        <v/>
      </c>
      <c r="G533" s="204" t="str">
        <f t="shared" si="18"/>
        <v/>
      </c>
      <c r="H533" s="205" t="str">
        <f t="shared" si="16"/>
        <v/>
      </c>
      <c r="I533" s="207"/>
      <c r="K533" s="202"/>
      <c r="L533" s="202"/>
    </row>
    <row r="534" spans="1:12" ht="12.65" customHeight="1" x14ac:dyDescent="0.3">
      <c r="A534" s="1" t="s">
        <v>549</v>
      </c>
      <c r="B534" s="185">
        <f>'[1]Prior Year'!AO71</f>
        <v>0</v>
      </c>
      <c r="C534" s="185">
        <f>AO71</f>
        <v>0</v>
      </c>
      <c r="D534" s="185">
        <f>'[1]Prior Year'!AO59</f>
        <v>0</v>
      </c>
      <c r="E534" s="1">
        <f>AO59</f>
        <v>0</v>
      </c>
      <c r="F534" s="204" t="str">
        <f t="shared" si="18"/>
        <v/>
      </c>
      <c r="G534" s="204" t="str">
        <f t="shared" si="18"/>
        <v/>
      </c>
      <c r="H534" s="205" t="str">
        <f t="shared" si="16"/>
        <v/>
      </c>
      <c r="I534" s="207"/>
      <c r="K534" s="202"/>
      <c r="L534" s="202"/>
    </row>
    <row r="535" spans="1:12" ht="12.65" customHeight="1" x14ac:dyDescent="0.3">
      <c r="A535" s="1" t="s">
        <v>550</v>
      </c>
      <c r="B535" s="185">
        <f>'[1]Prior Year'!AP71</f>
        <v>0</v>
      </c>
      <c r="C535" s="185">
        <f>AP71</f>
        <v>0</v>
      </c>
      <c r="D535" s="185">
        <f>'[1]Prior Year'!AP59</f>
        <v>0</v>
      </c>
      <c r="E535" s="1">
        <f>AP59</f>
        <v>0</v>
      </c>
      <c r="F535" s="204" t="str">
        <f t="shared" si="18"/>
        <v/>
      </c>
      <c r="G535" s="204" t="str">
        <f t="shared" si="18"/>
        <v/>
      </c>
      <c r="H535" s="205" t="str">
        <f t="shared" si="16"/>
        <v/>
      </c>
      <c r="I535" s="207"/>
      <c r="K535" s="202"/>
      <c r="L535" s="202"/>
    </row>
    <row r="536" spans="1:12" ht="12.65" customHeight="1" x14ac:dyDescent="0.3">
      <c r="A536" s="1" t="s">
        <v>551</v>
      </c>
      <c r="B536" s="185">
        <f>'[1]Prior Year'!AQ71</f>
        <v>0</v>
      </c>
      <c r="C536" s="185">
        <f>AQ71</f>
        <v>0</v>
      </c>
      <c r="D536" s="185">
        <f>'[1]Prior Year'!AQ59</f>
        <v>0</v>
      </c>
      <c r="E536" s="1">
        <f>AQ59</f>
        <v>0</v>
      </c>
      <c r="F536" s="204" t="str">
        <f t="shared" si="18"/>
        <v/>
      </c>
      <c r="G536" s="204" t="str">
        <f t="shared" si="18"/>
        <v/>
      </c>
      <c r="H536" s="205" t="str">
        <f t="shared" si="16"/>
        <v/>
      </c>
      <c r="I536" s="207"/>
      <c r="K536" s="202"/>
      <c r="L536" s="202"/>
    </row>
    <row r="537" spans="1:12" ht="12.65" customHeight="1" x14ac:dyDescent="0.3">
      <c r="A537" s="1" t="s">
        <v>552</v>
      </c>
      <c r="B537" s="185">
        <f>'[1]Prior Year'!AR71</f>
        <v>5111999</v>
      </c>
      <c r="C537" s="185">
        <f>AR71</f>
        <v>4435716</v>
      </c>
      <c r="D537" s="185">
        <f>'[1]Prior Year'!AR59</f>
        <v>17968</v>
      </c>
      <c r="E537" s="1">
        <f>AR59</f>
        <v>9751</v>
      </c>
      <c r="F537" s="204">
        <f t="shared" si="18"/>
        <v>284.50573241317898</v>
      </c>
      <c r="G537" s="204">
        <f t="shared" si="18"/>
        <v>454.89857450517894</v>
      </c>
      <c r="H537" s="205">
        <f t="shared" si="16"/>
        <v>0.59890829139619473</v>
      </c>
      <c r="I537" s="207"/>
      <c r="K537" s="202"/>
      <c r="L537" s="202"/>
    </row>
    <row r="538" spans="1:12" ht="12.65" customHeight="1" x14ac:dyDescent="0.3">
      <c r="A538" s="1" t="s">
        <v>553</v>
      </c>
      <c r="B538" s="185">
        <f>'[1]Prior Year'!AS71</f>
        <v>0</v>
      </c>
      <c r="C538" s="185">
        <f>AS71</f>
        <v>0</v>
      </c>
      <c r="D538" s="185">
        <f>'[1]Prior Year'!AS59</f>
        <v>0</v>
      </c>
      <c r="E538" s="1">
        <f>AS59</f>
        <v>0</v>
      </c>
      <c r="F538" s="204" t="str">
        <f t="shared" si="18"/>
        <v/>
      </c>
      <c r="G538" s="204" t="str">
        <f t="shared" si="18"/>
        <v/>
      </c>
      <c r="H538" s="205" t="str">
        <f t="shared" si="16"/>
        <v/>
      </c>
      <c r="I538" s="207"/>
      <c r="K538" s="202"/>
      <c r="L538" s="202"/>
    </row>
    <row r="539" spans="1:12" ht="12.65" customHeight="1" x14ac:dyDescent="0.3">
      <c r="A539" s="1" t="s">
        <v>554</v>
      </c>
      <c r="B539" s="185">
        <f>'[1]Prior Year'!AT71</f>
        <v>0</v>
      </c>
      <c r="C539" s="185">
        <f>AT71</f>
        <v>0</v>
      </c>
      <c r="D539" s="185">
        <f>'[1]Prior Year'!AT59</f>
        <v>0</v>
      </c>
      <c r="E539" s="1">
        <f>AT59</f>
        <v>0</v>
      </c>
      <c r="F539" s="204" t="str">
        <f t="shared" si="18"/>
        <v/>
      </c>
      <c r="G539" s="204" t="str">
        <f t="shared" si="18"/>
        <v/>
      </c>
      <c r="H539" s="205" t="str">
        <f t="shared" si="16"/>
        <v/>
      </c>
      <c r="I539" s="207"/>
      <c r="K539" s="202"/>
      <c r="L539" s="202"/>
    </row>
    <row r="540" spans="1:12" ht="12.65" customHeight="1" x14ac:dyDescent="0.3">
      <c r="A540" s="1" t="s">
        <v>555</v>
      </c>
      <c r="B540" s="185">
        <f>'[1]Prior Year'!AU71</f>
        <v>0</v>
      </c>
      <c r="C540" s="185">
        <f>AU71</f>
        <v>0</v>
      </c>
      <c r="D540" s="185">
        <f>'[1]Prior Year'!AU59</f>
        <v>0</v>
      </c>
      <c r="E540" s="1">
        <f>AU59</f>
        <v>0</v>
      </c>
      <c r="F540" s="204" t="str">
        <f t="shared" si="18"/>
        <v/>
      </c>
      <c r="G540" s="204" t="str">
        <f t="shared" si="18"/>
        <v/>
      </c>
      <c r="H540" s="205" t="str">
        <f t="shared" si="16"/>
        <v/>
      </c>
      <c r="I540" s="207"/>
      <c r="K540" s="202"/>
      <c r="L540" s="202"/>
    </row>
    <row r="541" spans="1:12" ht="12.65" customHeight="1" x14ac:dyDescent="0.3">
      <c r="A541" s="1" t="s">
        <v>556</v>
      </c>
      <c r="B541" s="185">
        <f>'[1]Prior Year'!AV71</f>
        <v>2372548</v>
      </c>
      <c r="C541" s="185">
        <f>AV71</f>
        <v>2471618</v>
      </c>
      <c r="D541" s="134" t="s">
        <v>529</v>
      </c>
      <c r="E541" s="134" t="s">
        <v>529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1247</v>
      </c>
      <c r="B542" s="185">
        <f>'[1]Prior Year'!AW71</f>
        <v>0</v>
      </c>
      <c r="C542" s="185">
        <f>AW71</f>
        <v>0</v>
      </c>
      <c r="D542" s="134" t="s">
        <v>529</v>
      </c>
      <c r="E542" s="134" t="s">
        <v>529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557</v>
      </c>
      <c r="B543" s="185">
        <f>'[1]Prior Year'!AX71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558</v>
      </c>
      <c r="B544" s="185">
        <f>'[1]Prior Year'!AY71</f>
        <v>664586</v>
      </c>
      <c r="C544" s="185">
        <f>AY71</f>
        <v>874014</v>
      </c>
      <c r="D544" s="185">
        <f>'[1]Prior Year'!AY59</f>
        <v>15632</v>
      </c>
      <c r="E544" s="1">
        <f>AY59</f>
        <v>12819</v>
      </c>
      <c r="F544" s="204">
        <f t="shared" ref="F544:G550" si="19">IF(B544=0,"",IF(D544=0,"",B544/D544))</f>
        <v>42.514457523029684</v>
      </c>
      <c r="G544" s="204">
        <f t="shared" si="19"/>
        <v>68.181137374210152</v>
      </c>
      <c r="H544" s="205">
        <f t="shared" si="16"/>
        <v>0.60371650837311219</v>
      </c>
      <c r="I544" s="207"/>
      <c r="K544" s="202"/>
      <c r="L544" s="202"/>
    </row>
    <row r="545" spans="1:13" ht="12.65" customHeight="1" x14ac:dyDescent="0.3">
      <c r="A545" s="1" t="s">
        <v>559</v>
      </c>
      <c r="B545" s="185">
        <f>'[1]Prior Year'!AZ71</f>
        <v>0</v>
      </c>
      <c r="C545" s="185">
        <f>AZ71</f>
        <v>0</v>
      </c>
      <c r="D545" s="185">
        <f>'[1]Prior Year'!AZ59</f>
        <v>0</v>
      </c>
      <c r="E545" s="1">
        <f>AZ59</f>
        <v>0</v>
      </c>
      <c r="F545" s="204" t="str">
        <f t="shared" si="19"/>
        <v/>
      </c>
      <c r="G545" s="204" t="str">
        <f t="shared" si="19"/>
        <v/>
      </c>
      <c r="H545" s="205" t="str">
        <f t="shared" si="16"/>
        <v/>
      </c>
      <c r="I545" s="207"/>
      <c r="K545" s="202"/>
      <c r="L545" s="202"/>
    </row>
    <row r="546" spans="1:13" ht="12.65" customHeight="1" x14ac:dyDescent="0.3">
      <c r="A546" s="1" t="s">
        <v>560</v>
      </c>
      <c r="B546" s="185">
        <f>'[1]Prior Year'!BA71</f>
        <v>355959</v>
      </c>
      <c r="C546" s="185">
        <f>BA71</f>
        <v>316115</v>
      </c>
      <c r="D546" s="185">
        <f>'[1]Prior Year'!BA59</f>
        <v>0</v>
      </c>
      <c r="E546" s="1">
        <f>BA59</f>
        <v>0</v>
      </c>
      <c r="F546" s="204" t="str">
        <f t="shared" si="19"/>
        <v/>
      </c>
      <c r="G546" s="204" t="str">
        <f t="shared" si="19"/>
        <v/>
      </c>
      <c r="H546" s="205" t="str">
        <f t="shared" si="16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'[1]Prior Year'!BB71</f>
        <v>1610</v>
      </c>
      <c r="C547" s="185">
        <f>BB71</f>
        <v>2629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'[1]Prior Year'!BC71</f>
        <v>0</v>
      </c>
      <c r="C548" s="185">
        <f>BC71</f>
        <v>0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'[1]Prior Year'!BD71</f>
        <v>721398</v>
      </c>
      <c r="C549" s="185">
        <f>BD71</f>
        <v>835165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'[1]Prior Year'!BE71</f>
        <v>3953863</v>
      </c>
      <c r="C550" s="185">
        <f>BE71</f>
        <v>3294260</v>
      </c>
      <c r="D550" s="185">
        <f>'[1]Prior Year'!BE59</f>
        <v>228101</v>
      </c>
      <c r="E550" s="1">
        <f>BE59</f>
        <v>140132</v>
      </c>
      <c r="F550" s="204">
        <f t="shared" si="19"/>
        <v>17.333825805235399</v>
      </c>
      <c r="G550" s="204">
        <f t="shared" si="19"/>
        <v>23.508263637142122</v>
      </c>
      <c r="H550" s="205">
        <f t="shared" si="16"/>
        <v>0.35620744671622551</v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'[1]Prior Year'!BF71</f>
        <v>1552512</v>
      </c>
      <c r="C551" s="185">
        <f>BF71</f>
        <v>1556758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'[1]Prior Year'!BG71</f>
        <v>252910</v>
      </c>
      <c r="C552" s="185">
        <f>BG71</f>
        <v>309526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'[1]Prior Year'!BH71</f>
        <v>3829356</v>
      </c>
      <c r="C553" s="185">
        <f>BH71</f>
        <v>4512780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'[1]Prior Year'!BI71</f>
        <v>0</v>
      </c>
      <c r="C554" s="185">
        <f>BI71</f>
        <v>0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'[1]Prior Year'!BJ71</f>
        <v>1098511</v>
      </c>
      <c r="C555" s="185">
        <f>BJ71</f>
        <v>1235402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'[1]Prior Year'!BK71</f>
        <v>1430940</v>
      </c>
      <c r="C556" s="185">
        <f>BK71</f>
        <v>1801538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'[1]Prior Year'!BL71</f>
        <v>915973</v>
      </c>
      <c r="C557" s="185">
        <f>BL71</f>
        <v>913929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'[1]Prior Year'!BM71</f>
        <v>481741</v>
      </c>
      <c r="C558" s="185">
        <f>BM71</f>
        <v>434665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'[1]Prior Year'!BN71</f>
        <v>2414602</v>
      </c>
      <c r="C559" s="185">
        <f>BN71</f>
        <v>4270047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'[1]Prior Year'!BO71</f>
        <v>85308</v>
      </c>
      <c r="C560" s="185">
        <f>BO71</f>
        <v>93640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'[1]Prior Year'!BP71</f>
        <v>387033</v>
      </c>
      <c r="C561" s="185">
        <f>BP71</f>
        <v>366438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'[1]Prior Year'!BQ71</f>
        <v>0</v>
      </c>
      <c r="C562" s="185">
        <f>BQ71</f>
        <v>0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'[1]Prior Year'!BR71</f>
        <v>1195135</v>
      </c>
      <c r="C563" s="185">
        <f>BR71</f>
        <v>1263891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1248</v>
      </c>
      <c r="B564" s="185">
        <f>'[1]Prior Year'!BS71</f>
        <v>108255</v>
      </c>
      <c r="C564" s="185">
        <f>BS71</f>
        <v>121363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'[1]Prior Year'!BT71</f>
        <v>0</v>
      </c>
      <c r="C565" s="185">
        <f>BT71</f>
        <v>0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'[1]Prior Year'!BU71</f>
        <v>0</v>
      </c>
      <c r="C566" s="185">
        <f>BU71</f>
        <v>0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'[1]Prior Year'!BV71</f>
        <v>894369</v>
      </c>
      <c r="C567" s="185">
        <f>BV71</f>
        <v>916290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'[1]Prior Year'!BW71</f>
        <v>908498</v>
      </c>
      <c r="C568" s="185">
        <f>BW71</f>
        <v>773043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'[1]Prior Year'!BX71</f>
        <v>538096</v>
      </c>
      <c r="C569" s="185">
        <f>BX71</f>
        <v>668212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'[1]Prior Year'!BY71</f>
        <v>1425827</v>
      </c>
      <c r="C570" s="185">
        <f>BY71</f>
        <v>1588132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'[1]Prior Year'!BZ71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'[1]Prior Year'!CA71</f>
        <v>0</v>
      </c>
      <c r="C572" s="185">
        <f>CA71</f>
        <v>0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'[1]Prior Year'!CB71</f>
        <v>103848</v>
      </c>
      <c r="C573" s="185">
        <f>CB71</f>
        <v>111026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'[1]Prior Year'!CC71</f>
        <v>2277279</v>
      </c>
      <c r="C574" s="185">
        <f>CC71</f>
        <v>2789612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'[1]Prior Year'!CD71</f>
        <v>-1333823</v>
      </c>
      <c r="C575" s="185">
        <f>CD71</f>
        <v>-328936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154530.16333333333</v>
      </c>
      <c r="E612" s="1">
        <f>SUM(C624:D647)+SUM(C668:D713)</f>
        <v>112877851.08404134</v>
      </c>
      <c r="F612" s="1">
        <f>CE64-(AX64+BD64+BE64+BG64+BJ64+BN64+BP64+BQ64+CB64+CC64+CD64)</f>
        <v>23460881</v>
      </c>
      <c r="G612" s="1">
        <f>CE77-(AX77+AY77+BD77+BE77+BG77+BJ77+BN77+BP77+BQ77+CB77+CC77+CD77)</f>
        <v>12819</v>
      </c>
      <c r="H612" s="148">
        <f>CE60-(AX60+AY60+AZ60+BD60+BE60+BG60+BJ60+BN60+BO60+BP60+BQ60+BR60+CB60+CC60+CD60)</f>
        <v>516.87175641025647</v>
      </c>
      <c r="I612" s="1">
        <f>CE78-(AX78+AY78+AZ78+BD78+BE78+BF78+BG78+BJ78+BN78+BO78+BP78+BQ78+BR78+CB78+CC78+CD78)</f>
        <v>37049.957447161352</v>
      </c>
      <c r="J612" s="1">
        <f>CE79-(AX79+AY79+AZ79+BA79+BD79+BE79+BF79+BG79+BJ79+BN79+BO79+BP79+BQ79+BR79+CB79+CC79+CD79)</f>
        <v>456365</v>
      </c>
      <c r="K612" s="1">
        <f>CE75-(AW75+AX75+AY75+AZ75+BA75+BB75+BC75+BD75+BE75+BF75+BG75+BH75+BI75+BJ75+BK75+BL75+BM75+BN75+BO75+BP75+BQ75+BR75+BS75+BT75+BU75+BV75+BW75+BX75+CB75+CC75+CD75)</f>
        <v>256166250</v>
      </c>
      <c r="L612" s="148">
        <f>CE80-(AW80+AX80+AY80+AZ80+BA80+BB80+BC80+BD80+BE80+BF80+BG80+BH80+BI80+BJ80+BK80+BL80+BM80+BN80+BO80+BP80+BQ80+BR80+BS80+BT80+BU80+BV80+BW80+BX80+BY80+BZ80+CA80+CB80+CC80+CD80)</f>
        <v>111.70421634615381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3294260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1">
        <f>CD69-CD70</f>
        <v>-328936</v>
      </c>
      <c r="D615" s="206">
        <f>SUM(C614:C615)</f>
        <v>2965324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1235402</v>
      </c>
      <c r="D617" s="1">
        <f>(D615/D612)*BJ76</f>
        <v>20798.279157063815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309526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4270047</v>
      </c>
      <c r="D619" s="1">
        <f>(D615/D612)*BN76</f>
        <v>216180.23205752129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2789612</v>
      </c>
      <c r="D620" s="1">
        <f>(D615/D612)*CC76</f>
        <v>66295.188437148478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366438</v>
      </c>
      <c r="D621" s="1">
        <f>(D615/D612)*BP76</f>
        <v>5543.7856604866929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111026</v>
      </c>
      <c r="D622" s="1">
        <f>(D615/D612)*CB76</f>
        <v>30760.430646452645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9421628.9159586728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835165</v>
      </c>
      <c r="D624" s="1">
        <f>(D615/D612)*BD76</f>
        <v>46722.081433551415</v>
      </c>
      <c r="E624" s="1">
        <f>(E623/E612)*SUM(C624:D624)</f>
        <v>73608.885598455978</v>
      </c>
      <c r="F624" s="1">
        <f>SUM(C624:E624)</f>
        <v>955495.96703200741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874014</v>
      </c>
      <c r="D625" s="1">
        <f>(D615/D612)*AY76</f>
        <v>74615.952089526269</v>
      </c>
      <c r="E625" s="1">
        <f>(E623/E612)*SUM(C625:D625)</f>
        <v>79179.744310483016</v>
      </c>
      <c r="F625" s="1">
        <f>(F624/F612)*AY64</f>
        <v>14175.020125354888</v>
      </c>
      <c r="G625" s="1">
        <f>SUM(C625:F625)</f>
        <v>1041984.7165253641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1263891</v>
      </c>
      <c r="D626" s="1">
        <f>(D615/D612)*BR76</f>
        <v>30679.835631658458</v>
      </c>
      <c r="E626" s="1">
        <f>(E623/E612)*SUM(C626:D626)</f>
        <v>108054.55544740098</v>
      </c>
      <c r="F626" s="1">
        <f>(F624/F612)*BR64</f>
        <v>592.66219850182824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93640</v>
      </c>
      <c r="D627" s="1">
        <f>(D615/D612)*BO76</f>
        <v>4662.9972845215188</v>
      </c>
      <c r="E627" s="1">
        <f>(E623/E612)*SUM(C627:D627)</f>
        <v>8205.1027092258082</v>
      </c>
      <c r="F627" s="1">
        <f>(F624/F612)*BO64</f>
        <v>1504.0147284547841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1511230.1679997637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1556758</v>
      </c>
      <c r="D629" s="1">
        <f>(D615/D612)*BF76</f>
        <v>59853.15214749123</v>
      </c>
      <c r="E629" s="1">
        <f>(E623/E612)*SUM(C629:D629)</f>
        <v>134934.4466665475</v>
      </c>
      <c r="F629" s="1">
        <f>(F624/F612)*BF64</f>
        <v>7793.8826005289911</v>
      </c>
      <c r="G629" s="1">
        <f>(G625/G612)*BF77</f>
        <v>0</v>
      </c>
      <c r="H629" s="1">
        <f>(H628/H612)*BF60</f>
        <v>68069.461335057917</v>
      </c>
      <c r="I629" s="1">
        <f>SUM(C629:H629)</f>
        <v>1827408.9427496255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316115</v>
      </c>
      <c r="D630" s="1">
        <f>(D615/D612)*BA76</f>
        <v>0</v>
      </c>
      <c r="E630" s="1">
        <f>(E623/E612)*SUM(C630:D630)</f>
        <v>26385.320026608395</v>
      </c>
      <c r="F630" s="1">
        <f>(F624/F612)*BA64</f>
        <v>1414.9850716430058</v>
      </c>
      <c r="G630" s="1">
        <f>(G625/G612)*BA77</f>
        <v>0</v>
      </c>
      <c r="H630" s="1">
        <f>(H628/H612)*BA60</f>
        <v>0</v>
      </c>
      <c r="I630" s="1">
        <f>(I629/I612)*BA78</f>
        <v>119314.84353255112</v>
      </c>
      <c r="J630" s="1">
        <f>SUM(C630:I630)</f>
        <v>463230.14863080258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2629</v>
      </c>
      <c r="D632" s="1">
        <f>(D615/D612)*BB76</f>
        <v>1485.2509869216692</v>
      </c>
      <c r="E632" s="1">
        <f>(E623/E612)*SUM(C632:D632)</f>
        <v>343.40613055286104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>
        <f>(I629/I612)*BI78</f>
        <v>0</v>
      </c>
      <c r="J634" s="1">
        <f>(J630/J612)*BI79</f>
        <v>83520.792172467933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1801538</v>
      </c>
      <c r="D635" s="1">
        <f>(D615/D612)*BK76</f>
        <v>72852.136587184956</v>
      </c>
      <c r="E635" s="1">
        <f>(E623/E612)*SUM(C635:D635)</f>
        <v>156450.60692650173</v>
      </c>
      <c r="F635" s="1">
        <f>(F624/F612)*BK64</f>
        <v>507.90889757533677</v>
      </c>
      <c r="G635" s="1">
        <f>(G625/G612)*BK77</f>
        <v>0</v>
      </c>
      <c r="H635" s="1">
        <f>(H628/H612)*BK60</f>
        <v>41006.30928917227</v>
      </c>
      <c r="I635" s="1">
        <f>(I629/I612)*BK78</f>
        <v>0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4512780</v>
      </c>
      <c r="D636" s="1">
        <f>(D615/D612)*BH76</f>
        <v>79884.659288804658</v>
      </c>
      <c r="E636" s="1">
        <f>(E623/E612)*SUM(C636:D636)</f>
        <v>383338.11053012201</v>
      </c>
      <c r="F636" s="1">
        <f>(F624/F612)*BH64</f>
        <v>25198.651053645837</v>
      </c>
      <c r="G636" s="1">
        <f>(G625/G612)*BH77</f>
        <v>0</v>
      </c>
      <c r="H636" s="1">
        <f>(H628/H612)*BH60</f>
        <v>48114.519381503473</v>
      </c>
      <c r="I636" s="1">
        <f>(I629/I612)*BH78</f>
        <v>0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913929</v>
      </c>
      <c r="D637" s="1">
        <f>(D615/D612)*BL76</f>
        <v>38013.981977930554</v>
      </c>
      <c r="E637" s="1">
        <f>(E623/E612)*SUM(C637:D637)</f>
        <v>79456.27454113726</v>
      </c>
      <c r="F637" s="1">
        <f>(F624/F612)*BL64</f>
        <v>630.37558469016619</v>
      </c>
      <c r="G637" s="1">
        <f>(G625/G612)*BL77</f>
        <v>0</v>
      </c>
      <c r="H637" s="1">
        <f>(H628/H612)*BL60</f>
        <v>41323.429245830615</v>
      </c>
      <c r="I637" s="1">
        <f>(I629/I612)*BL78</f>
        <v>0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434665</v>
      </c>
      <c r="D638" s="1">
        <f>(D615/D612)*BM76</f>
        <v>7023.279860637349</v>
      </c>
      <c r="E638" s="1">
        <f>(E623/E612)*SUM(C638:D638)</f>
        <v>36866.604293137265</v>
      </c>
      <c r="F638" s="1">
        <f>(F624/F612)*BM64</f>
        <v>148.73573041016198</v>
      </c>
      <c r="G638" s="1">
        <f>(G625/G612)*BM77</f>
        <v>0</v>
      </c>
      <c r="H638" s="1">
        <f>(H628/H612)*BM60</f>
        <v>13594.550198733134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121363</v>
      </c>
      <c r="D639" s="1">
        <f>(D615/D612)*BS76</f>
        <v>10204.464239225441</v>
      </c>
      <c r="E639" s="1">
        <f>(E623/E612)*SUM(C639:D639)</f>
        <v>10981.603685498374</v>
      </c>
      <c r="F639" s="1">
        <f>(F624/F612)*BS64</f>
        <v>65.652244638877619</v>
      </c>
      <c r="G639" s="1">
        <f>(G625/G612)*BS77</f>
        <v>0</v>
      </c>
      <c r="H639" s="1">
        <f>(H628/H612)*BS60</f>
        <v>2200.7225361006472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916290</v>
      </c>
      <c r="D642" s="1">
        <f>(D615/D612)*BV76</f>
        <v>16272.517272733527</v>
      </c>
      <c r="E642" s="1">
        <f>(E623/E612)*SUM(C642:D642)</f>
        <v>77838.636138938644</v>
      </c>
      <c r="F642" s="1">
        <f>(F624/F612)*BV64</f>
        <v>424.45886701388497</v>
      </c>
      <c r="G642" s="1">
        <f>(G625/G612)*BV77</f>
        <v>0</v>
      </c>
      <c r="H642" s="1">
        <f>(H628/H612)*BV60</f>
        <v>36926.482329042927</v>
      </c>
      <c r="I642" s="1">
        <f>(I629/I612)*BV78</f>
        <v>0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773043</v>
      </c>
      <c r="D643" s="1">
        <f>(D615/D612)*BW76</f>
        <v>7503.172002298842</v>
      </c>
      <c r="E643" s="1">
        <f>(E623/E612)*SUM(C643:D643)</f>
        <v>65150.216041076113</v>
      </c>
      <c r="F643" s="1">
        <f>(F624/F612)*BW64</f>
        <v>424.58104861060747</v>
      </c>
      <c r="G643" s="1">
        <f>(G625/G612)*BW77</f>
        <v>0</v>
      </c>
      <c r="H643" s="1">
        <f>(H628/H612)*BW60</f>
        <v>4792.7845931839356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668212</v>
      </c>
      <c r="D644" s="1">
        <f>(D615/D612)*BX76</f>
        <v>6912.4617152953251</v>
      </c>
      <c r="E644" s="1">
        <f>(E623/E612)*SUM(C644:D644)</f>
        <v>56350.93235104248</v>
      </c>
      <c r="F644" s="1">
        <f>(F624/F612)*BX64</f>
        <v>150.97572635007404</v>
      </c>
      <c r="G644" s="1">
        <f>(G625/G612)*BX77</f>
        <v>0</v>
      </c>
      <c r="H644" s="1">
        <f>(H628/H612)*BX60</f>
        <v>17612.527521925578</v>
      </c>
      <c r="I644" s="1">
        <f>(I629/I612)*BX78</f>
        <v>0</v>
      </c>
      <c r="J644" s="1">
        <f>(J630/J612)*BX79</f>
        <v>0</v>
      </c>
      <c r="K644" s="1">
        <f>SUM(C631:J644)</f>
        <v>11568020.770989928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1588132</v>
      </c>
      <c r="D645" s="1">
        <f>(D615/D612)*BY76</f>
        <v>17370.544393932676</v>
      </c>
      <c r="E645" s="1">
        <f>(E623/E612)*SUM(C645:D645)</f>
        <v>134007.23925586563</v>
      </c>
      <c r="F645" s="1">
        <f>(F624/F612)*BY64</f>
        <v>852.82754512288921</v>
      </c>
      <c r="G645" s="1">
        <f>(G625/G612)*BY77</f>
        <v>0</v>
      </c>
      <c r="H645" s="1">
        <f>(H628/H612)*BY60</f>
        <v>24860.180432078188</v>
      </c>
      <c r="I645" s="1">
        <f>(I629/I612)*BY78</f>
        <v>0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1765222.7916269994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28719539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1369549</v>
      </c>
      <c r="D668" s="1">
        <f>(D615/D612)*C76</f>
        <v>49987.138997178314</v>
      </c>
      <c r="E668" s="1">
        <f>(E623/E612)*SUM(C668:D668)</f>
        <v>118485.09345262517</v>
      </c>
      <c r="F668" s="1">
        <f>(F624/F612)*C64</f>
        <v>2675.2067874375407</v>
      </c>
      <c r="G668" s="1">
        <f>(G625/G612)*C77</f>
        <v>59825.317993811375</v>
      </c>
      <c r="H668" s="1">
        <f>(H628/H612)*C60</f>
        <v>27990.896599939311</v>
      </c>
      <c r="I668" s="1">
        <f>(I629/I612)*C78</f>
        <v>51696.412452083074</v>
      </c>
      <c r="J668" s="1">
        <f>(J630/J612)*C79</f>
        <v>14471.469611011695</v>
      </c>
      <c r="K668" s="1">
        <f>(K644/K612)*C75</f>
        <v>90398.83296041291</v>
      </c>
      <c r="L668" s="1">
        <f>(L647/L612)*C80</f>
        <v>109669.26115132846</v>
      </c>
      <c r="M668" s="1">
        <f t="shared" ref="M668:M713" si="20">ROUND(SUM(D668:L668),0)</f>
        <v>525200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0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4174509</v>
      </c>
      <c r="D670" s="1">
        <f>(D615/D612)*E76</f>
        <v>106834.2570035895</v>
      </c>
      <c r="E670" s="1">
        <f>(E623/E612)*SUM(C670:D670)</f>
        <v>357352.89998830052</v>
      </c>
      <c r="F670" s="1">
        <f>(F624/F612)*E64</f>
        <v>8705.3980392775775</v>
      </c>
      <c r="G670" s="1">
        <f>(G625/G612)*E77</f>
        <v>939322.52002239705</v>
      </c>
      <c r="H670" s="1">
        <f>(H628/H612)*E60</f>
        <v>112478.62519461369</v>
      </c>
      <c r="I670" s="1">
        <f>(I629/I612)*E78</f>
        <v>270423.57623170409</v>
      </c>
      <c r="J670" s="1">
        <f>(J630/J612)*E79</f>
        <v>65635.732584474245</v>
      </c>
      <c r="K670" s="1">
        <f>(K644/K612)*E75</f>
        <v>398609.92754749767</v>
      </c>
      <c r="L670" s="1">
        <f>(L647/L612)*E80</f>
        <v>296215.07852986804</v>
      </c>
      <c r="M670" s="1">
        <f t="shared" si="20"/>
        <v>2555578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0"/>
        <v>0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0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0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0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2934</v>
      </c>
      <c r="D675" s="1">
        <f>(D615/D612)*J76</f>
        <v>1657.9545900520959</v>
      </c>
      <c r="E675" s="1">
        <f>(E623/E612)*SUM(C675:D675)</f>
        <v>383.27884284572991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10859.837730734404</v>
      </c>
      <c r="L675" s="1">
        <f>(L647/L612)*J80</f>
        <v>0</v>
      </c>
      <c r="M675" s="1">
        <f t="shared" si="20"/>
        <v>12901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0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74474</v>
      </c>
      <c r="D677" s="1">
        <f>(D615/D612)*L76</f>
        <v>42026.462357327466</v>
      </c>
      <c r="E677" s="1">
        <f>(E623/E612)*SUM(C677:D677)</f>
        <v>9723.9991223002053</v>
      </c>
      <c r="F677" s="1">
        <f>(F624/F612)*L64</f>
        <v>0</v>
      </c>
      <c r="G677" s="1">
        <f>(G625/G612)*L77</f>
        <v>42836.8785091557</v>
      </c>
      <c r="H677" s="1">
        <f>(H628/H612)*L60</f>
        <v>6.7472331203903373</v>
      </c>
      <c r="I677" s="1">
        <f>(I629/I612)*L78</f>
        <v>0</v>
      </c>
      <c r="J677" s="1">
        <f>(J630/J612)*L79</f>
        <v>0</v>
      </c>
      <c r="K677" s="1">
        <f>(K644/K612)*L75</f>
        <v>11950.319265979055</v>
      </c>
      <c r="L677" s="1">
        <f>(L647/L612)*L80</f>
        <v>37.987142805646108</v>
      </c>
      <c r="M677" s="1">
        <f t="shared" si="20"/>
        <v>106582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0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2507487</v>
      </c>
      <c r="D679" s="1">
        <f>(D615/D612)*N76</f>
        <v>5564.8938786470799</v>
      </c>
      <c r="E679" s="1">
        <f>(E623/E612)*SUM(C679:D679)</f>
        <v>209758.08950370093</v>
      </c>
      <c r="F679" s="1">
        <f>(F624/F612)*N64</f>
        <v>305.73908219854485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92139.683680293689</v>
      </c>
      <c r="L679" s="1">
        <f>(L647/L612)*N80</f>
        <v>0</v>
      </c>
      <c r="M679" s="1">
        <f t="shared" si="20"/>
        <v>307768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1562033</v>
      </c>
      <c r="D680" s="1">
        <f>(D615/D612)*O76</f>
        <v>55946.372769639864</v>
      </c>
      <c r="E680" s="1">
        <f>(E623/E612)*SUM(C680:D680)</f>
        <v>135048.64858351569</v>
      </c>
      <c r="F680" s="1">
        <f>(F624/F612)*O64</f>
        <v>1796.6803798040239</v>
      </c>
      <c r="G680" s="1">
        <f>(G625/G612)*O77</f>
        <v>0</v>
      </c>
      <c r="H680" s="1">
        <f>(H628/H612)*O60</f>
        <v>30932.690240429507</v>
      </c>
      <c r="I680" s="1">
        <f>(I629/I612)*O78</f>
        <v>54536.048057854088</v>
      </c>
      <c r="J680" s="1">
        <f>(J630/J612)*O79</f>
        <v>0</v>
      </c>
      <c r="K680" s="1">
        <f>(K644/K612)*O75</f>
        <v>44372.320465680474</v>
      </c>
      <c r="L680" s="1">
        <f>(L647/L612)*O80</f>
        <v>153111.81350957882</v>
      </c>
      <c r="M680" s="1">
        <f t="shared" si="20"/>
        <v>475745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4042476</v>
      </c>
      <c r="D681" s="1">
        <f>(D615/D612)*P76</f>
        <v>187419.86904606255</v>
      </c>
      <c r="E681" s="1">
        <f>(E623/E612)*SUM(C681:D681)</f>
        <v>353058.71655571292</v>
      </c>
      <c r="F681" s="1">
        <f>(F624/F612)*P64</f>
        <v>51062.947446235725</v>
      </c>
      <c r="G681" s="1">
        <f>(G625/G612)*P77</f>
        <v>0</v>
      </c>
      <c r="H681" s="1">
        <f>(H628/H612)*P60</f>
        <v>54221.889894310152</v>
      </c>
      <c r="I681" s="1">
        <f>(I629/I612)*P78</f>
        <v>277155.95733677706</v>
      </c>
      <c r="J681" s="1">
        <f>(J630/J612)*P79</f>
        <v>42232.898653669326</v>
      </c>
      <c r="K681" s="1">
        <f>(K644/K612)*P75</f>
        <v>1077717.9158109652</v>
      </c>
      <c r="L681" s="1">
        <f>(L647/L612)*P80</f>
        <v>149419.53920315584</v>
      </c>
      <c r="M681" s="1">
        <f t="shared" si="20"/>
        <v>2192290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33612</v>
      </c>
      <c r="D682" s="1">
        <f>(D615/D612)*Q76</f>
        <v>11292.89671580623</v>
      </c>
      <c r="E682" s="1">
        <f>(E623/E612)*SUM(C682:D682)</f>
        <v>3748.0982256721245</v>
      </c>
      <c r="F682" s="1">
        <f>(F624/F612)*Q64</f>
        <v>492.18819879704472</v>
      </c>
      <c r="G682" s="1">
        <f>(G625/G612)*Q77</f>
        <v>0</v>
      </c>
      <c r="H682" s="1">
        <f>(H628/H612)*Q60</f>
        <v>43.857015282537191</v>
      </c>
      <c r="I682" s="1">
        <f>(I629/I612)*Q78</f>
        <v>0</v>
      </c>
      <c r="J682" s="1">
        <f>(J630/J612)*Q79</f>
        <v>0</v>
      </c>
      <c r="K682" s="1">
        <f>(K644/K612)*Q75</f>
        <v>205681.48997478766</v>
      </c>
      <c r="L682" s="1">
        <f>(L647/L612)*Q80</f>
        <v>237.79951396334462</v>
      </c>
      <c r="M682" s="1">
        <f t="shared" si="20"/>
        <v>221496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1645601</v>
      </c>
      <c r="D683" s="1">
        <f>(D615/D612)*R76</f>
        <v>2609.7433361931126</v>
      </c>
      <c r="E683" s="1">
        <f>(E623/E612)*SUM(C683:D683)</f>
        <v>137571.98467083042</v>
      </c>
      <c r="F683" s="1">
        <f>(F624/F612)*R64</f>
        <v>4958.1291949981151</v>
      </c>
      <c r="G683" s="1">
        <f>(G625/G612)*R77</f>
        <v>0</v>
      </c>
      <c r="H683" s="1">
        <f>(H628/H612)*R60</f>
        <v>0</v>
      </c>
      <c r="I683" s="1">
        <f>(I629/I612)*R78</f>
        <v>0</v>
      </c>
      <c r="J683" s="1">
        <f>(J630/J612)*R79</f>
        <v>0</v>
      </c>
      <c r="K683" s="1">
        <f>(K644/K612)*R75</f>
        <v>434380.45849375892</v>
      </c>
      <c r="L683" s="1">
        <f>(L647/L612)*R80</f>
        <v>0</v>
      </c>
      <c r="M683" s="1">
        <f t="shared" si="20"/>
        <v>579520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1791088</v>
      </c>
      <c r="D684" s="1">
        <f>(D615/D612)*S76</f>
        <v>14317.128699512365</v>
      </c>
      <c r="E684" s="1">
        <f>(E623/E612)*SUM(C684:D684)</f>
        <v>150692.6026870498</v>
      </c>
      <c r="F684" s="1">
        <f>(F624/F612)*S64</f>
        <v>63587.986562251375</v>
      </c>
      <c r="G684" s="1">
        <f>(G625/G612)*S77</f>
        <v>0</v>
      </c>
      <c r="H684" s="1">
        <f>(H628/H612)*S60</f>
        <v>8019.0865635839164</v>
      </c>
      <c r="I684" s="1">
        <f>(I629/I612)*S78</f>
        <v>2338.1547040896066</v>
      </c>
      <c r="J684" s="1">
        <f>(J630/J612)*S79</f>
        <v>0</v>
      </c>
      <c r="K684" s="1">
        <f>(K644/K612)*S75</f>
        <v>20083.275784780868</v>
      </c>
      <c r="L684" s="1">
        <f>(L647/L612)*S80</f>
        <v>0</v>
      </c>
      <c r="M684" s="1">
        <f t="shared" si="20"/>
        <v>259038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0</v>
      </c>
      <c r="L685" s="1">
        <f>(L647/L612)*T80</f>
        <v>0</v>
      </c>
      <c r="M685" s="1">
        <f t="shared" si="20"/>
        <v>0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6386780</v>
      </c>
      <c r="D686" s="1">
        <f>(D615/D612)*U76</f>
        <v>75237.365239308536</v>
      </c>
      <c r="E686" s="1">
        <f>(E623/E612)*SUM(C686:D686)</f>
        <v>539368.25585416681</v>
      </c>
      <c r="F686" s="1">
        <f>(F624/F612)*U64</f>
        <v>52525.827703793941</v>
      </c>
      <c r="G686" s="1">
        <f>(G625/G612)*U77</f>
        <v>0</v>
      </c>
      <c r="H686" s="1">
        <f>(H628/H612)*U60</f>
        <v>75674.717600591233</v>
      </c>
      <c r="I686" s="1">
        <f>(I629/I612)*U78</f>
        <v>4043.189769806424</v>
      </c>
      <c r="J686" s="1">
        <f>(J630/J612)*U79</f>
        <v>7831.0575891811204</v>
      </c>
      <c r="K686" s="1">
        <f>(K644/K612)*U75</f>
        <v>811661.60043273948</v>
      </c>
      <c r="L686" s="1">
        <f>(L647/L612)*U80</f>
        <v>0</v>
      </c>
      <c r="M686" s="1">
        <f t="shared" si="20"/>
        <v>1566342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6.2318391528806396</v>
      </c>
      <c r="L687" s="1">
        <f>(L647/L612)*V80</f>
        <v>0</v>
      </c>
      <c r="M687" s="1">
        <f t="shared" si="20"/>
        <v>6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676140</v>
      </c>
      <c r="D688" s="1">
        <f>(D615/D612)*W76</f>
        <v>21246.381042889818</v>
      </c>
      <c r="E688" s="1">
        <f>(E623/E612)*SUM(C688:D688)</f>
        <v>58209.078487306557</v>
      </c>
      <c r="F688" s="1">
        <f>(F624/F612)*W64</f>
        <v>1230.9795869789555</v>
      </c>
      <c r="G688" s="1">
        <f>(G625/G612)*W77</f>
        <v>0</v>
      </c>
      <c r="H688" s="1">
        <f>(H628/H612)*W60</f>
        <v>5832.9830325774465</v>
      </c>
      <c r="I688" s="1">
        <f>(I629/I612)*W78</f>
        <v>0</v>
      </c>
      <c r="J688" s="1">
        <f>(J630/J612)*W79</f>
        <v>34379.51011608095</v>
      </c>
      <c r="K688" s="1">
        <f>(K644/K612)*W75</f>
        <v>232578.01744211104</v>
      </c>
      <c r="L688" s="1">
        <f>(L647/L612)*W80</f>
        <v>0</v>
      </c>
      <c r="M688" s="1">
        <f t="shared" si="20"/>
        <v>353477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366757</v>
      </c>
      <c r="D689" s="1">
        <f>(D615/D612)*X76</f>
        <v>10243.242594557971</v>
      </c>
      <c r="E689" s="1">
        <f>(E623/E612)*SUM(C689:D689)</f>
        <v>31467.257330295663</v>
      </c>
      <c r="F689" s="1">
        <f>(F624/F612)*X64</f>
        <v>4546.865940430258</v>
      </c>
      <c r="G689" s="1">
        <f>(G625/G612)*X77</f>
        <v>0</v>
      </c>
      <c r="H689" s="1">
        <f>(H628/H612)*X60</f>
        <v>3886.4062773448331</v>
      </c>
      <c r="I689" s="1">
        <f>(I629/I612)*X78</f>
        <v>0</v>
      </c>
      <c r="J689" s="1">
        <f>(J630/J612)*X79</f>
        <v>0</v>
      </c>
      <c r="K689" s="1">
        <f>(K644/K612)*X75</f>
        <v>638663.26184476272</v>
      </c>
      <c r="L689" s="1">
        <f>(L647/L612)*X80</f>
        <v>0</v>
      </c>
      <c r="M689" s="1">
        <f t="shared" si="20"/>
        <v>688807</v>
      </c>
      <c r="N689" s="149" t="s">
        <v>699</v>
      </c>
    </row>
    <row r="690" spans="1:14" ht="12.65" customHeight="1" x14ac:dyDescent="0.3">
      <c r="A690" s="147">
        <v>7140</v>
      </c>
      <c r="B690" s="149" t="s">
        <v>1249</v>
      </c>
      <c r="C690" s="1">
        <f>Y71</f>
        <v>2809576</v>
      </c>
      <c r="D690" s="1">
        <f>(D615/D612)*Y76</f>
        <v>88391.623011076008</v>
      </c>
      <c r="E690" s="1">
        <f>(E623/E612)*SUM(C690:D690)</f>
        <v>241886.03248785052</v>
      </c>
      <c r="F690" s="1">
        <f>(F624/F612)*Y64</f>
        <v>2905.2340068670574</v>
      </c>
      <c r="G690" s="1">
        <f>(G625/G612)*Y77</f>
        <v>0</v>
      </c>
      <c r="H690" s="1">
        <f>(H628/H612)*Y60</f>
        <v>58937.081306609602</v>
      </c>
      <c r="I690" s="1">
        <f>(I629/I612)*Y78</f>
        <v>167682.67649972378</v>
      </c>
      <c r="J690" s="1">
        <f>(J630/J612)*Y79</f>
        <v>10247.875232711936</v>
      </c>
      <c r="K690" s="1">
        <f>(K644/K612)*Y75</f>
        <v>559417.70495432639</v>
      </c>
      <c r="L690" s="1">
        <f>(L647/L612)*Y80</f>
        <v>4186.9428800383139</v>
      </c>
      <c r="M690" s="1">
        <f t="shared" si="20"/>
        <v>1133655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0"/>
        <v>0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276864</v>
      </c>
      <c r="D692" s="1">
        <f>(D615/D612)*AA76</f>
        <v>6860.1709021252827</v>
      </c>
      <c r="E692" s="1">
        <f>(E623/E612)*SUM(C692:D692)</f>
        <v>23681.739394007589</v>
      </c>
      <c r="F692" s="1">
        <f>(F624/F612)*AA64</f>
        <v>4618.9938096954265</v>
      </c>
      <c r="G692" s="1">
        <f>(G625/G612)*AA77</f>
        <v>0</v>
      </c>
      <c r="H692" s="1">
        <f>(H628/H612)*AA60</f>
        <v>2060.1551794258494</v>
      </c>
      <c r="I692" s="1">
        <f>(I629/I612)*AA78</f>
        <v>0</v>
      </c>
      <c r="J692" s="1">
        <f>(J630/J612)*AA79</f>
        <v>0</v>
      </c>
      <c r="K692" s="1">
        <f>(K644/K612)*AA75</f>
        <v>130400.01500114964</v>
      </c>
      <c r="L692" s="1">
        <f>(L647/L612)*AA80</f>
        <v>0</v>
      </c>
      <c r="M692" s="1">
        <f t="shared" si="20"/>
        <v>167621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14025108</v>
      </c>
      <c r="D693" s="1">
        <f>(D615/D612)*AB76</f>
        <v>47606.707667363931</v>
      </c>
      <c r="E693" s="1">
        <f>(E623/E612)*SUM(C693:D693)</f>
        <v>1174613.9259603694</v>
      </c>
      <c r="F693" s="1">
        <f>(F624/F612)*AB64</f>
        <v>594624.39421799232</v>
      </c>
      <c r="G693" s="1">
        <f>(G625/G612)*AB77</f>
        <v>0</v>
      </c>
      <c r="H693" s="1">
        <f>(H628/H612)*AB60</f>
        <v>38152.229679247161</v>
      </c>
      <c r="I693" s="1">
        <f>(I629/I612)*AB78</f>
        <v>0</v>
      </c>
      <c r="J693" s="1">
        <f>(J630/J612)*AB79</f>
        <v>0</v>
      </c>
      <c r="K693" s="1">
        <f>(K644/K612)*AB75</f>
        <v>2177123.9414633424</v>
      </c>
      <c r="L693" s="1">
        <f>(L647/L612)*AB80</f>
        <v>0</v>
      </c>
      <c r="M693" s="1">
        <f t="shared" si="20"/>
        <v>4032121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1144783</v>
      </c>
      <c r="D694" s="1">
        <f>(D615/D612)*AC76</f>
        <v>35381.211494653406</v>
      </c>
      <c r="E694" s="1">
        <f>(E623/E612)*SUM(C694:D694)</f>
        <v>98505.32370889197</v>
      </c>
      <c r="F694" s="1">
        <f>(F624/F612)*AC64</f>
        <v>4042.5410363587807</v>
      </c>
      <c r="G694" s="1">
        <f>(G625/G612)*AC77</f>
        <v>0</v>
      </c>
      <c r="H694" s="1">
        <f>(H628/H612)*AC60</f>
        <v>21289.769572538309</v>
      </c>
      <c r="I694" s="1">
        <f>(I629/I612)*AC78</f>
        <v>0</v>
      </c>
      <c r="J694" s="1">
        <f>(J630/J612)*AC79</f>
        <v>0</v>
      </c>
      <c r="K694" s="1">
        <f>(K644/K612)*AC75</f>
        <v>148383.65773221178</v>
      </c>
      <c r="L694" s="1">
        <f>(L647/L612)*AC80</f>
        <v>0</v>
      </c>
      <c r="M694" s="1">
        <f t="shared" si="20"/>
        <v>307603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0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3700352</v>
      </c>
      <c r="D696" s="1">
        <f>(D615/D612)*AE76</f>
        <v>124492.43285210615</v>
      </c>
      <c r="E696" s="1">
        <f>(E623/E612)*SUM(C696:D696)</f>
        <v>319250.09699885896</v>
      </c>
      <c r="F696" s="1">
        <f>(F624/F612)*AE64</f>
        <v>2367.4720724925287</v>
      </c>
      <c r="G696" s="1">
        <f>(G625/G612)*AE77</f>
        <v>0</v>
      </c>
      <c r="H696" s="1">
        <f>(H628/H612)*AE60</f>
        <v>97814.638546298695</v>
      </c>
      <c r="I696" s="1">
        <f>(I629/I612)*AE78</f>
        <v>142050.73391253236</v>
      </c>
      <c r="J696" s="1">
        <f>(J630/J612)*AE79</f>
        <v>30310.202290413148</v>
      </c>
      <c r="K696" s="1">
        <f>(K644/K612)*AE75</f>
        <v>358365.65862154384</v>
      </c>
      <c r="L696" s="1">
        <f>(L647/L612)*AE80</f>
        <v>0</v>
      </c>
      <c r="M696" s="1">
        <f t="shared" si="20"/>
        <v>1074651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0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6257579</v>
      </c>
      <c r="D698" s="1">
        <f>(D615/D612)*AG76</f>
        <v>121846.22986636328</v>
      </c>
      <c r="E698" s="1">
        <f>(E623/E612)*SUM(C698:D698)</f>
        <v>532474.49907737307</v>
      </c>
      <c r="F698" s="1">
        <f>(F624/F612)*AG64</f>
        <v>11277.890831070421</v>
      </c>
      <c r="G698" s="1">
        <f>(G625/G612)*AG77</f>
        <v>0</v>
      </c>
      <c r="H698" s="1">
        <f>(H628/H612)*AG60</f>
        <v>78212.801792711398</v>
      </c>
      <c r="I698" s="1">
        <f>(I629/I612)*AG78</f>
        <v>310849.20541849732</v>
      </c>
      <c r="J698" s="1">
        <f>(J630/J612)*AG79</f>
        <v>57673.734434177844</v>
      </c>
      <c r="K698" s="1">
        <f>(K644/K612)*AG75</f>
        <v>1370371.9464849592</v>
      </c>
      <c r="L698" s="1">
        <f>(L647/L612)*AG80</f>
        <v>213810.32938443631</v>
      </c>
      <c r="M698" s="1">
        <f t="shared" si="20"/>
        <v>2696517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0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4861894</v>
      </c>
      <c r="D700" s="1">
        <f>(D615/D612)*AI76</f>
        <v>122254.96172710533</v>
      </c>
      <c r="E700" s="1">
        <f>(E623/E612)*SUM(C700:D700)</f>
        <v>416014.31572515576</v>
      </c>
      <c r="F700" s="1">
        <f>(F624/F612)*AI64</f>
        <v>14592.962640543574</v>
      </c>
      <c r="G700" s="1">
        <f>(G625/G612)*AI77</f>
        <v>0</v>
      </c>
      <c r="H700" s="1">
        <f>(H628/H612)*AI60</f>
        <v>67441.968654861601</v>
      </c>
      <c r="I700" s="1">
        <f>(I629/I612)*AI78</f>
        <v>89489.266905048862</v>
      </c>
      <c r="J700" s="1">
        <f>(J630/J612)*AI79</f>
        <v>33320.820152955101</v>
      </c>
      <c r="K700" s="1">
        <f>(K644/K612)*AI75</f>
        <v>354427.09111866856</v>
      </c>
      <c r="L700" s="1">
        <f>(L647/L612)*AI80</f>
        <v>174422.82854640315</v>
      </c>
      <c r="M700" s="1">
        <f t="shared" si="20"/>
        <v>1271964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28963011</v>
      </c>
      <c r="D701" s="1">
        <f>(D615/D612)*AJ76</f>
        <v>859910.84504356422</v>
      </c>
      <c r="E701" s="1">
        <f>(E623/E612)*SUM(C701:D701)</f>
        <v>2489243.9049396734</v>
      </c>
      <c r="F701" s="1">
        <f>(F624/F612)*AJ64</f>
        <v>66421.45924464344</v>
      </c>
      <c r="G701" s="1">
        <f>(G625/G612)*AJ77</f>
        <v>0</v>
      </c>
      <c r="H701" s="1">
        <f>(H628/H612)*AJ60</f>
        <v>375938.58653906407</v>
      </c>
      <c r="I701" s="1">
        <f>(I629/I612)*AJ78</f>
        <v>254476.48355823502</v>
      </c>
      <c r="J701" s="1">
        <f>(J630/J612)*AJ79</f>
        <v>50788.697022976863</v>
      </c>
      <c r="K701" s="1">
        <f>(K644/K612)*AJ75</f>
        <v>1714789.7556007521</v>
      </c>
      <c r="L701" s="1">
        <f>(L647/L612)*AJ80</f>
        <v>385459.71663459967</v>
      </c>
      <c r="M701" s="1">
        <f t="shared" si="20"/>
        <v>6197029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0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0</v>
      </c>
      <c r="L703" s="1">
        <f>(L647/L612)*AL80</f>
        <v>0</v>
      </c>
      <c r="M703" s="1">
        <f t="shared" si="20"/>
        <v>0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0"/>
        <v>0</v>
      </c>
      <c r="N704" s="149" t="s">
        <v>724</v>
      </c>
    </row>
    <row r="705" spans="1:82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0"/>
        <v>0</v>
      </c>
      <c r="N705" s="149" t="s">
        <v>726</v>
      </c>
    </row>
    <row r="706" spans="1:82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0</v>
      </c>
      <c r="L706" s="1">
        <f>(L647/L612)*AO80</f>
        <v>0</v>
      </c>
      <c r="M706" s="1">
        <f t="shared" si="20"/>
        <v>0</v>
      </c>
      <c r="N706" s="149" t="s">
        <v>728</v>
      </c>
    </row>
    <row r="707" spans="1:82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0"/>
        <v>0</v>
      </c>
      <c r="N707" s="149" t="s">
        <v>730</v>
      </c>
    </row>
    <row r="708" spans="1:82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0"/>
        <v>0</v>
      </c>
      <c r="N708" s="149" t="s">
        <v>732</v>
      </c>
    </row>
    <row r="709" spans="1:82" ht="12.65" customHeight="1" x14ac:dyDescent="0.3">
      <c r="A709" s="147">
        <v>7400</v>
      </c>
      <c r="B709" s="149" t="s">
        <v>733</v>
      </c>
      <c r="C709" s="1">
        <f>AR71</f>
        <v>4435716</v>
      </c>
      <c r="D709" s="1">
        <f>(D615/D612)*AR76</f>
        <v>71713.572092473245</v>
      </c>
      <c r="E709" s="1">
        <f>(E623/E612)*SUM(C709:D709)</f>
        <v>376223.75324504828</v>
      </c>
      <c r="F709" s="1">
        <f>(F624/F612)*AR64</f>
        <v>5523.1376254417564</v>
      </c>
      <c r="G709" s="1">
        <f>(G625/G612)*AR77</f>
        <v>0</v>
      </c>
      <c r="H709" s="1">
        <f>(H628/H612)*AR60</f>
        <v>102239.69893442137</v>
      </c>
      <c r="I709" s="1">
        <f>(I629/I612)*AR78</f>
        <v>0</v>
      </c>
      <c r="J709" s="1">
        <f>(J630/J612)*AR79</f>
        <v>0</v>
      </c>
      <c r="K709" s="1">
        <f>(K644/K612)*AR75</f>
        <v>288987.13523158047</v>
      </c>
      <c r="L709" s="1">
        <f>(L647/L612)*AR80</f>
        <v>217204.4805941215</v>
      </c>
      <c r="M709" s="1">
        <f t="shared" si="20"/>
        <v>1061892</v>
      </c>
      <c r="N709" s="149" t="s">
        <v>734</v>
      </c>
    </row>
    <row r="710" spans="1:82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0"/>
        <v>0</v>
      </c>
      <c r="N710" s="149" t="s">
        <v>735</v>
      </c>
    </row>
    <row r="711" spans="1:82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0"/>
        <v>0</v>
      </c>
      <c r="N711" s="149" t="s">
        <v>737</v>
      </c>
    </row>
    <row r="712" spans="1:82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0"/>
        <v>0</v>
      </c>
      <c r="N712" s="149" t="s">
        <v>739</v>
      </c>
    </row>
    <row r="713" spans="1:82" ht="12.65" customHeight="1" x14ac:dyDescent="0.3">
      <c r="A713" s="147">
        <v>7490</v>
      </c>
      <c r="B713" s="149" t="s">
        <v>740</v>
      </c>
      <c r="C713" s="1">
        <f>AV71</f>
        <v>2471618</v>
      </c>
      <c r="D713" s="1">
        <f>(D615/D612)*AV76</f>
        <v>88848.136202017442</v>
      </c>
      <c r="E713" s="1">
        <f>(E623/E612)*SUM(C713:D713)</f>
        <v>213715.63646452621</v>
      </c>
      <c r="F713" s="1">
        <f>(F624/F612)*AV64</f>
        <v>3349.2012021576311</v>
      </c>
      <c r="G713" s="1">
        <f>(G625/G612)*AV77</f>
        <v>0</v>
      </c>
      <c r="H713" s="1">
        <f>(H628/H612)*AV60</f>
        <v>51554.371280163818</v>
      </c>
      <c r="I713" s="1">
        <f>(I629/I612)*AV78</f>
        <v>83352.394370722526</v>
      </c>
      <c r="J713" s="1">
        <f>(J630/J612)*AV79</f>
        <v>32817.358770682411</v>
      </c>
      <c r="K713" s="1">
        <f>(K644/K612)*AV75</f>
        <v>396650.69150773768</v>
      </c>
      <c r="L713" s="1">
        <f>(L647/L612)*AV80</f>
        <v>61447.014536700175</v>
      </c>
      <c r="M713" s="1">
        <f t="shared" si="20"/>
        <v>931735</v>
      </c>
      <c r="N713" s="150" t="s">
        <v>741</v>
      </c>
    </row>
    <row r="715" spans="1:82" ht="12.65" customHeight="1" x14ac:dyDescent="0.3">
      <c r="C715" s="1">
        <f>SUM(C614:C647)+SUM(C668:C713)</f>
        <v>122299480</v>
      </c>
      <c r="D715" s="1">
        <f>SUM(D616:D647)+SUM(D668:D713)</f>
        <v>2965324</v>
      </c>
      <c r="E715" s="1">
        <f>SUM(E624:E647)+SUM(E668:E713)</f>
        <v>9421628.9159586728</v>
      </c>
      <c r="F715" s="1">
        <f>SUM(F625:F648)+SUM(F668:F713)</f>
        <v>955495.96703200741</v>
      </c>
      <c r="G715" s="1">
        <f>SUM(G626:G647)+SUM(G668:G713)</f>
        <v>1041984.7165253641</v>
      </c>
      <c r="H715" s="1">
        <f>SUM(H629:H647)+SUM(H668:H713)</f>
        <v>1511230.1679997637</v>
      </c>
      <c r="I715" s="1">
        <f>SUM(I630:I647)+SUM(I668:I713)</f>
        <v>1827408.9427496253</v>
      </c>
      <c r="J715" s="1">
        <f>SUM(J631:J647)+SUM(J668:J713)</f>
        <v>463230.14863080252</v>
      </c>
      <c r="K715" s="1">
        <f>SUM(K668:K713)</f>
        <v>11568020.770989932</v>
      </c>
      <c r="L715" s="1">
        <f>SUM(L668:L713)</f>
        <v>1765222.7916269996</v>
      </c>
      <c r="M715" s="1">
        <f>SUM(M668:M713)</f>
        <v>28719538</v>
      </c>
      <c r="N715" s="149" t="s">
        <v>742</v>
      </c>
    </row>
    <row r="716" spans="1:82" ht="12.65" customHeight="1" x14ac:dyDescent="0.3">
      <c r="C716" s="1">
        <f>CE71</f>
        <v>122299480</v>
      </c>
      <c r="D716" s="1">
        <f>D615</f>
        <v>2965324</v>
      </c>
      <c r="E716" s="1">
        <f>E623</f>
        <v>9421628.9159586728</v>
      </c>
      <c r="F716" s="1">
        <f>F624</f>
        <v>955495.96703200741</v>
      </c>
      <c r="G716" s="1">
        <f>G625</f>
        <v>1041984.7165253641</v>
      </c>
      <c r="H716" s="1">
        <f>H628</f>
        <v>1511230.1679997637</v>
      </c>
      <c r="I716" s="1">
        <f>I629</f>
        <v>1827408.9427496255</v>
      </c>
      <c r="J716" s="1">
        <f>J630</f>
        <v>463230.14863080258</v>
      </c>
      <c r="K716" s="1">
        <f>K644</f>
        <v>11568020.770989928</v>
      </c>
      <c r="L716" s="1">
        <f>L647</f>
        <v>1765222.7916269994</v>
      </c>
      <c r="M716" s="1">
        <f>C648</f>
        <v>28719539</v>
      </c>
      <c r="N716" s="149" t="s">
        <v>743</v>
      </c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744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745</v>
      </c>
      <c r="B720" s="154" t="s">
        <v>746</v>
      </c>
      <c r="C720" s="154" t="s">
        <v>747</v>
      </c>
      <c r="D720" s="154" t="s">
        <v>748</v>
      </c>
      <c r="E720" s="154" t="s">
        <v>749</v>
      </c>
      <c r="F720" s="154" t="s">
        <v>750</v>
      </c>
      <c r="G720" s="154" t="s">
        <v>751</v>
      </c>
      <c r="H720" s="154" t="s">
        <v>752</v>
      </c>
      <c r="I720" s="154" t="s">
        <v>753</v>
      </c>
      <c r="J720" s="154" t="s">
        <v>754</v>
      </c>
      <c r="K720" s="154" t="s">
        <v>755</v>
      </c>
      <c r="L720" s="154" t="s">
        <v>756</v>
      </c>
      <c r="M720" s="154" t="s">
        <v>757</v>
      </c>
      <c r="N720" s="154" t="s">
        <v>758</v>
      </c>
      <c r="O720" s="154" t="s">
        <v>759</v>
      </c>
      <c r="P720" s="154" t="s">
        <v>760</v>
      </c>
      <c r="Q720" s="154" t="s">
        <v>761</v>
      </c>
      <c r="R720" s="154" t="s">
        <v>762</v>
      </c>
      <c r="S720" s="154" t="s">
        <v>763</v>
      </c>
      <c r="T720" s="154" t="s">
        <v>764</v>
      </c>
      <c r="U720" s="154" t="s">
        <v>765</v>
      </c>
      <c r="V720" s="154" t="s">
        <v>766</v>
      </c>
      <c r="W720" s="154" t="s">
        <v>767</v>
      </c>
      <c r="X720" s="154" t="s">
        <v>768</v>
      </c>
      <c r="Y720" s="154" t="s">
        <v>769</v>
      </c>
      <c r="Z720" s="154" t="s">
        <v>770</v>
      </c>
      <c r="AA720" s="154" t="s">
        <v>771</v>
      </c>
      <c r="AB720" s="154" t="s">
        <v>772</v>
      </c>
      <c r="AC720" s="154" t="s">
        <v>773</v>
      </c>
      <c r="AD720" s="154" t="s">
        <v>774</v>
      </c>
      <c r="AE720" s="154" t="s">
        <v>775</v>
      </c>
      <c r="AF720" s="154" t="s">
        <v>776</v>
      </c>
      <c r="AG720" s="154" t="s">
        <v>777</v>
      </c>
      <c r="AH720" s="154" t="s">
        <v>778</v>
      </c>
      <c r="AI720" s="154" t="s">
        <v>779</v>
      </c>
      <c r="AJ720" s="154" t="s">
        <v>780</v>
      </c>
      <c r="AK720" s="154" t="s">
        <v>781</v>
      </c>
      <c r="AL720" s="154" t="s">
        <v>782</v>
      </c>
      <c r="AM720" s="154" t="s">
        <v>783</v>
      </c>
      <c r="AN720" s="154" t="s">
        <v>784</v>
      </c>
      <c r="AO720" s="154" t="s">
        <v>785</v>
      </c>
      <c r="AP720" s="154" t="s">
        <v>786</v>
      </c>
      <c r="AQ720" s="154" t="s">
        <v>787</v>
      </c>
      <c r="AR720" s="154" t="s">
        <v>788</v>
      </c>
      <c r="AS720" s="154" t="s">
        <v>789</v>
      </c>
      <c r="AT720" s="154" t="s">
        <v>790</v>
      </c>
      <c r="AU720" s="154" t="s">
        <v>791</v>
      </c>
      <c r="AV720" s="154" t="s">
        <v>792</v>
      </c>
      <c r="AW720" s="154" t="s">
        <v>793</v>
      </c>
      <c r="AX720" s="154" t="s">
        <v>794</v>
      </c>
      <c r="AY720" s="154" t="s">
        <v>795</v>
      </c>
      <c r="AZ720" s="154" t="s">
        <v>796</v>
      </c>
      <c r="BA720" s="154" t="s">
        <v>797</v>
      </c>
      <c r="BB720" s="154" t="s">
        <v>798</v>
      </c>
      <c r="BC720" s="154" t="s">
        <v>799</v>
      </c>
      <c r="BD720" s="154" t="s">
        <v>800</v>
      </c>
      <c r="BE720" s="154" t="s">
        <v>801</v>
      </c>
      <c r="BF720" s="154" t="s">
        <v>802</v>
      </c>
      <c r="BG720" s="154" t="s">
        <v>803</v>
      </c>
      <c r="BH720" s="154" t="s">
        <v>804</v>
      </c>
      <c r="BI720" s="154" t="s">
        <v>805</v>
      </c>
      <c r="BJ720" s="154" t="s">
        <v>806</v>
      </c>
      <c r="BK720" s="154" t="s">
        <v>807</v>
      </c>
      <c r="BL720" s="154" t="s">
        <v>808</v>
      </c>
      <c r="BM720" s="154" t="s">
        <v>809</v>
      </c>
      <c r="BN720" s="154" t="s">
        <v>810</v>
      </c>
      <c r="BO720" s="154" t="s">
        <v>811</v>
      </c>
      <c r="BP720" s="154" t="s">
        <v>812</v>
      </c>
      <c r="BQ720" s="154" t="s">
        <v>813</v>
      </c>
      <c r="BR720" s="154" t="s">
        <v>814</v>
      </c>
      <c r="BS720" s="154" t="s">
        <v>815</v>
      </c>
      <c r="BT720" s="154" t="s">
        <v>816</v>
      </c>
      <c r="BU720" s="154" t="s">
        <v>817</v>
      </c>
      <c r="BV720" s="154" t="s">
        <v>818</v>
      </c>
      <c r="BW720" s="154" t="s">
        <v>819</v>
      </c>
      <c r="BX720" s="154" t="s">
        <v>820</v>
      </c>
      <c r="BY720" s="154" t="s">
        <v>821</v>
      </c>
      <c r="BZ720" s="220" t="s">
        <v>822</v>
      </c>
      <c r="CA720" s="154" t="s">
        <v>823</v>
      </c>
      <c r="CB720" s="154" t="s">
        <v>824</v>
      </c>
      <c r="CC720" s="154" t="s">
        <v>825</v>
      </c>
    </row>
    <row r="721" spans="1:84" ht="12.65" customHeight="1" x14ac:dyDescent="0.3">
      <c r="A721" s="221" t="str">
        <f>RIGHT(C84,3)&amp;"*"&amp;RIGHT(C83,4)&amp;"*"&amp;"A"</f>
        <v>o 2*085*A</v>
      </c>
      <c r="B721" s="160">
        <f>ROUND(C166,0)</f>
        <v>209472</v>
      </c>
      <c r="C721" s="160">
        <f>ROUND(C167,0)</f>
        <v>424046</v>
      </c>
      <c r="D721" s="160">
        <f>ROUND(C168,0)</f>
        <v>7297614</v>
      </c>
      <c r="E721" s="160">
        <f>ROUND(C169,0)</f>
        <v>79884</v>
      </c>
      <c r="F721" s="160">
        <f>ROUND(C170,0)</f>
        <v>2384763</v>
      </c>
      <c r="G721" s="160">
        <f>ROUND(C171,0)</f>
        <v>81638</v>
      </c>
      <c r="H721" s="160">
        <f>ROUND(C172+C173,0)</f>
        <v>16436</v>
      </c>
      <c r="I721" s="160">
        <f>ROUND(C176,0)</f>
        <v>968143</v>
      </c>
      <c r="J721" s="160">
        <f>ROUND(C177,0)</f>
        <v>0</v>
      </c>
      <c r="K721" s="160">
        <f>ROUND(C180,0)</f>
        <v>198544</v>
      </c>
      <c r="L721" s="160">
        <f>ROUND(C181,0)</f>
        <v>0</v>
      </c>
      <c r="M721" s="160">
        <f>ROUND(C184,0)</f>
        <v>0</v>
      </c>
      <c r="N721" s="160">
        <f>ROUND(C185,0)</f>
        <v>0</v>
      </c>
      <c r="O721" s="160">
        <f>ROUND(C186,0)</f>
        <v>0</v>
      </c>
      <c r="P721" s="160">
        <f>ROUND(C189,0)</f>
        <v>195865</v>
      </c>
      <c r="Q721" s="160">
        <f>ROUND(C190,0)</f>
        <v>0</v>
      </c>
      <c r="R721" s="160">
        <f>ROUND(B196,0)</f>
        <v>4028158</v>
      </c>
      <c r="S721" s="160">
        <f>ROUND(C196,0)</f>
        <v>0</v>
      </c>
      <c r="T721" s="160">
        <f>ROUND(D196,0)</f>
        <v>0</v>
      </c>
      <c r="U721" s="160">
        <f>ROUND(B197,0)</f>
        <v>40757243</v>
      </c>
      <c r="V721" s="160">
        <f>ROUND(C197,0)</f>
        <v>0</v>
      </c>
      <c r="W721" s="160">
        <f>ROUND(D197,0)</f>
        <v>0</v>
      </c>
      <c r="X721" s="160">
        <f>ROUND(B198,0)</f>
        <v>0</v>
      </c>
      <c r="Y721" s="160">
        <f>ROUND(C198,0)</f>
        <v>0</v>
      </c>
      <c r="Z721" s="160">
        <f>ROUND(D198,0)</f>
        <v>0</v>
      </c>
      <c r="AA721" s="160">
        <f>ROUND(B199,0)</f>
        <v>0</v>
      </c>
      <c r="AB721" s="160">
        <f>ROUND(C199,0)</f>
        <v>0</v>
      </c>
      <c r="AC721" s="160">
        <f>ROUND(D199,0)</f>
        <v>0</v>
      </c>
      <c r="AD721" s="160">
        <f>ROUND(B200,0)</f>
        <v>39493280</v>
      </c>
      <c r="AE721" s="160">
        <f>ROUND(C200,0)</f>
        <v>2037024</v>
      </c>
      <c r="AF721" s="160">
        <f>ROUND(D200,0)</f>
        <v>0</v>
      </c>
      <c r="AG721" s="160">
        <f>ROUND(B201,0)</f>
        <v>0</v>
      </c>
      <c r="AH721" s="160">
        <f>ROUND(C201,0)</f>
        <v>0</v>
      </c>
      <c r="AI721" s="160">
        <f>ROUND(D201,0)</f>
        <v>0</v>
      </c>
      <c r="AJ721" s="160">
        <f>ROUND(B202,0)</f>
        <v>1361180</v>
      </c>
      <c r="AK721" s="160">
        <f>ROUND(C202,0)</f>
        <v>0</v>
      </c>
      <c r="AL721" s="160">
        <f>ROUND(D202,0)</f>
        <v>0</v>
      </c>
      <c r="AM721" s="160">
        <f>ROUND(B203,0)</f>
        <v>493251</v>
      </c>
      <c r="AN721" s="160">
        <f>ROUND(C203,0)</f>
        <v>501992</v>
      </c>
      <c r="AO721" s="160">
        <f>ROUND(D203,0)</f>
        <v>0</v>
      </c>
      <c r="AP721" s="160">
        <f>ROUND(B204,0)</f>
        <v>87682823</v>
      </c>
      <c r="AQ721" s="160">
        <f>ROUND(C204,0)</f>
        <v>2704636</v>
      </c>
      <c r="AR721" s="160">
        <f>ROUND(D204,0)</f>
        <v>0</v>
      </c>
      <c r="AS721" s="160"/>
      <c r="AT721" s="160"/>
      <c r="AU721" s="160"/>
      <c r="AV721" s="160">
        <f>ROUND(B210,0)</f>
        <v>20142436</v>
      </c>
      <c r="AW721" s="160">
        <f>ROUND(C210,0)</f>
        <v>1722816</v>
      </c>
      <c r="AX721" s="160">
        <f>ROUND(D210,0)</f>
        <v>0</v>
      </c>
      <c r="AY721" s="160">
        <f>ROUND(B211,0)</f>
        <v>0</v>
      </c>
      <c r="AZ721" s="160">
        <f>ROUND(C211,0)</f>
        <v>0</v>
      </c>
      <c r="BA721" s="160">
        <f>ROUND(D211,0)</f>
        <v>0</v>
      </c>
      <c r="BB721" s="160">
        <f>ROUND(B212,0)</f>
        <v>0</v>
      </c>
      <c r="BC721" s="160">
        <f>ROUND(C212,0)</f>
        <v>0</v>
      </c>
      <c r="BD721" s="160">
        <f>ROUND(D212,0)</f>
        <v>0</v>
      </c>
      <c r="BE721" s="160">
        <f>ROUND(B213,0)</f>
        <v>22593911</v>
      </c>
      <c r="BF721" s="160">
        <f>ROUND(C213,0)</f>
        <v>2666214</v>
      </c>
      <c r="BG721" s="160">
        <f>ROUND(D213,0)</f>
        <v>0</v>
      </c>
      <c r="BH721" s="160">
        <f>ROUND(B214,0)</f>
        <v>0</v>
      </c>
      <c r="BI721" s="160">
        <f>ROUND(C214,0)</f>
        <v>0</v>
      </c>
      <c r="BJ721" s="160">
        <f>ROUND(D214,0)</f>
        <v>0</v>
      </c>
      <c r="BK721" s="160">
        <f>ROUND(B215,0)</f>
        <v>778739</v>
      </c>
      <c r="BL721" s="160">
        <f>ROUND(C215,0)</f>
        <v>118978</v>
      </c>
      <c r="BM721" s="160">
        <f>ROUND(D215,0)</f>
        <v>0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45030129</v>
      </c>
      <c r="BR721" s="160">
        <f>ROUND(C217,0)</f>
        <v>4759008</v>
      </c>
      <c r="BS721" s="160">
        <f>ROUND(D217,0)</f>
        <v>0</v>
      </c>
      <c r="BT721" s="160">
        <f>ROUND(C222,0)</f>
        <v>0</v>
      </c>
      <c r="BU721" s="160">
        <f>ROUND(C223,0)</f>
        <v>90312560</v>
      </c>
      <c r="BV721" s="160">
        <f>ROUND(C224,0)</f>
        <v>20739856</v>
      </c>
      <c r="BW721" s="160">
        <f>ROUND(C225,0)</f>
        <v>0</v>
      </c>
      <c r="BX721" s="160">
        <f>ROUND(C226,0)</f>
        <v>0</v>
      </c>
      <c r="BY721" s="160">
        <f>ROUND(C227,0)</f>
        <v>0</v>
      </c>
      <c r="BZ721" s="160">
        <f>ROUND(C230,0)</f>
        <v>0</v>
      </c>
      <c r="CA721" s="160">
        <f>ROUND(C232,0)</f>
        <v>0</v>
      </c>
      <c r="CB721" s="160">
        <f>ROUND(C233,0)</f>
        <v>336849</v>
      </c>
      <c r="CC721" s="160">
        <f>ROUND(C237+C238,0)</f>
        <v>99324</v>
      </c>
    </row>
    <row r="723" spans="1:84" ht="12.65" customHeight="1" x14ac:dyDescent="0.3">
      <c r="A723" s="152" t="s">
        <v>148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745</v>
      </c>
      <c r="B724" s="154" t="s">
        <v>826</v>
      </c>
      <c r="C724" s="154" t="s">
        <v>827</v>
      </c>
      <c r="D724" s="154" t="s">
        <v>828</v>
      </c>
      <c r="E724" s="154" t="s">
        <v>829</v>
      </c>
      <c r="F724" s="154" t="s">
        <v>830</v>
      </c>
      <c r="G724" s="154" t="s">
        <v>831</v>
      </c>
      <c r="H724" s="154" t="s">
        <v>832</v>
      </c>
      <c r="I724" s="154" t="s">
        <v>833</v>
      </c>
      <c r="J724" s="154" t="s">
        <v>834</v>
      </c>
      <c r="K724" s="154" t="s">
        <v>835</v>
      </c>
      <c r="L724" s="154" t="s">
        <v>836</v>
      </c>
      <c r="M724" s="154" t="s">
        <v>837</v>
      </c>
      <c r="N724" s="154" t="s">
        <v>838</v>
      </c>
      <c r="O724" s="154" t="s">
        <v>839</v>
      </c>
      <c r="P724" s="154" t="s">
        <v>840</v>
      </c>
      <c r="Q724" s="154" t="s">
        <v>841</v>
      </c>
      <c r="R724" s="154" t="s">
        <v>842</v>
      </c>
      <c r="S724" s="154" t="s">
        <v>843</v>
      </c>
      <c r="T724" s="154" t="s">
        <v>844</v>
      </c>
      <c r="U724" s="154" t="s">
        <v>845</v>
      </c>
      <c r="V724" s="154" t="s">
        <v>846</v>
      </c>
      <c r="W724" s="154" t="s">
        <v>847</v>
      </c>
      <c r="X724" s="154" t="s">
        <v>848</v>
      </c>
      <c r="Y724" s="154" t="s">
        <v>849</v>
      </c>
      <c r="Z724" s="154" t="s">
        <v>850</v>
      </c>
      <c r="AA724" s="154" t="s">
        <v>851</v>
      </c>
      <c r="AB724" s="154" t="s">
        <v>852</v>
      </c>
      <c r="AC724" s="154" t="s">
        <v>853</v>
      </c>
      <c r="AD724" s="154" t="s">
        <v>854</v>
      </c>
      <c r="AE724" s="154" t="s">
        <v>855</v>
      </c>
      <c r="AF724" s="154" t="s">
        <v>856</v>
      </c>
      <c r="AG724" s="154" t="s">
        <v>857</v>
      </c>
      <c r="AH724" s="154" t="s">
        <v>858</v>
      </c>
      <c r="AI724" s="154" t="s">
        <v>859</v>
      </c>
      <c r="AJ724" s="154" t="s">
        <v>860</v>
      </c>
      <c r="AK724" s="154" t="s">
        <v>861</v>
      </c>
      <c r="AL724" s="154" t="s">
        <v>862</v>
      </c>
      <c r="AM724" s="154" t="s">
        <v>863</v>
      </c>
      <c r="AN724" s="154" t="s">
        <v>864</v>
      </c>
      <c r="AO724" s="154" t="s">
        <v>865</v>
      </c>
      <c r="AP724" s="154" t="s">
        <v>866</v>
      </c>
      <c r="AQ724" s="154" t="s">
        <v>867</v>
      </c>
      <c r="AR724" s="154" t="s">
        <v>868</v>
      </c>
      <c r="AS724" s="154" t="s">
        <v>869</v>
      </c>
      <c r="AT724" s="154" t="s">
        <v>870</v>
      </c>
      <c r="AU724" s="154" t="s">
        <v>871</v>
      </c>
      <c r="AV724" s="154" t="s">
        <v>872</v>
      </c>
      <c r="AW724" s="154" t="s">
        <v>873</v>
      </c>
      <c r="AX724" s="154" t="s">
        <v>874</v>
      </c>
      <c r="AY724" s="154" t="s">
        <v>875</v>
      </c>
      <c r="AZ724" s="154" t="s">
        <v>876</v>
      </c>
      <c r="BA724" s="154" t="s">
        <v>877</v>
      </c>
      <c r="BB724" s="154" t="s">
        <v>878</v>
      </c>
      <c r="BC724" s="154" t="s">
        <v>879</v>
      </c>
      <c r="BD724" s="154" t="s">
        <v>880</v>
      </c>
      <c r="BE724" s="154" t="s">
        <v>881</v>
      </c>
      <c r="BF724" s="154" t="s">
        <v>882</v>
      </c>
      <c r="BG724" s="154" t="s">
        <v>883</v>
      </c>
      <c r="BH724" s="154" t="s">
        <v>884</v>
      </c>
      <c r="BI724" s="154" t="s">
        <v>885</v>
      </c>
      <c r="BJ724" s="154" t="s">
        <v>886</v>
      </c>
      <c r="BK724" s="154" t="s">
        <v>887</v>
      </c>
      <c r="BL724" s="154" t="s">
        <v>888</v>
      </c>
      <c r="BM724" s="154" t="s">
        <v>889</v>
      </c>
      <c r="BN724" s="154" t="s">
        <v>890</v>
      </c>
      <c r="BO724" s="154" t="s">
        <v>891</v>
      </c>
      <c r="BP724" s="154" t="s">
        <v>892</v>
      </c>
      <c r="BQ724" s="154" t="s">
        <v>893</v>
      </c>
      <c r="BR724" s="154" t="s">
        <v>894</v>
      </c>
    </row>
    <row r="725" spans="1:84" ht="12.65" customHeight="1" x14ac:dyDescent="0.3">
      <c r="A725" s="221" t="str">
        <f>RIGHT(C84,3)&amp;"*"&amp;RIGHT(C83,4)&amp;"*"&amp;"A"</f>
        <v>o 2*085*A</v>
      </c>
      <c r="B725" s="160">
        <f>ROUND(C112,0)</f>
        <v>10</v>
      </c>
      <c r="C725" s="160">
        <f>ROUND(C113,0)</f>
        <v>0</v>
      </c>
      <c r="D725" s="160">
        <f>ROUND(C114,0)</f>
        <v>88</v>
      </c>
      <c r="E725" s="160">
        <f>ROUND(C115,0)</f>
        <v>0</v>
      </c>
      <c r="F725" s="160">
        <f>ROUND(D112,0)</f>
        <v>152</v>
      </c>
      <c r="G725" s="160">
        <f>ROUND(D113,0)</f>
        <v>0</v>
      </c>
      <c r="H725" s="160">
        <f>ROUND(D114,0)</f>
        <v>197</v>
      </c>
      <c r="I725" s="160">
        <f>ROUND(D115,0)</f>
        <v>0</v>
      </c>
      <c r="J725" s="160">
        <f>ROUND(C117,0)</f>
        <v>0</v>
      </c>
      <c r="K725" s="160">
        <f>ROUND(C118,0)</f>
        <v>10</v>
      </c>
      <c r="L725" s="160">
        <f>ROUND(C119,0)</f>
        <v>0</v>
      </c>
      <c r="M725" s="160">
        <f>ROUND(C120,0)</f>
        <v>4</v>
      </c>
      <c r="N725" s="160">
        <f>ROUND(C121,0)</f>
        <v>0</v>
      </c>
      <c r="O725" s="160">
        <f>ROUND(C122,0)</f>
        <v>0</v>
      </c>
      <c r="P725" s="160">
        <f>ROUND(C123,0)</f>
        <v>5</v>
      </c>
      <c r="Q725" s="160">
        <f>ROUND(C124,0)</f>
        <v>0</v>
      </c>
      <c r="R725" s="160">
        <f>ROUND(C125,0)</f>
        <v>0</v>
      </c>
      <c r="S725" s="160">
        <f>ROUND(C126,0)</f>
        <v>0</v>
      </c>
      <c r="T725" s="160"/>
      <c r="U725" s="160">
        <f>ROUND(C127,0)</f>
        <v>0</v>
      </c>
      <c r="V725" s="160">
        <f>ROUND(C129,0)</f>
        <v>4</v>
      </c>
      <c r="W725" s="160">
        <f>ROUND(C130,0)</f>
        <v>0</v>
      </c>
      <c r="X725" s="160">
        <f>ROUND(B139,0)</f>
        <v>2132</v>
      </c>
      <c r="Y725" s="160">
        <f>ROUND(B140,0)</f>
        <v>0</v>
      </c>
      <c r="Z725" s="160">
        <f>ROUND(B141,0)</f>
        <v>23856769</v>
      </c>
      <c r="AA725" s="160">
        <f>ROUND(B142,0)</f>
        <v>131770813</v>
      </c>
      <c r="AB725" s="160">
        <f>ROUND(B143,0)</f>
        <v>0</v>
      </c>
      <c r="AC725" s="160">
        <f>ROUND(C139,0)</f>
        <v>340</v>
      </c>
      <c r="AD725" s="160">
        <f>ROUND(C140,0)</f>
        <v>0</v>
      </c>
      <c r="AE725" s="160">
        <f>ROUND(C141,0)</f>
        <v>5594630</v>
      </c>
      <c r="AF725" s="160">
        <f>ROUND(C142,0)</f>
        <v>28781995</v>
      </c>
      <c r="AG725" s="160">
        <f>ROUND(C143,0)</f>
        <v>0</v>
      </c>
      <c r="AH725" s="160">
        <f>ROUND(D139,0)</f>
        <v>379</v>
      </c>
      <c r="AI725" s="160">
        <f>ROUND(D140,0)</f>
        <v>0</v>
      </c>
      <c r="AJ725" s="160">
        <f>ROUND(D141,0)</f>
        <v>6929288</v>
      </c>
      <c r="AK725" s="160">
        <f>ROUND(D142,0)</f>
        <v>58968123</v>
      </c>
      <c r="AL725" s="160">
        <f>ROUND(D143,0)</f>
        <v>0</v>
      </c>
      <c r="AM725" s="160">
        <f>ROUND(B145,0)</f>
        <v>122</v>
      </c>
      <c r="AN725" s="160">
        <f>ROUND(B146,0)</f>
        <v>0</v>
      </c>
      <c r="AO725" s="160">
        <f>ROUND(B147,0)</f>
        <v>226058</v>
      </c>
      <c r="AP725" s="160">
        <f>ROUND(B148,0)</f>
        <v>0</v>
      </c>
      <c r="AQ725" s="160">
        <f>ROUND(B149,0)</f>
        <v>0</v>
      </c>
      <c r="AR725" s="160">
        <f>ROUND(C145,0)</f>
        <v>12</v>
      </c>
      <c r="AS725" s="160">
        <f>ROUND(C146,0)</f>
        <v>0</v>
      </c>
      <c r="AT725" s="160">
        <f>ROUND(C147,0)</f>
        <v>7236</v>
      </c>
      <c r="AU725" s="160">
        <f>ROUND(C148,0)</f>
        <v>0</v>
      </c>
      <c r="AV725" s="160">
        <f>ROUND(C149,0)</f>
        <v>0</v>
      </c>
      <c r="AW725" s="160">
        <f>ROUND(D145,0)</f>
        <v>18</v>
      </c>
      <c r="AX725" s="160">
        <f>ROUND(D146,0)</f>
        <v>0</v>
      </c>
      <c r="AY725" s="160">
        <f>ROUND(D147,0)</f>
        <v>31338</v>
      </c>
      <c r="AZ725" s="160">
        <f>ROUND(D148,0)</f>
        <v>0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0</v>
      </c>
      <c r="BR725" s="160">
        <f>ROUND(C158,0)</f>
        <v>0</v>
      </c>
    </row>
    <row r="727" spans="1:84" ht="12.65" customHeight="1" x14ac:dyDescent="0.3">
      <c r="A727" s="152" t="s">
        <v>895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745</v>
      </c>
      <c r="B728" s="154" t="s">
        <v>896</v>
      </c>
      <c r="C728" s="154" t="s">
        <v>897</v>
      </c>
      <c r="D728" s="154" t="s">
        <v>898</v>
      </c>
      <c r="E728" s="154" t="s">
        <v>899</v>
      </c>
      <c r="F728" s="154" t="s">
        <v>900</v>
      </c>
      <c r="G728" s="154" t="s">
        <v>901</v>
      </c>
      <c r="H728" s="154" t="s">
        <v>902</v>
      </c>
      <c r="I728" s="154" t="s">
        <v>903</v>
      </c>
      <c r="J728" s="154" t="s">
        <v>904</v>
      </c>
      <c r="K728" s="154" t="s">
        <v>905</v>
      </c>
      <c r="L728" s="154" t="s">
        <v>906</v>
      </c>
      <c r="M728" s="154" t="s">
        <v>907</v>
      </c>
      <c r="N728" s="154" t="s">
        <v>908</v>
      </c>
      <c r="O728" s="154" t="s">
        <v>909</v>
      </c>
      <c r="P728" s="154" t="s">
        <v>910</v>
      </c>
      <c r="Q728" s="154" t="s">
        <v>911</v>
      </c>
      <c r="R728" s="154" t="s">
        <v>912</v>
      </c>
      <c r="S728" s="154" t="s">
        <v>913</v>
      </c>
      <c r="T728" s="154" t="s">
        <v>914</v>
      </c>
      <c r="U728" s="154" t="s">
        <v>915</v>
      </c>
      <c r="V728" s="154" t="s">
        <v>916</v>
      </c>
      <c r="W728" s="154" t="s">
        <v>917</v>
      </c>
      <c r="X728" s="154" t="s">
        <v>918</v>
      </c>
      <c r="Y728" s="154" t="s">
        <v>919</v>
      </c>
      <c r="Z728" s="154" t="s">
        <v>920</v>
      </c>
      <c r="AA728" s="154" t="s">
        <v>921</v>
      </c>
      <c r="AB728" s="154" t="s">
        <v>922</v>
      </c>
      <c r="AC728" s="154" t="s">
        <v>923</v>
      </c>
      <c r="AD728" s="154" t="s">
        <v>924</v>
      </c>
      <c r="AE728" s="154" t="s">
        <v>925</v>
      </c>
      <c r="AF728" s="154" t="s">
        <v>926</v>
      </c>
      <c r="AG728" s="154" t="s">
        <v>927</v>
      </c>
      <c r="AH728" s="154" t="s">
        <v>928</v>
      </c>
      <c r="AI728" s="154" t="s">
        <v>929</v>
      </c>
      <c r="AJ728" s="154" t="s">
        <v>930</v>
      </c>
      <c r="AK728" s="154" t="s">
        <v>931</v>
      </c>
      <c r="AL728" s="154" t="s">
        <v>932</v>
      </c>
      <c r="AM728" s="154" t="s">
        <v>933</v>
      </c>
      <c r="AN728" s="154" t="s">
        <v>934</v>
      </c>
      <c r="AO728" s="154" t="s">
        <v>935</v>
      </c>
      <c r="AP728" s="154" t="s">
        <v>936</v>
      </c>
      <c r="AQ728" s="154" t="s">
        <v>937</v>
      </c>
      <c r="AR728" s="154" t="s">
        <v>938</v>
      </c>
      <c r="AS728" s="154" t="s">
        <v>939</v>
      </c>
      <c r="AT728" s="154" t="s">
        <v>940</v>
      </c>
      <c r="AU728" s="154" t="s">
        <v>941</v>
      </c>
      <c r="AV728" s="154" t="s">
        <v>942</v>
      </c>
      <c r="AW728" s="154" t="s">
        <v>943</v>
      </c>
      <c r="AX728" s="154" t="s">
        <v>944</v>
      </c>
      <c r="AY728" s="154" t="s">
        <v>945</v>
      </c>
      <c r="AZ728" s="154" t="s">
        <v>946</v>
      </c>
      <c r="BA728" s="154" t="s">
        <v>947</v>
      </c>
      <c r="BB728" s="154" t="s">
        <v>948</v>
      </c>
      <c r="BC728" s="154" t="s">
        <v>949</v>
      </c>
      <c r="BD728" s="154" t="s">
        <v>950</v>
      </c>
      <c r="BE728" s="154" t="s">
        <v>951</v>
      </c>
      <c r="BF728" s="154" t="s">
        <v>952</v>
      </c>
      <c r="BG728" s="154" t="s">
        <v>953</v>
      </c>
      <c r="BH728" s="154" t="s">
        <v>954</v>
      </c>
      <c r="BI728" s="154" t="s">
        <v>955</v>
      </c>
      <c r="BJ728" s="154" t="s">
        <v>956</v>
      </c>
      <c r="BK728" s="154" t="s">
        <v>957</v>
      </c>
      <c r="BL728" s="154" t="s">
        <v>958</v>
      </c>
      <c r="BM728" s="154" t="s">
        <v>959</v>
      </c>
      <c r="BN728" s="154" t="s">
        <v>960</v>
      </c>
      <c r="BO728" s="154" t="s">
        <v>961</v>
      </c>
      <c r="BP728" s="154" t="s">
        <v>962</v>
      </c>
      <c r="BQ728" s="154" t="s">
        <v>963</v>
      </c>
      <c r="BR728" s="154" t="s">
        <v>964</v>
      </c>
      <c r="BS728" s="154" t="s">
        <v>965</v>
      </c>
      <c r="BT728" s="154" t="s">
        <v>966</v>
      </c>
      <c r="BU728" s="154" t="s">
        <v>967</v>
      </c>
      <c r="BV728" s="154" t="s">
        <v>968</v>
      </c>
      <c r="BW728" s="154" t="s">
        <v>969</v>
      </c>
      <c r="BX728" s="154" t="s">
        <v>970</v>
      </c>
      <c r="BY728" s="154" t="s">
        <v>971</v>
      </c>
      <c r="BZ728" s="154" t="s">
        <v>972</v>
      </c>
      <c r="CA728" s="154" t="s">
        <v>973</v>
      </c>
      <c r="CB728" s="154" t="s">
        <v>974</v>
      </c>
      <c r="CC728" s="154" t="s">
        <v>975</v>
      </c>
      <c r="CD728" s="154" t="s">
        <v>976</v>
      </c>
      <c r="CE728" s="154" t="s">
        <v>977</v>
      </c>
      <c r="CF728" s="154" t="s">
        <v>978</v>
      </c>
    </row>
    <row r="729" spans="1:84" ht="12.65" customHeight="1" x14ac:dyDescent="0.3">
      <c r="A729" s="221" t="str">
        <f>RIGHT(C84,3)&amp;"*"&amp;RIGHT(C83,4)&amp;"*"&amp;"A"</f>
        <v>o 2*085*A</v>
      </c>
      <c r="B729" s="160">
        <f>ROUND(C249,0)</f>
        <v>0</v>
      </c>
      <c r="C729" s="160">
        <f>ROUND(C250,0)</f>
        <v>8737552</v>
      </c>
      <c r="D729" s="160">
        <f>ROUND(C251,0)</f>
        <v>0</v>
      </c>
      <c r="E729" s="160">
        <f>ROUND(C252,0)</f>
        <v>18331175</v>
      </c>
      <c r="F729" s="160">
        <f>ROUND(C253,0)</f>
        <v>3713000</v>
      </c>
      <c r="G729" s="160">
        <f>ROUND(C254,0)</f>
        <v>2609993</v>
      </c>
      <c r="H729" s="160">
        <f>ROUND(C255,0)</f>
        <v>1522924</v>
      </c>
      <c r="I729" s="160">
        <f>ROUND(C256,0)</f>
        <v>0</v>
      </c>
      <c r="J729" s="160">
        <f>ROUND(C257,0)</f>
        <v>4278467</v>
      </c>
      <c r="K729" s="160">
        <f>ROUND(C258,0)</f>
        <v>1212853</v>
      </c>
      <c r="L729" s="160">
        <f>ROUND(C261,0)</f>
        <v>0</v>
      </c>
      <c r="M729" s="160">
        <f>ROUND(C262,0)</f>
        <v>47779135</v>
      </c>
      <c r="N729" s="160">
        <f>ROUND(C263,0)</f>
        <v>0</v>
      </c>
      <c r="O729" s="160">
        <f>ROUND(C266,0)</f>
        <v>0</v>
      </c>
      <c r="P729" s="160">
        <f>ROUND(C267,0)</f>
        <v>1715331</v>
      </c>
      <c r="Q729" s="160">
        <f>ROUND(C268,0)</f>
        <v>4028158</v>
      </c>
      <c r="R729" s="160">
        <f>ROUND(C269,0)</f>
        <v>40757243</v>
      </c>
      <c r="S729" s="160">
        <f>ROUND(C270,0)</f>
        <v>0</v>
      </c>
      <c r="T729" s="160">
        <f>ROUND(C271,0)</f>
        <v>0</v>
      </c>
      <c r="U729" s="160">
        <f>ROUND(C272,0)</f>
        <v>41530304</v>
      </c>
      <c r="V729" s="160">
        <f>ROUND(C273,0)</f>
        <v>0</v>
      </c>
      <c r="W729" s="160">
        <f>ROUND(C274,0)</f>
        <v>1361180</v>
      </c>
      <c r="X729" s="160">
        <f>ROUND(C275,0)</f>
        <v>0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0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0</v>
      </c>
      <c r="AH729" s="160">
        <f>ROUND(C304,0)</f>
        <v>0</v>
      </c>
      <c r="AI729" s="160">
        <f>ROUND(C305,0)</f>
        <v>3252333</v>
      </c>
      <c r="AJ729" s="160">
        <f>ROUND(C306,0)</f>
        <v>8033225</v>
      </c>
      <c r="AK729" s="160">
        <f>ROUND(C307,0)</f>
        <v>0</v>
      </c>
      <c r="AL729" s="160">
        <f>ROUND(C308,0)</f>
        <v>18241170</v>
      </c>
      <c r="AM729" s="160">
        <f>ROUND(C309,0)</f>
        <v>0</v>
      </c>
      <c r="AN729" s="160">
        <f>ROUND(C310,0)</f>
        <v>0</v>
      </c>
      <c r="AO729" s="160">
        <f>ROUND(C311,0)</f>
        <v>0</v>
      </c>
      <c r="AP729" s="160">
        <f>ROUND(C312,0)</f>
        <v>381629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0</v>
      </c>
      <c r="AV729" s="160">
        <f>ROUND(C322,0)</f>
        <v>0</v>
      </c>
      <c r="AW729" s="160">
        <f>ROUND(C323,0)</f>
        <v>3923948</v>
      </c>
      <c r="AX729" s="160">
        <f>ROUND(C324,0)</f>
        <v>0</v>
      </c>
      <c r="AY729" s="160">
        <f>ROUND(C325,0)</f>
        <v>24343151</v>
      </c>
      <c r="AZ729" s="160">
        <f>ROUND(C326,0)</f>
        <v>0</v>
      </c>
      <c r="BA729" s="160">
        <f>ROUND(C327,0)</f>
        <v>0</v>
      </c>
      <c r="BB729" s="160">
        <f>ROUND(C331,0)</f>
        <v>0</v>
      </c>
      <c r="BC729" s="160"/>
      <c r="BD729" s="160"/>
      <c r="BE729" s="160">
        <f>ROUND(C336,0)</f>
        <v>0</v>
      </c>
      <c r="BF729" s="160">
        <f>ROUND(C335,0)</f>
        <v>0</v>
      </c>
      <c r="BG729" s="160"/>
      <c r="BH729" s="160"/>
      <c r="BI729" s="222">
        <f>ROUND(CE60,2)</f>
        <v>606.51</v>
      </c>
      <c r="BJ729" s="160">
        <f>ROUND(C358,0)</f>
        <v>0</v>
      </c>
      <c r="BK729" s="160">
        <f>ROUND(C359,0)</f>
        <v>36422817</v>
      </c>
      <c r="BL729" s="160">
        <f>ROUND(C362,0)</f>
        <v>0</v>
      </c>
      <c r="BM729" s="160">
        <f>ROUND(C363,0)</f>
        <v>3778000</v>
      </c>
      <c r="BN729" s="160">
        <f>ROUND(C364,0)</f>
        <v>106984646</v>
      </c>
      <c r="BO729" s="160">
        <f>ROUND(C368,0)</f>
        <v>0</v>
      </c>
      <c r="BP729" s="160">
        <f>ROUND(C369,0)</f>
        <v>0</v>
      </c>
      <c r="BQ729" s="160">
        <f>ROUND(C376,0)</f>
        <v>0</v>
      </c>
      <c r="BR729" s="160">
        <f>ROUND(C377,0)</f>
        <v>0</v>
      </c>
      <c r="BS729" s="160">
        <f>ROUND(C378,0)</f>
        <v>65363392</v>
      </c>
      <c r="BT729" s="160">
        <f>ROUND(C379,0)</f>
        <v>14751096</v>
      </c>
      <c r="BU729" s="160">
        <f>ROUND(C380,0)</f>
        <v>3034303</v>
      </c>
      <c r="BV729" s="160">
        <f>ROUND(C381,0)</f>
        <v>24818051</v>
      </c>
      <c r="BW729" s="160">
        <f>ROUND(C382,0)</f>
        <v>1201686</v>
      </c>
      <c r="BX729" s="160">
        <f>ROUND(C383,0)</f>
        <v>8330773</v>
      </c>
      <c r="BY729" s="160">
        <f>ROUND(C384,0)</f>
        <v>4814047</v>
      </c>
      <c r="BZ729" s="160">
        <f>ROUND(C385,0)</f>
        <v>1616221</v>
      </c>
      <c r="CA729" s="160">
        <f>ROUND(C386,0)</f>
        <v>897783</v>
      </c>
      <c r="CB729" s="160">
        <f>ROUND(C387,0)</f>
        <v>749437</v>
      </c>
      <c r="CC729" s="160">
        <f>ROUND(C388,0)</f>
        <v>977279</v>
      </c>
      <c r="CD729" s="160">
        <f>ROUND(C391,0)</f>
        <v>0</v>
      </c>
      <c r="CE729" s="160">
        <f>ROUND(C393,0)</f>
        <v>0</v>
      </c>
      <c r="CF729" s="160">
        <f>ROUND(C394,0)</f>
        <v>0</v>
      </c>
    </row>
    <row r="731" spans="1:84" ht="12.65" customHeight="1" x14ac:dyDescent="0.3">
      <c r="A731" s="152" t="s">
        <v>979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745</v>
      </c>
      <c r="B732" s="154" t="s">
        <v>980</v>
      </c>
      <c r="C732" s="154" t="s">
        <v>981</v>
      </c>
      <c r="D732" s="154" t="s">
        <v>982</v>
      </c>
      <c r="E732" s="154" t="s">
        <v>983</v>
      </c>
      <c r="F732" s="154" t="s">
        <v>984</v>
      </c>
      <c r="G732" s="154" t="s">
        <v>985</v>
      </c>
      <c r="H732" s="154" t="s">
        <v>986</v>
      </c>
      <c r="I732" s="154" t="s">
        <v>987</v>
      </c>
      <c r="J732" s="154" t="s">
        <v>988</v>
      </c>
      <c r="K732" s="154" t="s">
        <v>989</v>
      </c>
      <c r="L732" s="154" t="s">
        <v>990</v>
      </c>
      <c r="M732" s="154" t="s">
        <v>991</v>
      </c>
      <c r="N732" s="154" t="s">
        <v>992</v>
      </c>
      <c r="O732" s="154" t="s">
        <v>993</v>
      </c>
      <c r="P732" s="154" t="s">
        <v>994</v>
      </c>
      <c r="Q732" s="154" t="s">
        <v>995</v>
      </c>
      <c r="R732" s="154" t="s">
        <v>996</v>
      </c>
      <c r="S732" s="154" t="s">
        <v>997</v>
      </c>
      <c r="T732" s="154" t="s">
        <v>998</v>
      </c>
      <c r="U732" s="154" t="s">
        <v>999</v>
      </c>
      <c r="V732" s="154" t="s">
        <v>1259</v>
      </c>
      <c r="W732" s="154" t="s">
        <v>1000</v>
      </c>
      <c r="X732" s="154" t="s">
        <v>1001</v>
      </c>
      <c r="Y732" s="154" t="s">
        <v>1002</v>
      </c>
      <c r="Z732" s="154" t="s">
        <v>1003</v>
      </c>
    </row>
    <row r="733" spans="1:84" ht="12.65" customHeight="1" x14ac:dyDescent="0.3">
      <c r="A733" s="160" t="str">
        <f>RIGHT($C$84,3)&amp;"*"&amp;RIGHT($C$83,4)&amp;"*"&amp;C$55&amp;"*"&amp;"A"</f>
        <v>o 2*085*6010*A</v>
      </c>
      <c r="B733" s="160">
        <f>ROUND(C59,0)</f>
        <v>179</v>
      </c>
      <c r="C733" s="222">
        <f>ROUND(C60,2)</f>
        <v>9.57</v>
      </c>
      <c r="D733" s="160">
        <f>ROUND(C61,0)</f>
        <v>971999</v>
      </c>
      <c r="E733" s="160">
        <f>ROUND(C62,0)</f>
        <v>219359</v>
      </c>
      <c r="F733" s="160">
        <f>ROUND(C63,0)</f>
        <v>17502</v>
      </c>
      <c r="G733" s="160">
        <f>ROUND(C64,0)</f>
        <v>65686</v>
      </c>
      <c r="H733" s="160">
        <f>ROUND(C65,0)</f>
        <v>0</v>
      </c>
      <c r="I733" s="160">
        <f>ROUND(C66,0)</f>
        <v>4210</v>
      </c>
      <c r="J733" s="160">
        <f>ROUND(C67,0)</f>
        <v>88466</v>
      </c>
      <c r="K733" s="160">
        <f>ROUND(C68,0)</f>
        <v>0</v>
      </c>
      <c r="L733" s="160">
        <f>ROUND(C70,0)</f>
        <v>0</v>
      </c>
      <c r="M733" s="160">
        <f>ROUND(C71,0)</f>
        <v>1369549</v>
      </c>
      <c r="N733" s="160">
        <f>ROUND(C76,0)</f>
        <v>2605</v>
      </c>
      <c r="O733" s="160">
        <f>ROUND(C74,0)</f>
        <v>13107</v>
      </c>
      <c r="P733" s="160">
        <f>IF(C77&gt;0,ROUND(C77,0),0)</f>
        <v>736</v>
      </c>
      <c r="Q733" s="160">
        <f>IF(C78&gt;0,ROUND(C78,0),0)</f>
        <v>1048</v>
      </c>
      <c r="R733" s="160">
        <f>IF(C79&gt;0,ROUND(C79,0),0)</f>
        <v>14257</v>
      </c>
      <c r="S733" s="160">
        <f>IF(C80&gt;0,ROUND(C80,0),0)</f>
        <v>7</v>
      </c>
      <c r="T733" s="222">
        <f>IF(C81&gt;0,ROUND(C81,2),0)</f>
        <v>0</v>
      </c>
      <c r="U733" s="160"/>
      <c r="X733" s="160"/>
      <c r="Y733" s="160"/>
      <c r="Z733" s="160">
        <f>IF(M667&lt;&gt;0,ROUND(M667,0),0)</f>
        <v>0</v>
      </c>
    </row>
    <row r="734" spans="1:84" ht="12.65" customHeight="1" x14ac:dyDescent="0.3">
      <c r="A734" s="160" t="str">
        <f>RIGHT($C$84,3)&amp;"*"&amp;RIGHT($C$83,4)&amp;"*"&amp;D$55&amp;"*"&amp;"A"</f>
        <v>o 2*085*6030*A</v>
      </c>
      <c r="B734" s="160">
        <f>ROUND(D59,0)</f>
        <v>0</v>
      </c>
      <c r="C734" s="222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2">
        <f>IF(D81&gt;0,ROUND(D81,2),0)</f>
        <v>0</v>
      </c>
      <c r="U734" s="160"/>
      <c r="X734" s="160"/>
      <c r="Y734" s="160"/>
      <c r="Z734" s="160">
        <f t="shared" ref="Z734:Z778" si="21">IF(M668&lt;&gt;0,ROUND(M668,0),0)</f>
        <v>525200</v>
      </c>
    </row>
    <row r="735" spans="1:84" ht="12.65" customHeight="1" x14ac:dyDescent="0.3">
      <c r="A735" s="160" t="str">
        <f>RIGHT($C$84,3)&amp;"*"&amp;RIGHT($C$83,4)&amp;"*"&amp;E$55&amp;"*"&amp;"A"</f>
        <v>o 2*085*6070*A</v>
      </c>
      <c r="B735" s="160">
        <f>ROUND(E59,0)</f>
        <v>2981</v>
      </c>
      <c r="C735" s="222">
        <f>ROUND(E60,2)</f>
        <v>38.47</v>
      </c>
      <c r="D735" s="160">
        <f>ROUND(E61,0)</f>
        <v>2990380</v>
      </c>
      <c r="E735" s="160">
        <f>ROUND(E62,0)</f>
        <v>674864</v>
      </c>
      <c r="F735" s="160">
        <f>ROUND(E63,0)</f>
        <v>76305</v>
      </c>
      <c r="G735" s="160">
        <f>ROUND(E64,0)</f>
        <v>213749</v>
      </c>
      <c r="H735" s="160">
        <f>ROUND(E65,0)</f>
        <v>0</v>
      </c>
      <c r="I735" s="160">
        <f>ROUND(E66,0)</f>
        <v>8827</v>
      </c>
      <c r="J735" s="160">
        <f>ROUND(E67,0)</f>
        <v>189074</v>
      </c>
      <c r="K735" s="160">
        <f>ROUND(E68,0)</f>
        <v>0</v>
      </c>
      <c r="L735" s="160">
        <f>ROUND(E70,0)</f>
        <v>0</v>
      </c>
      <c r="M735" s="160">
        <f>ROUND(E71,0)</f>
        <v>4174509</v>
      </c>
      <c r="N735" s="160">
        <f>ROUND(E76,0)</f>
        <v>5567</v>
      </c>
      <c r="O735" s="160">
        <f>ROUND(E74,0)</f>
        <v>1811737</v>
      </c>
      <c r="P735" s="160">
        <f>IF(E77&gt;0,ROUND(E77,0),0)</f>
        <v>11556</v>
      </c>
      <c r="Q735" s="160">
        <f>IF(E78&gt;0,ROUND(E78,0),0)</f>
        <v>5483</v>
      </c>
      <c r="R735" s="160">
        <f>IF(E79&gt;0,ROUND(E79,0),0)</f>
        <v>64663</v>
      </c>
      <c r="S735" s="160">
        <f>IF(E80&gt;0,ROUND(E80,0),0)</f>
        <v>19</v>
      </c>
      <c r="T735" s="222">
        <f>IF(E81&gt;0,ROUND(E81,2),0)</f>
        <v>0</v>
      </c>
      <c r="U735" s="160"/>
      <c r="X735" s="160"/>
      <c r="Y735" s="160"/>
      <c r="Z735" s="160">
        <f t="shared" si="21"/>
        <v>0</v>
      </c>
    </row>
    <row r="736" spans="1:84" ht="12.65" customHeight="1" x14ac:dyDescent="0.3">
      <c r="A736" s="160" t="str">
        <f>RIGHT($C$84,3)&amp;"*"&amp;RIGHT($C$83,4)&amp;"*"&amp;F$55&amp;"*"&amp;"A"</f>
        <v>o 2*085*6100*A</v>
      </c>
      <c r="B736" s="160">
        <f>ROUND(F59,0)</f>
        <v>0</v>
      </c>
      <c r="C736" s="222">
        <f>ROUND(F60,2)</f>
        <v>0</v>
      </c>
      <c r="D736" s="160">
        <f>ROUND(F61,0)</f>
        <v>0</v>
      </c>
      <c r="E736" s="160">
        <f>ROUND(F62,0)</f>
        <v>0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>
        <f>ROUND(F67,0)</f>
        <v>0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22">
        <f>IF(F81&gt;0,ROUND(F81,2),0)</f>
        <v>0</v>
      </c>
      <c r="U736" s="160"/>
      <c r="X736" s="160"/>
      <c r="Y736" s="160"/>
      <c r="Z736" s="160">
        <f t="shared" si="21"/>
        <v>2555578</v>
      </c>
    </row>
    <row r="737" spans="1:26" ht="12.65" customHeight="1" x14ac:dyDescent="0.3">
      <c r="A737" s="160" t="str">
        <f>RIGHT($C$84,3)&amp;"*"&amp;RIGHT($C$83,4)&amp;"*"&amp;G$55&amp;"*"&amp;"A"</f>
        <v>o 2*085*6120*A</v>
      </c>
      <c r="B737" s="160">
        <f>ROUND(G59,0)</f>
        <v>0</v>
      </c>
      <c r="C737" s="222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2">
        <f>IF(G81&gt;0,ROUND(G81,2),0)</f>
        <v>0</v>
      </c>
      <c r="U737" s="160"/>
      <c r="X737" s="160"/>
      <c r="Y737" s="160"/>
      <c r="Z737" s="160">
        <f t="shared" si="21"/>
        <v>0</v>
      </c>
    </row>
    <row r="738" spans="1:26" ht="12.65" customHeight="1" x14ac:dyDescent="0.3">
      <c r="A738" s="160" t="str">
        <f>RIGHT($C$84,3)&amp;"*"&amp;RIGHT($C$83,4)&amp;"*"&amp;H$55&amp;"*"&amp;"A"</f>
        <v>o 2*085*6140*A</v>
      </c>
      <c r="B738" s="160">
        <f>ROUND(H59,0)</f>
        <v>0</v>
      </c>
      <c r="C738" s="222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2">
        <f>IF(H81&gt;0,ROUND(H81,2),0)</f>
        <v>0</v>
      </c>
      <c r="U738" s="160"/>
      <c r="X738" s="160"/>
      <c r="Y738" s="160"/>
      <c r="Z738" s="160">
        <f t="shared" si="21"/>
        <v>0</v>
      </c>
    </row>
    <row r="739" spans="1:26" ht="12.65" customHeight="1" x14ac:dyDescent="0.3">
      <c r="A739" s="160" t="str">
        <f>RIGHT($C$84,3)&amp;"*"&amp;RIGHT($C$83,4)&amp;"*"&amp;I$55&amp;"*"&amp;"A"</f>
        <v>o 2*085*6150*A</v>
      </c>
      <c r="B739" s="160">
        <f>ROUND(I59,0)</f>
        <v>0</v>
      </c>
      <c r="C739" s="222">
        <f>ROUND(I60,2)</f>
        <v>0</v>
      </c>
      <c r="D739" s="160">
        <f>ROUND(I61,0)</f>
        <v>0</v>
      </c>
      <c r="E739" s="160">
        <f>ROUND(I62,0)</f>
        <v>0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>
        <f>ROUND(I67,0)</f>
        <v>0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22">
        <f>IF(I81&gt;0,ROUND(I81,2),0)</f>
        <v>0</v>
      </c>
      <c r="U739" s="160"/>
      <c r="X739" s="160"/>
      <c r="Y739" s="160"/>
      <c r="Z739" s="160">
        <f t="shared" si="21"/>
        <v>0</v>
      </c>
    </row>
    <row r="740" spans="1:26" ht="12.65" customHeight="1" x14ac:dyDescent="0.3">
      <c r="A740" s="160" t="str">
        <f>RIGHT($C$84,3)&amp;"*"&amp;RIGHT($C$83,4)&amp;"*"&amp;J$55&amp;"*"&amp;"A"</f>
        <v>o 2*085*6170*A</v>
      </c>
      <c r="B740" s="160">
        <f>ROUND(J59,0)</f>
        <v>149</v>
      </c>
      <c r="C740" s="222">
        <f>ROUND(J60,2)</f>
        <v>0</v>
      </c>
      <c r="D740" s="160">
        <f>ROUND(J61,0)</f>
        <v>0</v>
      </c>
      <c r="E740" s="160">
        <f>ROUND(J62,0)</f>
        <v>0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>
        <f>ROUND(J67,0)</f>
        <v>2934</v>
      </c>
      <c r="K740" s="160">
        <f>ROUND(J68,0)</f>
        <v>0</v>
      </c>
      <c r="L740" s="160">
        <f>ROUND(J70,0)</f>
        <v>0</v>
      </c>
      <c r="M740" s="160">
        <f>ROUND(J71,0)</f>
        <v>2934</v>
      </c>
      <c r="N740" s="160">
        <f>ROUND(J76,0)</f>
        <v>86</v>
      </c>
      <c r="O740" s="160">
        <f>ROUND(J74,0)</f>
        <v>669</v>
      </c>
      <c r="P740" s="160">
        <f>IF(J77&gt;0,ROUND(J77,0),0)</f>
        <v>0</v>
      </c>
      <c r="Q740" s="160">
        <f>IF(J78&gt;0,ROUND(J78,0),0)</f>
        <v>0</v>
      </c>
      <c r="R740" s="160">
        <f>IF(J79&gt;0,ROUND(J79,0),0)</f>
        <v>0</v>
      </c>
      <c r="S740" s="160">
        <f>IF(J80&gt;0,ROUND(J80,0),0)</f>
        <v>0</v>
      </c>
      <c r="T740" s="222">
        <f>IF(J81&gt;0,ROUND(J81,2),0)</f>
        <v>0</v>
      </c>
      <c r="U740" s="160"/>
      <c r="X740" s="160"/>
      <c r="Y740" s="160"/>
      <c r="Z740" s="160">
        <f t="shared" si="21"/>
        <v>0</v>
      </c>
    </row>
    <row r="741" spans="1:26" ht="12.65" customHeight="1" x14ac:dyDescent="0.3">
      <c r="A741" s="160" t="str">
        <f>RIGHT($C$84,3)&amp;"*"&amp;RIGHT($C$83,4)&amp;"*"&amp;K$55&amp;"*"&amp;"A"</f>
        <v>o 2*085*6200*A</v>
      </c>
      <c r="B741" s="160">
        <f>ROUND(K59,0)</f>
        <v>0</v>
      </c>
      <c r="C741" s="222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2">
        <f>IF(K81&gt;0,ROUND(K81,2),0)</f>
        <v>0</v>
      </c>
      <c r="U741" s="160"/>
      <c r="X741" s="160"/>
      <c r="Y741" s="160"/>
      <c r="Z741" s="160">
        <f t="shared" si="21"/>
        <v>12901</v>
      </c>
    </row>
    <row r="742" spans="1:26" ht="12.65" customHeight="1" x14ac:dyDescent="0.3">
      <c r="A742" s="160" t="str">
        <f>RIGHT($C$84,3)&amp;"*"&amp;RIGHT($C$83,4)&amp;"*"&amp;L$55&amp;"*"&amp;"A"</f>
        <v>o 2*085*6210*A</v>
      </c>
      <c r="B742" s="160">
        <f>ROUND(L59,0)</f>
        <v>167</v>
      </c>
      <c r="C742" s="222">
        <f>ROUND(L60,2)</f>
        <v>0</v>
      </c>
      <c r="D742" s="160">
        <f>ROUND(L61,0)</f>
        <v>78</v>
      </c>
      <c r="E742" s="160">
        <f>ROUND(L62,0)</f>
        <v>18</v>
      </c>
      <c r="F742" s="160">
        <f>ROUND(L63,0)</f>
        <v>0</v>
      </c>
      <c r="G742" s="160">
        <f>ROUND(L64,0)</f>
        <v>0</v>
      </c>
      <c r="H742" s="160">
        <f>ROUND(L65,0)</f>
        <v>0</v>
      </c>
      <c r="I742" s="160">
        <f>ROUND(L66,0)</f>
        <v>0</v>
      </c>
      <c r="J742" s="160">
        <f>ROUND(L67,0)</f>
        <v>74378</v>
      </c>
      <c r="K742" s="160">
        <f>ROUND(L68,0)</f>
        <v>0</v>
      </c>
      <c r="L742" s="160">
        <f>ROUND(L70,0)</f>
        <v>0</v>
      </c>
      <c r="M742" s="160">
        <f>ROUND(L71,0)</f>
        <v>74474</v>
      </c>
      <c r="N742" s="160">
        <f>ROUND(L76,0)</f>
        <v>2190</v>
      </c>
      <c r="O742" s="160">
        <f>ROUND(L74,0)</f>
        <v>0</v>
      </c>
      <c r="P742" s="160">
        <f>IF(L77&gt;0,ROUND(L77,0),0)</f>
        <v>527</v>
      </c>
      <c r="Q742" s="160">
        <f>IF(L78&gt;0,ROUND(L78,0),0)</f>
        <v>0</v>
      </c>
      <c r="R742" s="160">
        <f>IF(L79&gt;0,ROUND(L79,0),0)</f>
        <v>0</v>
      </c>
      <c r="S742" s="160">
        <f>IF(L80&gt;0,ROUND(L80,0),0)</f>
        <v>0</v>
      </c>
      <c r="T742" s="222">
        <f>IF(L81&gt;0,ROUND(L81,2),0)</f>
        <v>0</v>
      </c>
      <c r="U742" s="160"/>
      <c r="X742" s="160"/>
      <c r="Y742" s="160"/>
      <c r="Z742" s="160">
        <f t="shared" si="21"/>
        <v>0</v>
      </c>
    </row>
    <row r="743" spans="1:26" ht="12.65" customHeight="1" x14ac:dyDescent="0.3">
      <c r="A743" s="160" t="str">
        <f>RIGHT($C$84,3)&amp;"*"&amp;RIGHT($C$83,4)&amp;"*"&amp;M$55&amp;"*"&amp;"A"</f>
        <v>o 2*085*6330*A</v>
      </c>
      <c r="B743" s="160">
        <f>ROUND(M59,0)</f>
        <v>0</v>
      </c>
      <c r="C743" s="222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2">
        <f>IF(M81&gt;0,ROUND(M81,2),0)</f>
        <v>0</v>
      </c>
      <c r="U743" s="160"/>
      <c r="X743" s="160"/>
      <c r="Y743" s="160"/>
      <c r="Z743" s="160">
        <f t="shared" si="21"/>
        <v>106582</v>
      </c>
    </row>
    <row r="744" spans="1:26" ht="12.65" customHeight="1" x14ac:dyDescent="0.3">
      <c r="A744" s="160" t="str">
        <f>RIGHT($C$84,3)&amp;"*"&amp;RIGHT($C$83,4)&amp;"*"&amp;N$55&amp;"*"&amp;"A"</f>
        <v>o 2*085*6400*A</v>
      </c>
      <c r="B744" s="160">
        <f>ROUND(N59,0)</f>
        <v>0</v>
      </c>
      <c r="C744" s="222">
        <f>ROUND(N60,2)</f>
        <v>0</v>
      </c>
      <c r="D744" s="160">
        <f>ROUND(N61,0)</f>
        <v>2000323</v>
      </c>
      <c r="E744" s="160">
        <f>ROUND(N62,0)</f>
        <v>451429</v>
      </c>
      <c r="F744" s="160">
        <f>ROUND(N63,0)</f>
        <v>0</v>
      </c>
      <c r="G744" s="160">
        <f>ROUND(N64,0)</f>
        <v>7507</v>
      </c>
      <c r="H744" s="160">
        <f>ROUND(N65,0)</f>
        <v>0</v>
      </c>
      <c r="I744" s="160">
        <f>ROUND(N66,0)</f>
        <v>0</v>
      </c>
      <c r="J744" s="160">
        <f>ROUND(N67,0)</f>
        <v>9849</v>
      </c>
      <c r="K744" s="160">
        <f>ROUND(N68,0)</f>
        <v>0</v>
      </c>
      <c r="L744" s="160">
        <f>ROUND(N70,0)</f>
        <v>0</v>
      </c>
      <c r="M744" s="160">
        <f>ROUND(N71,0)</f>
        <v>2507487</v>
      </c>
      <c r="N744" s="160">
        <f>ROUND(N76,0)</f>
        <v>290</v>
      </c>
      <c r="O744" s="160">
        <f>ROUND(N74,0)</f>
        <v>389154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2">
        <f>IF(N81&gt;0,ROUND(N81,2),0)</f>
        <v>0</v>
      </c>
      <c r="U744" s="160"/>
      <c r="X744" s="160"/>
      <c r="Y744" s="160"/>
      <c r="Z744" s="160">
        <f t="shared" si="21"/>
        <v>0</v>
      </c>
    </row>
    <row r="745" spans="1:26" ht="12.65" customHeight="1" x14ac:dyDescent="0.3">
      <c r="A745" s="160" t="str">
        <f>RIGHT($C$84,3)&amp;"*"&amp;RIGHT($C$83,4)&amp;"*"&amp;O$55&amp;"*"&amp;"A"</f>
        <v>o 2*085*7010*A</v>
      </c>
      <c r="B745" s="160">
        <f>ROUND(O59,0)</f>
        <v>88</v>
      </c>
      <c r="C745" s="222">
        <f>ROUND(O60,2)</f>
        <v>10.58</v>
      </c>
      <c r="D745" s="160">
        <f>ROUND(O61,0)</f>
        <v>1136879</v>
      </c>
      <c r="E745" s="160">
        <f>ROUND(O62,0)</f>
        <v>256569</v>
      </c>
      <c r="F745" s="160">
        <f>ROUND(O63,0)</f>
        <v>0</v>
      </c>
      <c r="G745" s="160">
        <f>ROUND(O64,0)</f>
        <v>44115</v>
      </c>
      <c r="H745" s="160">
        <f>ROUND(O65,0)</f>
        <v>0</v>
      </c>
      <c r="I745" s="160">
        <f>ROUND(O66,0)</f>
        <v>2611</v>
      </c>
      <c r="J745" s="160">
        <f>ROUND(O67,0)</f>
        <v>99013</v>
      </c>
      <c r="K745" s="160">
        <f>ROUND(O68,0)</f>
        <v>4095</v>
      </c>
      <c r="L745" s="160">
        <f>ROUND(O70,0)</f>
        <v>0</v>
      </c>
      <c r="M745" s="160">
        <f>ROUND(O71,0)</f>
        <v>1562033</v>
      </c>
      <c r="N745" s="160">
        <f>ROUND(O76,0)</f>
        <v>2916</v>
      </c>
      <c r="O745" s="160">
        <f>ROUND(O74,0)</f>
        <v>206615</v>
      </c>
      <c r="P745" s="160">
        <f>IF(O77&gt;0,ROUND(O77,0),0)</f>
        <v>0</v>
      </c>
      <c r="Q745" s="160">
        <f>IF(O78&gt;0,ROUND(O78,0),0)</f>
        <v>1106</v>
      </c>
      <c r="R745" s="160">
        <f>IF(O79&gt;0,ROUND(O79,0),0)</f>
        <v>0</v>
      </c>
      <c r="S745" s="160">
        <f>IF(O80&gt;0,ROUND(O80,0),0)</f>
        <v>10</v>
      </c>
      <c r="T745" s="222">
        <f>IF(O81&gt;0,ROUND(O81,2),0)</f>
        <v>0</v>
      </c>
      <c r="U745" s="160"/>
      <c r="X745" s="160"/>
      <c r="Y745" s="160"/>
      <c r="Z745" s="160">
        <f t="shared" si="21"/>
        <v>307768</v>
      </c>
    </row>
    <row r="746" spans="1:26" ht="12.65" customHeight="1" x14ac:dyDescent="0.3">
      <c r="A746" s="160" t="str">
        <f>RIGHT($C$84,3)&amp;"*"&amp;RIGHT($C$83,4)&amp;"*"&amp;P$55&amp;"*"&amp;"A"</f>
        <v>o 2*085*7020*A</v>
      </c>
      <c r="B746" s="160">
        <f>ROUND(P59,0)</f>
        <v>164548</v>
      </c>
      <c r="C746" s="222">
        <f>ROUND(P60,2)</f>
        <v>18.55</v>
      </c>
      <c r="D746" s="160">
        <f>ROUND(P61,0)</f>
        <v>1763663</v>
      </c>
      <c r="E746" s="160">
        <f>ROUND(P62,0)</f>
        <v>398020</v>
      </c>
      <c r="F746" s="160">
        <f>ROUND(P63,0)</f>
        <v>40517</v>
      </c>
      <c r="G746" s="160">
        <f>ROUND(P64,0)</f>
        <v>1253780</v>
      </c>
      <c r="H746" s="160">
        <f>ROUND(P65,0)</f>
        <v>0</v>
      </c>
      <c r="I746" s="160">
        <f>ROUND(P66,0)</f>
        <v>91524</v>
      </c>
      <c r="J746" s="160">
        <f>ROUND(P67,0)</f>
        <v>331693</v>
      </c>
      <c r="K746" s="160">
        <f>ROUND(P68,0)</f>
        <v>126940</v>
      </c>
      <c r="L746" s="160">
        <f>ROUND(P70,0)</f>
        <v>0</v>
      </c>
      <c r="M746" s="160">
        <f>ROUND(P71,0)</f>
        <v>4042476</v>
      </c>
      <c r="N746" s="160">
        <f>ROUND(P76,0)</f>
        <v>9767</v>
      </c>
      <c r="O746" s="160">
        <f>ROUND(P74,0)</f>
        <v>15142369</v>
      </c>
      <c r="P746" s="160">
        <f>IF(P77&gt;0,ROUND(P77,0),0)</f>
        <v>0</v>
      </c>
      <c r="Q746" s="160">
        <f>IF(P78&gt;0,ROUND(P78,0),0)</f>
        <v>5619</v>
      </c>
      <c r="R746" s="160">
        <f>IF(P79&gt;0,ROUND(P79,0),0)</f>
        <v>41607</v>
      </c>
      <c r="S746" s="160">
        <f>IF(P80&gt;0,ROUND(P80,0),0)</f>
        <v>9</v>
      </c>
      <c r="T746" s="222">
        <f>IF(P81&gt;0,ROUND(P81,2),0)</f>
        <v>0</v>
      </c>
      <c r="U746" s="160"/>
      <c r="X746" s="160"/>
      <c r="Y746" s="160"/>
      <c r="Z746" s="160">
        <f t="shared" si="21"/>
        <v>475745</v>
      </c>
    </row>
    <row r="747" spans="1:26" ht="12.65" customHeight="1" x14ac:dyDescent="0.3">
      <c r="A747" s="160" t="str">
        <f>RIGHT($C$84,3)&amp;"*"&amp;RIGHT($C$83,4)&amp;"*"&amp;Q$55&amp;"*"&amp;"A"</f>
        <v>o 2*085*7030*A</v>
      </c>
      <c r="B747" s="160">
        <f>ROUND(Q59,0)</f>
        <v>36379</v>
      </c>
      <c r="C747" s="222">
        <f>ROUND(Q60,2)</f>
        <v>0.02</v>
      </c>
      <c r="D747" s="160">
        <f>ROUND(Q61,0)</f>
        <v>1257</v>
      </c>
      <c r="E747" s="160">
        <f>ROUND(Q62,0)</f>
        <v>284</v>
      </c>
      <c r="F747" s="160">
        <f>ROUND(Q63,0)</f>
        <v>0</v>
      </c>
      <c r="G747" s="160">
        <f>ROUND(Q64,0)</f>
        <v>12085</v>
      </c>
      <c r="H747" s="160">
        <f>ROUND(Q65,0)</f>
        <v>0</v>
      </c>
      <c r="I747" s="160">
        <f>ROUND(Q66,0)</f>
        <v>0</v>
      </c>
      <c r="J747" s="160">
        <f>ROUND(Q67,0)</f>
        <v>19986</v>
      </c>
      <c r="K747" s="160">
        <f>ROUND(Q68,0)</f>
        <v>0</v>
      </c>
      <c r="L747" s="160">
        <f>ROUND(Q70,0)</f>
        <v>0</v>
      </c>
      <c r="M747" s="160">
        <f>ROUND(Q71,0)</f>
        <v>33612</v>
      </c>
      <c r="N747" s="160">
        <f>ROUND(Q76,0)</f>
        <v>589</v>
      </c>
      <c r="O747" s="160">
        <f>ROUND(Q74,0)</f>
        <v>4015308</v>
      </c>
      <c r="P747" s="160">
        <f>IF(Q77&gt;0,ROUND(Q77,0),0)</f>
        <v>0</v>
      </c>
      <c r="Q747" s="160">
        <f>IF(Q78&gt;0,ROUND(Q78,0),0)</f>
        <v>0</v>
      </c>
      <c r="R747" s="160">
        <f>IF(Q79&gt;0,ROUND(Q79,0),0)</f>
        <v>0</v>
      </c>
      <c r="S747" s="160">
        <f>IF(Q80&gt;0,ROUND(Q80,0),0)</f>
        <v>0</v>
      </c>
      <c r="T747" s="222">
        <f>IF(Q81&gt;0,ROUND(Q81,2),0)</f>
        <v>0</v>
      </c>
      <c r="U747" s="160"/>
      <c r="X747" s="160"/>
      <c r="Y747" s="160"/>
      <c r="Z747" s="160">
        <f t="shared" si="21"/>
        <v>2192290</v>
      </c>
    </row>
    <row r="748" spans="1:26" ht="12.65" customHeight="1" x14ac:dyDescent="0.3">
      <c r="A748" s="160" t="str">
        <f>RIGHT($C$84,3)&amp;"*"&amp;RIGHT($C$83,4)&amp;"*"&amp;R$55&amp;"*"&amp;"A"</f>
        <v>o 2*085*7040*A</v>
      </c>
      <c r="B748" s="160">
        <f>ROUND(R59,0)</f>
        <v>166554</v>
      </c>
      <c r="C748" s="222">
        <f>ROUND(R60,2)</f>
        <v>0</v>
      </c>
      <c r="D748" s="160">
        <f>ROUND(R61,0)</f>
        <v>1208319</v>
      </c>
      <c r="E748" s="160">
        <f>ROUND(R62,0)</f>
        <v>272691</v>
      </c>
      <c r="F748" s="160">
        <f>ROUND(R63,0)</f>
        <v>0</v>
      </c>
      <c r="G748" s="160">
        <f>ROUND(R64,0)</f>
        <v>121740</v>
      </c>
      <c r="H748" s="160">
        <f>ROUND(R65,0)</f>
        <v>0</v>
      </c>
      <c r="I748" s="160">
        <f>ROUND(R66,0)</f>
        <v>8014</v>
      </c>
      <c r="J748" s="160">
        <f>ROUND(R67,0)</f>
        <v>4619</v>
      </c>
      <c r="K748" s="160">
        <f>ROUND(R68,0)</f>
        <v>3193</v>
      </c>
      <c r="L748" s="160">
        <f>ROUND(R70,0)</f>
        <v>0</v>
      </c>
      <c r="M748" s="160">
        <f>ROUND(R71,0)</f>
        <v>1645601</v>
      </c>
      <c r="N748" s="160">
        <f>ROUND(R76,0)</f>
        <v>136</v>
      </c>
      <c r="O748" s="160">
        <f>ROUND(R74,0)</f>
        <v>6980654</v>
      </c>
      <c r="P748" s="160">
        <f>IF(R77&gt;0,ROUND(R77,0),0)</f>
        <v>0</v>
      </c>
      <c r="Q748" s="160">
        <f>IF(R78&gt;0,ROUND(R78,0),0)</f>
        <v>0</v>
      </c>
      <c r="R748" s="160">
        <f>IF(R79&gt;0,ROUND(R79,0),0)</f>
        <v>0</v>
      </c>
      <c r="S748" s="160">
        <f>IF(R80&gt;0,ROUND(R80,0),0)</f>
        <v>0</v>
      </c>
      <c r="T748" s="222">
        <f>IF(R81&gt;0,ROUND(R81,2),0)</f>
        <v>0</v>
      </c>
      <c r="U748" s="160"/>
      <c r="X748" s="160"/>
      <c r="Y748" s="160"/>
      <c r="Z748" s="160">
        <f t="shared" si="21"/>
        <v>221496</v>
      </c>
    </row>
    <row r="749" spans="1:26" ht="12.65" customHeight="1" x14ac:dyDescent="0.3">
      <c r="A749" s="160" t="str">
        <f>RIGHT($C$84,3)&amp;"*"&amp;RIGHT($C$83,4)&amp;"*"&amp;S$55&amp;"*"&amp;"A"</f>
        <v>o 2*085*7050*A</v>
      </c>
      <c r="B749" s="160"/>
      <c r="C749" s="222">
        <f>ROUND(S60,2)</f>
        <v>2.74</v>
      </c>
      <c r="D749" s="160">
        <f>ROUND(S61,0)</f>
        <v>140124</v>
      </c>
      <c r="E749" s="160">
        <f>ROUND(S62,0)</f>
        <v>31623</v>
      </c>
      <c r="F749" s="160">
        <f>ROUND(S63,0)</f>
        <v>28110</v>
      </c>
      <c r="G749" s="160">
        <f>ROUND(S64,0)</f>
        <v>1561315</v>
      </c>
      <c r="H749" s="160">
        <f>ROUND(S65,0)</f>
        <v>0</v>
      </c>
      <c r="I749" s="160">
        <f>ROUND(S66,0)</f>
        <v>0</v>
      </c>
      <c r="J749" s="160">
        <f>ROUND(S67,0)</f>
        <v>25338</v>
      </c>
      <c r="K749" s="160">
        <f>ROUND(S68,0)</f>
        <v>0</v>
      </c>
      <c r="L749" s="160">
        <f>ROUND(S70,0)</f>
        <v>0</v>
      </c>
      <c r="M749" s="160">
        <f>ROUND(S71,0)</f>
        <v>1791088</v>
      </c>
      <c r="N749" s="160">
        <f>ROUND(S76,0)</f>
        <v>746</v>
      </c>
      <c r="O749" s="160">
        <f>ROUND(S74,0)</f>
        <v>422114</v>
      </c>
      <c r="P749" s="160">
        <f>IF(S77&gt;0,ROUND(S77,0),0)</f>
        <v>0</v>
      </c>
      <c r="Q749" s="160">
        <f>IF(S78&gt;0,ROUND(S78,0),0)</f>
        <v>47</v>
      </c>
      <c r="R749" s="160">
        <f>IF(S79&gt;0,ROUND(S79,0),0)</f>
        <v>0</v>
      </c>
      <c r="S749" s="160">
        <f>IF(S80&gt;0,ROUND(S80,0),0)</f>
        <v>0</v>
      </c>
      <c r="T749" s="222">
        <f>IF(S81&gt;0,ROUND(S81,2),0)</f>
        <v>0</v>
      </c>
      <c r="U749" s="160"/>
      <c r="X749" s="160"/>
      <c r="Y749" s="160"/>
      <c r="Z749" s="160">
        <f t="shared" si="21"/>
        <v>579520</v>
      </c>
    </row>
    <row r="750" spans="1:26" ht="12.65" customHeight="1" x14ac:dyDescent="0.3">
      <c r="A750" s="160" t="str">
        <f>RIGHT($C$84,3)&amp;"*"&amp;RIGHT($C$83,4)&amp;"*"&amp;T$55&amp;"*"&amp;"A"</f>
        <v>o 2*085*7060*A</v>
      </c>
      <c r="B750" s="160"/>
      <c r="C750" s="222">
        <f>ROUND(T60,2)</f>
        <v>0</v>
      </c>
      <c r="D750" s="160">
        <f>ROUND(T61,0)</f>
        <v>0</v>
      </c>
      <c r="E750" s="160">
        <f>ROUND(T62,0)</f>
        <v>0</v>
      </c>
      <c r="F750" s="160">
        <f>ROUND(T63,0)</f>
        <v>0</v>
      </c>
      <c r="G750" s="160">
        <f>ROUND(T64,0)</f>
        <v>0</v>
      </c>
      <c r="H750" s="160">
        <f>ROUND(T65,0)</f>
        <v>0</v>
      </c>
      <c r="I750" s="160">
        <f>ROUND(T66,0)</f>
        <v>0</v>
      </c>
      <c r="J750" s="160">
        <f>ROUND(T67,0)</f>
        <v>0</v>
      </c>
      <c r="K750" s="160">
        <f>ROUND(T68,0)</f>
        <v>0</v>
      </c>
      <c r="L750" s="160">
        <f>ROUND(T70,0)</f>
        <v>0</v>
      </c>
      <c r="M750" s="160">
        <f>ROUND(T71,0)</f>
        <v>0</v>
      </c>
      <c r="N750" s="160">
        <f>ROUND(T76,0)</f>
        <v>0</v>
      </c>
      <c r="O750" s="160">
        <f>ROUND(T74,0)</f>
        <v>0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22">
        <f>IF(T81&gt;0,ROUND(T81,2),0)</f>
        <v>0</v>
      </c>
      <c r="U750" s="160"/>
      <c r="X750" s="160"/>
      <c r="Y750" s="160"/>
      <c r="Z750" s="160">
        <f t="shared" si="21"/>
        <v>259038</v>
      </c>
    </row>
    <row r="751" spans="1:26" ht="12.65" customHeight="1" x14ac:dyDescent="0.3">
      <c r="A751" s="160" t="str">
        <f>RIGHT($C$84,3)&amp;"*"&amp;RIGHT($C$83,4)&amp;"*"&amp;U$55&amp;"*"&amp;"A"</f>
        <v>o 2*085*7070*A</v>
      </c>
      <c r="B751" s="160">
        <f>ROUND(U59,0)</f>
        <v>223520</v>
      </c>
      <c r="C751" s="222">
        <f>ROUND(U60,2)</f>
        <v>25.88</v>
      </c>
      <c r="D751" s="160">
        <f>ROUND(U61,0)</f>
        <v>1709739</v>
      </c>
      <c r="E751" s="160">
        <f>ROUND(U62,0)</f>
        <v>385851</v>
      </c>
      <c r="F751" s="160">
        <f>ROUND(U63,0)</f>
        <v>34825</v>
      </c>
      <c r="G751" s="160">
        <f>ROUND(U64,0)</f>
        <v>1289699</v>
      </c>
      <c r="H751" s="160">
        <f>ROUND(U65,0)</f>
        <v>7966</v>
      </c>
      <c r="I751" s="160">
        <f>ROUND(U66,0)</f>
        <v>2533888</v>
      </c>
      <c r="J751" s="160">
        <f>ROUND(U67,0)</f>
        <v>133154</v>
      </c>
      <c r="K751" s="160">
        <f>ROUND(U68,0)</f>
        <v>214366</v>
      </c>
      <c r="L751" s="160">
        <f>ROUND(U70,0)</f>
        <v>0</v>
      </c>
      <c r="M751" s="160">
        <f>ROUND(U71,0)</f>
        <v>6386780</v>
      </c>
      <c r="N751" s="160">
        <f>ROUND(U76,0)</f>
        <v>3921</v>
      </c>
      <c r="O751" s="160">
        <f>ROUND(U74,0)</f>
        <v>16450267</v>
      </c>
      <c r="P751" s="160">
        <f>IF(U77&gt;0,ROUND(U77,0),0)</f>
        <v>0</v>
      </c>
      <c r="Q751" s="160">
        <f>IF(U78&gt;0,ROUND(U78,0),0)</f>
        <v>82</v>
      </c>
      <c r="R751" s="160">
        <f>IF(U79&gt;0,ROUND(U79,0),0)</f>
        <v>7715</v>
      </c>
      <c r="S751" s="160">
        <f>IF(U80&gt;0,ROUND(U80,0),0)</f>
        <v>0</v>
      </c>
      <c r="T751" s="222">
        <f>IF(U81&gt;0,ROUND(U81,2),0)</f>
        <v>0</v>
      </c>
      <c r="U751" s="160"/>
      <c r="X751" s="160"/>
      <c r="Y751" s="160"/>
      <c r="Z751" s="160">
        <f t="shared" si="21"/>
        <v>0</v>
      </c>
    </row>
    <row r="752" spans="1:26" ht="12.65" customHeight="1" x14ac:dyDescent="0.3">
      <c r="A752" s="160" t="str">
        <f>RIGHT($C$84,3)&amp;"*"&amp;RIGHT($C$83,4)&amp;"*"&amp;V$55&amp;"*"&amp;"A"</f>
        <v>o 2*085*7110*A</v>
      </c>
      <c r="B752" s="160">
        <f>ROUND(V59,0)</f>
        <v>983</v>
      </c>
      <c r="C752" s="222">
        <f>ROUND(V60,2)</f>
        <v>0</v>
      </c>
      <c r="D752" s="160">
        <f>ROUND(V61,0)</f>
        <v>0</v>
      </c>
      <c r="E752" s="160">
        <f>ROUND(V62,0)</f>
        <v>0</v>
      </c>
      <c r="F752" s="160">
        <f>ROUND(V63,0)</f>
        <v>0</v>
      </c>
      <c r="G752" s="160">
        <f>ROUND(V64,0)</f>
        <v>0</v>
      </c>
      <c r="H752" s="160">
        <f>ROUND(V65,0)</f>
        <v>0</v>
      </c>
      <c r="I752" s="160">
        <f>ROUND(V66,0)</f>
        <v>0</v>
      </c>
      <c r="J752" s="160">
        <f>ROUND(V67,0)</f>
        <v>0</v>
      </c>
      <c r="K752" s="160">
        <f>ROUND(V68,0)</f>
        <v>0</v>
      </c>
      <c r="L752" s="160">
        <f>ROUND(V70,0)</f>
        <v>0</v>
      </c>
      <c r="M752" s="160">
        <f>ROUND(V71,0)</f>
        <v>0</v>
      </c>
      <c r="N752" s="160">
        <f>ROUND(V76,0)</f>
        <v>0</v>
      </c>
      <c r="O752" s="160">
        <f>ROUND(V74,0)</f>
        <v>138</v>
      </c>
      <c r="P752" s="160">
        <f>IF(V77&gt;0,ROUND(V77,0),0)</f>
        <v>0</v>
      </c>
      <c r="Q752" s="160">
        <f>IF(V78&gt;0,ROUND(V78,0),0)</f>
        <v>0</v>
      </c>
      <c r="R752" s="160">
        <f>IF(V79&gt;0,ROUND(V79,0),0)</f>
        <v>0</v>
      </c>
      <c r="S752" s="160">
        <f>IF(V80&gt;0,ROUND(V80,0),0)</f>
        <v>0</v>
      </c>
      <c r="T752" s="222">
        <f>IF(V81&gt;0,ROUND(V81,2),0)</f>
        <v>0</v>
      </c>
      <c r="U752" s="160"/>
      <c r="X752" s="160"/>
      <c r="Y752" s="160"/>
      <c r="Z752" s="160">
        <f t="shared" si="21"/>
        <v>1566342</v>
      </c>
    </row>
    <row r="753" spans="1:26" ht="12.65" customHeight="1" x14ac:dyDescent="0.3">
      <c r="A753" s="160" t="str">
        <f>RIGHT($C$84,3)&amp;"*"&amp;RIGHT($C$83,4)&amp;"*"&amp;W$55&amp;"*"&amp;"A"</f>
        <v>o 2*085*7120*A</v>
      </c>
      <c r="B753" s="160">
        <f>ROUND(W59,0)</f>
        <v>2147</v>
      </c>
      <c r="C753" s="222">
        <f>ROUND(W60,2)</f>
        <v>2</v>
      </c>
      <c r="D753" s="160">
        <f>ROUND(W61,0)</f>
        <v>200996</v>
      </c>
      <c r="E753" s="160">
        <f>ROUND(W62,0)</f>
        <v>45360</v>
      </c>
      <c r="F753" s="160">
        <f>ROUND(W63,0)</f>
        <v>0</v>
      </c>
      <c r="G753" s="160">
        <f>ROUND(W64,0)</f>
        <v>30225</v>
      </c>
      <c r="H753" s="160">
        <f>ROUND(W65,0)</f>
        <v>0</v>
      </c>
      <c r="I753" s="160">
        <f>ROUND(W66,0)</f>
        <v>0</v>
      </c>
      <c r="J753" s="160">
        <f>ROUND(W67,0)</f>
        <v>37602</v>
      </c>
      <c r="K753" s="160">
        <f>ROUND(W68,0)</f>
        <v>251390</v>
      </c>
      <c r="L753" s="160">
        <f>ROUND(W70,0)</f>
        <v>0</v>
      </c>
      <c r="M753" s="160">
        <f>ROUND(W71,0)</f>
        <v>676140</v>
      </c>
      <c r="N753" s="160">
        <f>ROUND(W76,0)</f>
        <v>1107</v>
      </c>
      <c r="O753" s="160">
        <f>ROUND(W74,0)</f>
        <v>4803596</v>
      </c>
      <c r="P753" s="160">
        <f>IF(W77&gt;0,ROUND(W77,0),0)</f>
        <v>0</v>
      </c>
      <c r="Q753" s="160">
        <f>IF(W78&gt;0,ROUND(W78,0),0)</f>
        <v>0</v>
      </c>
      <c r="R753" s="160">
        <f>IF(W79&gt;0,ROUND(W79,0),0)</f>
        <v>33870</v>
      </c>
      <c r="S753" s="160">
        <f>IF(W80&gt;0,ROUND(W80,0),0)</f>
        <v>0</v>
      </c>
      <c r="T753" s="222">
        <f>IF(W81&gt;0,ROUND(W81,2),0)</f>
        <v>0</v>
      </c>
      <c r="U753" s="160"/>
      <c r="X753" s="160"/>
      <c r="Y753" s="160"/>
      <c r="Z753" s="160">
        <f t="shared" si="21"/>
        <v>6</v>
      </c>
    </row>
    <row r="754" spans="1:26" ht="12.65" customHeight="1" x14ac:dyDescent="0.3">
      <c r="A754" s="160" t="str">
        <f>RIGHT($C$84,3)&amp;"*"&amp;RIGHT($C$83,4)&amp;"*"&amp;X$55&amp;"*"&amp;"A"</f>
        <v>o 2*085*7130*A</v>
      </c>
      <c r="B754" s="160">
        <f>ROUND(X59,0)</f>
        <v>5555</v>
      </c>
      <c r="C754" s="222">
        <f>ROUND(X60,2)</f>
        <v>1.33</v>
      </c>
      <c r="D754" s="160">
        <f>ROUND(X61,0)</f>
        <v>106080</v>
      </c>
      <c r="E754" s="160">
        <f>ROUND(X62,0)</f>
        <v>23940</v>
      </c>
      <c r="F754" s="160">
        <f>ROUND(X63,0)</f>
        <v>0</v>
      </c>
      <c r="G754" s="160">
        <f>ROUND(X64,0)</f>
        <v>111642</v>
      </c>
      <c r="H754" s="160">
        <f>ROUND(X65,0)</f>
        <v>0</v>
      </c>
      <c r="I754" s="160">
        <f>ROUND(X66,0)</f>
        <v>0</v>
      </c>
      <c r="J754" s="160">
        <f>ROUND(X67,0)</f>
        <v>18128</v>
      </c>
      <c r="K754" s="160">
        <f>ROUND(X68,0)</f>
        <v>9614</v>
      </c>
      <c r="L754" s="160">
        <f>ROUND(X70,0)</f>
        <v>0</v>
      </c>
      <c r="M754" s="160">
        <f>ROUND(X71,0)</f>
        <v>366757</v>
      </c>
      <c r="N754" s="160">
        <f>ROUND(X76,0)</f>
        <v>534</v>
      </c>
      <c r="O754" s="160">
        <f>ROUND(X74,0)</f>
        <v>13219956</v>
      </c>
      <c r="P754" s="160">
        <f>IF(X77&gt;0,ROUND(X77,0),0)</f>
        <v>0</v>
      </c>
      <c r="Q754" s="160">
        <f>IF(X78&gt;0,ROUND(X78,0),0)</f>
        <v>0</v>
      </c>
      <c r="R754" s="160">
        <f>IF(X79&gt;0,ROUND(X79,0),0)</f>
        <v>0</v>
      </c>
      <c r="S754" s="160">
        <f>IF(X80&gt;0,ROUND(X80,0),0)</f>
        <v>0</v>
      </c>
      <c r="T754" s="222">
        <f>IF(X81&gt;0,ROUND(X81,2),0)</f>
        <v>0</v>
      </c>
      <c r="U754" s="160"/>
      <c r="X754" s="160"/>
      <c r="Y754" s="160"/>
      <c r="Z754" s="160">
        <f t="shared" si="21"/>
        <v>353477</v>
      </c>
    </row>
    <row r="755" spans="1:26" ht="12.65" customHeight="1" x14ac:dyDescent="0.3">
      <c r="A755" s="160" t="str">
        <f>RIGHT($C$84,3)&amp;"*"&amp;RIGHT($C$83,4)&amp;"*"&amp;Y$55&amp;"*"&amp;"A"</f>
        <v>o 2*085*7140*A</v>
      </c>
      <c r="B755" s="160">
        <f>ROUND(Y59,0)</f>
        <v>16265</v>
      </c>
      <c r="C755" s="222">
        <f>ROUND(Y60,2)</f>
        <v>20.16</v>
      </c>
      <c r="D755" s="160">
        <f>ROUND(Y61,0)</f>
        <v>1674308</v>
      </c>
      <c r="E755" s="160">
        <f>ROUND(Y62,0)</f>
        <v>377855</v>
      </c>
      <c r="F755" s="160">
        <f>ROUND(Y63,0)</f>
        <v>35200</v>
      </c>
      <c r="G755" s="160">
        <f>ROUND(Y64,0)</f>
        <v>71334</v>
      </c>
      <c r="H755" s="160">
        <f>ROUND(Y65,0)</f>
        <v>0</v>
      </c>
      <c r="I755" s="160">
        <f>ROUND(Y66,0)</f>
        <v>278515</v>
      </c>
      <c r="J755" s="160">
        <f>ROUND(Y67,0)</f>
        <v>156434</v>
      </c>
      <c r="K755" s="160">
        <f>ROUND(Y68,0)</f>
        <v>0</v>
      </c>
      <c r="L755" s="160">
        <f>ROUND(Y70,0)</f>
        <v>0</v>
      </c>
      <c r="M755" s="160">
        <f>ROUND(Y71,0)</f>
        <v>2809576</v>
      </c>
      <c r="N755" s="160">
        <f>ROUND(Y76,0)</f>
        <v>4606</v>
      </c>
      <c r="O755" s="160">
        <f>ROUND(Y74,0)</f>
        <v>11390733</v>
      </c>
      <c r="P755" s="160">
        <f>IF(Y77&gt;0,ROUND(Y77,0),0)</f>
        <v>0</v>
      </c>
      <c r="Q755" s="160">
        <f>IF(Y78&gt;0,ROUND(Y78,0),0)</f>
        <v>3400</v>
      </c>
      <c r="R755" s="160">
        <f>IF(Y79&gt;0,ROUND(Y79,0),0)</f>
        <v>10096</v>
      </c>
      <c r="S755" s="160">
        <f>IF(Y80&gt;0,ROUND(Y80,0),0)</f>
        <v>0</v>
      </c>
      <c r="T755" s="222">
        <f>IF(Y81&gt;0,ROUND(Y81,2),0)</f>
        <v>0</v>
      </c>
      <c r="U755" s="160"/>
      <c r="X755" s="160"/>
      <c r="Y755" s="160"/>
      <c r="Z755" s="160">
        <f t="shared" si="21"/>
        <v>688807</v>
      </c>
    </row>
    <row r="756" spans="1:26" ht="12.65" customHeight="1" x14ac:dyDescent="0.3">
      <c r="A756" s="160" t="str">
        <f>RIGHT($C$84,3)&amp;"*"&amp;RIGHT($C$83,4)&amp;"*"&amp;Z$55&amp;"*"&amp;"A"</f>
        <v>o 2*085*7150*A</v>
      </c>
      <c r="B756" s="160">
        <f>ROUND(Z59,0)</f>
        <v>0</v>
      </c>
      <c r="C756" s="222">
        <f>ROUND(Z60,2)</f>
        <v>0</v>
      </c>
      <c r="D756" s="160">
        <f>ROUND(Z61,0)</f>
        <v>0</v>
      </c>
      <c r="E756" s="160">
        <f>ROUND(Z62,0)</f>
        <v>0</v>
      </c>
      <c r="F756" s="160">
        <f>ROUND(Z63,0)</f>
        <v>0</v>
      </c>
      <c r="G756" s="160">
        <f>ROUND(Z64,0)</f>
        <v>0</v>
      </c>
      <c r="H756" s="160">
        <f>ROUND(Z65,0)</f>
        <v>0</v>
      </c>
      <c r="I756" s="160">
        <f>ROUND(Z66,0)</f>
        <v>0</v>
      </c>
      <c r="J756" s="160">
        <f>ROUND(Z67,0)</f>
        <v>0</v>
      </c>
      <c r="K756" s="160">
        <f>ROUND(Z68,0)</f>
        <v>0</v>
      </c>
      <c r="L756" s="160">
        <f>ROUND(Z70,0)</f>
        <v>0</v>
      </c>
      <c r="M756" s="160">
        <f>ROUND(Z71,0)</f>
        <v>0</v>
      </c>
      <c r="N756" s="160">
        <f>ROUND(Z76,0)</f>
        <v>0</v>
      </c>
      <c r="O756" s="160">
        <f>ROUND(Z74,0)</f>
        <v>0</v>
      </c>
      <c r="P756" s="160">
        <f>IF(Z77&gt;0,ROUND(Z77,0),0)</f>
        <v>0</v>
      </c>
      <c r="Q756" s="160">
        <f>IF(Z78&gt;0,ROUND(Z78,0),0)</f>
        <v>0</v>
      </c>
      <c r="R756" s="160">
        <f>IF(Z79&gt;0,ROUND(Z79,0),0)</f>
        <v>0</v>
      </c>
      <c r="S756" s="160">
        <f>IF(Z80&gt;0,ROUND(Z80,0),0)</f>
        <v>0</v>
      </c>
      <c r="T756" s="222">
        <f>IF(Z81&gt;0,ROUND(Z81,2),0)</f>
        <v>0</v>
      </c>
      <c r="U756" s="160"/>
      <c r="X756" s="160"/>
      <c r="Y756" s="160"/>
      <c r="Z756" s="160">
        <f t="shared" si="21"/>
        <v>1133655</v>
      </c>
    </row>
    <row r="757" spans="1:26" ht="12.65" customHeight="1" x14ac:dyDescent="0.3">
      <c r="A757" s="160" t="str">
        <f>RIGHT($C$84,3)&amp;"*"&amp;RIGHT($C$83,4)&amp;"*"&amp;AA$55&amp;"*"&amp;"A"</f>
        <v>o 2*085*7160*A</v>
      </c>
      <c r="B757" s="160">
        <f>ROUND(AA59,0)</f>
        <v>446</v>
      </c>
      <c r="C757" s="222">
        <f>ROUND(AA60,2)</f>
        <v>0.7</v>
      </c>
      <c r="D757" s="160">
        <f>ROUND(AA61,0)</f>
        <v>91358</v>
      </c>
      <c r="E757" s="160">
        <f>ROUND(AA62,0)</f>
        <v>20618</v>
      </c>
      <c r="F757" s="160">
        <f>ROUND(AA63,0)</f>
        <v>0</v>
      </c>
      <c r="G757" s="160">
        <f>ROUND(AA64,0)</f>
        <v>113413</v>
      </c>
      <c r="H757" s="160">
        <f>ROUND(AA65,0)</f>
        <v>0</v>
      </c>
      <c r="I757" s="160">
        <f>ROUND(AA66,0)</f>
        <v>39087</v>
      </c>
      <c r="J757" s="160">
        <f>ROUND(AA67,0)</f>
        <v>12141</v>
      </c>
      <c r="K757" s="160">
        <f>ROUND(AA68,0)</f>
        <v>0</v>
      </c>
      <c r="L757" s="160">
        <f>ROUND(AA70,0)</f>
        <v>0</v>
      </c>
      <c r="M757" s="160">
        <f>ROUND(AA71,0)</f>
        <v>276864</v>
      </c>
      <c r="N757" s="160">
        <f>ROUND(AA76,0)</f>
        <v>358</v>
      </c>
      <c r="O757" s="160">
        <f>ROUND(AA74,0)</f>
        <v>2875803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22">
        <f>IF(AA81&gt;0,ROUND(AA81,2),0)</f>
        <v>0</v>
      </c>
      <c r="U757" s="160"/>
      <c r="X757" s="160"/>
      <c r="Y757" s="160"/>
      <c r="Z757" s="160">
        <f t="shared" si="21"/>
        <v>0</v>
      </c>
    </row>
    <row r="758" spans="1:26" ht="12.65" customHeight="1" x14ac:dyDescent="0.3">
      <c r="A758" s="160" t="str">
        <f>RIGHT($C$84,3)&amp;"*"&amp;RIGHT($C$83,4)&amp;"*"&amp;AB$55&amp;"*"&amp;"A"</f>
        <v>o 2*085*7170*A</v>
      </c>
      <c r="B758" s="160"/>
      <c r="C758" s="222">
        <f>ROUND(AB60,2)</f>
        <v>13.05</v>
      </c>
      <c r="D758" s="160">
        <f>ROUND(AB61,0)</f>
        <v>1444377</v>
      </c>
      <c r="E758" s="160">
        <f>ROUND(AB62,0)</f>
        <v>325964</v>
      </c>
      <c r="F758" s="160">
        <f>ROUND(AB63,0)</f>
        <v>690669</v>
      </c>
      <c r="G758" s="160">
        <f>ROUND(AB64,0)</f>
        <v>14600179</v>
      </c>
      <c r="H758" s="160">
        <f>ROUND(AB65,0)</f>
        <v>8250</v>
      </c>
      <c r="I758" s="160">
        <f>ROUND(AB66,0)</f>
        <v>192950</v>
      </c>
      <c r="J758" s="160">
        <f>ROUND(AB67,0)</f>
        <v>84254</v>
      </c>
      <c r="K758" s="160">
        <f>ROUND(AB68,0)</f>
        <v>219319</v>
      </c>
      <c r="L758" s="160">
        <f>ROUND(AB70,0)</f>
        <v>3694223</v>
      </c>
      <c r="M758" s="160">
        <f>ROUND(AB71,0)</f>
        <v>14025108</v>
      </c>
      <c r="N758" s="160">
        <f>ROUND(AB76,0)</f>
        <v>2481</v>
      </c>
      <c r="O758" s="160">
        <f>ROUND(AB74,0)</f>
        <v>44684307</v>
      </c>
      <c r="P758" s="160">
        <f>IF(AB77&gt;0,ROUND(AB77,0),0)</f>
        <v>0</v>
      </c>
      <c r="Q758" s="160">
        <f>IF(AB78&gt;0,ROUND(AB78,0),0)</f>
        <v>0</v>
      </c>
      <c r="R758" s="160">
        <f>IF(AB79&gt;0,ROUND(AB79,0),0)</f>
        <v>0</v>
      </c>
      <c r="S758" s="160">
        <f>IF(AB80&gt;0,ROUND(AB80,0),0)</f>
        <v>0</v>
      </c>
      <c r="T758" s="222">
        <f>IF(AB81&gt;0,ROUND(AB81,2),0)</f>
        <v>0</v>
      </c>
      <c r="U758" s="160"/>
      <c r="X758" s="160"/>
      <c r="Y758" s="160"/>
      <c r="Z758" s="160">
        <f t="shared" si="21"/>
        <v>167621</v>
      </c>
    </row>
    <row r="759" spans="1:26" ht="12.65" customHeight="1" x14ac:dyDescent="0.3">
      <c r="A759" s="160" t="str">
        <f>RIGHT($C$84,3)&amp;"*"&amp;RIGHT($C$83,4)&amp;"*"&amp;AC$55&amp;"*"&amp;"A"</f>
        <v>o 2*085*7180*A</v>
      </c>
      <c r="B759" s="160">
        <f>ROUND(AC59,0)</f>
        <v>28724</v>
      </c>
      <c r="C759" s="222">
        <f>ROUND(AC60,2)</f>
        <v>7.28</v>
      </c>
      <c r="D759" s="160">
        <f>ROUND(AC61,0)</f>
        <v>699014</v>
      </c>
      <c r="E759" s="160">
        <f>ROUND(AC62,0)</f>
        <v>157752</v>
      </c>
      <c r="F759" s="160">
        <f>ROUND(AC63,0)</f>
        <v>64451</v>
      </c>
      <c r="G759" s="160">
        <f>ROUND(AC64,0)</f>
        <v>99259</v>
      </c>
      <c r="H759" s="160">
        <f>ROUND(AC65,0)</f>
        <v>0</v>
      </c>
      <c r="I759" s="160">
        <f>ROUND(AC66,0)</f>
        <v>19077</v>
      </c>
      <c r="J759" s="160">
        <f>ROUND(AC67,0)</f>
        <v>62617</v>
      </c>
      <c r="K759" s="160">
        <f>ROUND(AC68,0)</f>
        <v>28145</v>
      </c>
      <c r="L759" s="160">
        <f>ROUND(AC70,0)</f>
        <v>0</v>
      </c>
      <c r="M759" s="160">
        <f>ROUND(AC71,0)</f>
        <v>1144783</v>
      </c>
      <c r="N759" s="160">
        <f>ROUND(AC76,0)</f>
        <v>1844</v>
      </c>
      <c r="O759" s="160">
        <f>ROUND(AC74,0)</f>
        <v>1673273</v>
      </c>
      <c r="P759" s="160">
        <f>IF(AC77&gt;0,ROUND(AC77,0),0)</f>
        <v>0</v>
      </c>
      <c r="Q759" s="160">
        <f>IF(AC78&gt;0,ROUND(AC78,0),0)</f>
        <v>0</v>
      </c>
      <c r="R759" s="160">
        <f>IF(AC79&gt;0,ROUND(AC79,0),0)</f>
        <v>0</v>
      </c>
      <c r="S759" s="160">
        <f>IF(AC80&gt;0,ROUND(AC80,0),0)</f>
        <v>0</v>
      </c>
      <c r="T759" s="222">
        <f>IF(AC81&gt;0,ROUND(AC81,2),0)</f>
        <v>0</v>
      </c>
      <c r="U759" s="160"/>
      <c r="X759" s="160"/>
      <c r="Y759" s="160"/>
      <c r="Z759" s="160">
        <f t="shared" si="21"/>
        <v>4032121</v>
      </c>
    </row>
    <row r="760" spans="1:26" ht="12.65" customHeight="1" x14ac:dyDescent="0.3">
      <c r="A760" s="160" t="str">
        <f>RIGHT($C$84,3)&amp;"*"&amp;RIGHT($C$83,4)&amp;"*"&amp;AD$55&amp;"*"&amp;"A"</f>
        <v>o 2*085*7190*A</v>
      </c>
      <c r="B760" s="160">
        <f>ROUND(AD59,0)</f>
        <v>0</v>
      </c>
      <c r="C760" s="222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2">
        <f>IF(AD81&gt;0,ROUND(AD81,2),0)</f>
        <v>0</v>
      </c>
      <c r="U760" s="160"/>
      <c r="X760" s="160"/>
      <c r="Y760" s="160"/>
      <c r="Z760" s="160">
        <f t="shared" si="21"/>
        <v>307603</v>
      </c>
    </row>
    <row r="761" spans="1:26" ht="12.65" customHeight="1" x14ac:dyDescent="0.3">
      <c r="A761" s="160" t="str">
        <f>RIGHT($C$84,3)&amp;"*"&amp;RIGHT($C$83,4)&amp;"*"&amp;AE$55&amp;"*"&amp;"A"</f>
        <v>o 2*085*7200*A</v>
      </c>
      <c r="B761" s="160">
        <f>ROUND(AE59,0)</f>
        <v>75498</v>
      </c>
      <c r="C761" s="222">
        <f>ROUND(AE60,2)</f>
        <v>33.450000000000003</v>
      </c>
      <c r="D761" s="160">
        <f>ROUND(AE61,0)</f>
        <v>2692681</v>
      </c>
      <c r="E761" s="160">
        <f>ROUND(AE62,0)</f>
        <v>607680</v>
      </c>
      <c r="F761" s="160">
        <f>ROUND(AE63,0)</f>
        <v>91966</v>
      </c>
      <c r="G761" s="160">
        <f>ROUND(AE64,0)</f>
        <v>58130</v>
      </c>
      <c r="H761" s="160">
        <f>ROUND(AE65,0)</f>
        <v>0</v>
      </c>
      <c r="I761" s="160">
        <f>ROUND(AE66,0)</f>
        <v>760</v>
      </c>
      <c r="J761" s="160">
        <f>ROUND(AE67,0)</f>
        <v>220325</v>
      </c>
      <c r="K761" s="160">
        <f>ROUND(AE68,0)</f>
        <v>0</v>
      </c>
      <c r="L761" s="160">
        <f>ROUND(AE70,0)</f>
        <v>0</v>
      </c>
      <c r="M761" s="160">
        <f>ROUND(AE71,0)</f>
        <v>3700352</v>
      </c>
      <c r="N761" s="160">
        <f>ROUND(AE76,0)</f>
        <v>6488</v>
      </c>
      <c r="O761" s="160">
        <f>ROUND(AE74,0)</f>
        <v>7413485</v>
      </c>
      <c r="P761" s="160">
        <f>IF(AE77&gt;0,ROUND(AE77,0),0)</f>
        <v>0</v>
      </c>
      <c r="Q761" s="160">
        <f>IF(AE78&gt;0,ROUND(AE78,0),0)</f>
        <v>2880</v>
      </c>
      <c r="R761" s="160">
        <f>IF(AE79&gt;0,ROUND(AE79,0),0)</f>
        <v>29861</v>
      </c>
      <c r="S761" s="160">
        <f>IF(AE80&gt;0,ROUND(AE80,0),0)</f>
        <v>0</v>
      </c>
      <c r="T761" s="222">
        <f>IF(AE81&gt;0,ROUND(AE81,2),0)</f>
        <v>0</v>
      </c>
      <c r="U761" s="160"/>
      <c r="X761" s="160"/>
      <c r="Y761" s="160"/>
      <c r="Z761" s="160">
        <f t="shared" si="21"/>
        <v>0</v>
      </c>
    </row>
    <row r="762" spans="1:26" ht="12.65" customHeight="1" x14ac:dyDescent="0.3">
      <c r="A762" s="160" t="str">
        <f>RIGHT($C$84,3)&amp;"*"&amp;RIGHT($C$83,4)&amp;"*"&amp;AF$55&amp;"*"&amp;"A"</f>
        <v>o 2*085*7220*A</v>
      </c>
      <c r="B762" s="160">
        <f>ROUND(AF59,0)</f>
        <v>0</v>
      </c>
      <c r="C762" s="222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0</v>
      </c>
      <c r="H762" s="160">
        <f>ROUND(AF65,0)</f>
        <v>0</v>
      </c>
      <c r="I762" s="160">
        <f>ROUND(AF66,0)</f>
        <v>0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2">
        <f>IF(AF81&gt;0,ROUND(AF81,2),0)</f>
        <v>0</v>
      </c>
      <c r="U762" s="160"/>
      <c r="X762" s="160"/>
      <c r="Y762" s="160"/>
      <c r="Z762" s="160">
        <f t="shared" si="21"/>
        <v>1074651</v>
      </c>
    </row>
    <row r="763" spans="1:26" ht="12.65" customHeight="1" x14ac:dyDescent="0.3">
      <c r="A763" s="160" t="str">
        <f>RIGHT($C$84,3)&amp;"*"&amp;RIGHT($C$83,4)&amp;"*"&amp;AG$55&amp;"*"&amp;"A"</f>
        <v>o 2*085*7230*A</v>
      </c>
      <c r="B763" s="160">
        <f>ROUND(AG59,0)</f>
        <v>10664</v>
      </c>
      <c r="C763" s="222">
        <f>ROUND(AG60,2)</f>
        <v>26.75</v>
      </c>
      <c r="D763" s="160">
        <f>ROUND(AG61,0)</f>
        <v>4482130</v>
      </c>
      <c r="E763" s="160">
        <f>ROUND(AG62,0)</f>
        <v>1011519</v>
      </c>
      <c r="F763" s="160">
        <f>ROUND(AG63,0)</f>
        <v>123703</v>
      </c>
      <c r="G763" s="160">
        <f>ROUND(AG64,0)</f>
        <v>276913</v>
      </c>
      <c r="H763" s="160">
        <f>ROUND(AG65,0)</f>
        <v>0</v>
      </c>
      <c r="I763" s="160">
        <f>ROUND(AG66,0)</f>
        <v>104765</v>
      </c>
      <c r="J763" s="160">
        <f>ROUND(AG67,0)</f>
        <v>215642</v>
      </c>
      <c r="K763" s="160">
        <f>ROUND(AG68,0)</f>
        <v>2172</v>
      </c>
      <c r="L763" s="160">
        <f>ROUND(AG70,0)</f>
        <v>0</v>
      </c>
      <c r="M763" s="160">
        <f>ROUND(AG71,0)</f>
        <v>6257579</v>
      </c>
      <c r="N763" s="160">
        <f>ROUND(AG76,0)</f>
        <v>6350</v>
      </c>
      <c r="O763" s="160">
        <f>ROUND(AG74,0)</f>
        <v>29273848</v>
      </c>
      <c r="P763" s="160">
        <f>IF(AG77&gt;0,ROUND(AG77,0),0)</f>
        <v>0</v>
      </c>
      <c r="Q763" s="160">
        <f>IF(AG78&gt;0,ROUND(AG78,0),0)</f>
        <v>6302</v>
      </c>
      <c r="R763" s="160">
        <f>IF(AG79&gt;0,ROUND(AG79,0),0)</f>
        <v>56819</v>
      </c>
      <c r="S763" s="160">
        <f>IF(AG80&gt;0,ROUND(AG80,0),0)</f>
        <v>14</v>
      </c>
      <c r="T763" s="222">
        <f>IF(AG81&gt;0,ROUND(AG81,2),0)</f>
        <v>0</v>
      </c>
      <c r="U763" s="160"/>
      <c r="X763" s="160"/>
      <c r="Y763" s="160"/>
      <c r="Z763" s="160">
        <f t="shared" si="21"/>
        <v>0</v>
      </c>
    </row>
    <row r="764" spans="1:26" ht="12.65" customHeight="1" x14ac:dyDescent="0.3">
      <c r="A764" s="160" t="str">
        <f>RIGHT($C$84,3)&amp;"*"&amp;RIGHT($C$83,4)&amp;"*"&amp;AH$55&amp;"*"&amp;"A"</f>
        <v>o 2*085*7240*A</v>
      </c>
      <c r="B764" s="160">
        <f>ROUND(AH59,0)</f>
        <v>0</v>
      </c>
      <c r="C764" s="222">
        <f>ROUND(AH60,2)</f>
        <v>0</v>
      </c>
      <c r="D764" s="160">
        <f>ROUND(AH61,0)</f>
        <v>0</v>
      </c>
      <c r="E764" s="160">
        <f>ROUND(AH62,0)</f>
        <v>0</v>
      </c>
      <c r="F764" s="160">
        <f>ROUND(AH63,0)</f>
        <v>0</v>
      </c>
      <c r="G764" s="160">
        <f>ROUND(AH64,0)</f>
        <v>0</v>
      </c>
      <c r="H764" s="160">
        <f>ROUND(AH65,0)</f>
        <v>0</v>
      </c>
      <c r="I764" s="160">
        <f>ROUND(AH66,0)</f>
        <v>0</v>
      </c>
      <c r="J764" s="160">
        <f>ROUND(AH67,0)</f>
        <v>0</v>
      </c>
      <c r="K764" s="160">
        <f>ROUND(AH68,0)</f>
        <v>0</v>
      </c>
      <c r="L764" s="160">
        <f>ROUND(AH70,0)</f>
        <v>0</v>
      </c>
      <c r="M764" s="160">
        <f>ROUND(AH71,0)</f>
        <v>0</v>
      </c>
      <c r="N764" s="160">
        <f>ROUND(AH76,0)</f>
        <v>0</v>
      </c>
      <c r="O764" s="160">
        <f>ROUND(AH74,0)</f>
        <v>0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0</v>
      </c>
      <c r="S764" s="160">
        <f>IF(AH80&gt;0,ROUND(AH80,0),0)</f>
        <v>0</v>
      </c>
      <c r="T764" s="222">
        <f>IF(AH81&gt;0,ROUND(AH81,2),0)</f>
        <v>0</v>
      </c>
      <c r="U764" s="160"/>
      <c r="X764" s="160"/>
      <c r="Y764" s="160"/>
      <c r="Z764" s="160">
        <f t="shared" si="21"/>
        <v>2696517</v>
      </c>
    </row>
    <row r="765" spans="1:26" ht="12.65" customHeight="1" x14ac:dyDescent="0.3">
      <c r="A765" s="160" t="str">
        <f>RIGHT($C$84,3)&amp;"*"&amp;RIGHT($C$83,4)&amp;"*"&amp;AI$55&amp;"*"&amp;"A"</f>
        <v>o 2*085*7250*A</v>
      </c>
      <c r="B765" s="160">
        <f>ROUND(AI59,0)</f>
        <v>17436</v>
      </c>
      <c r="C765" s="222">
        <f>ROUND(AI60,2)</f>
        <v>23.07</v>
      </c>
      <c r="D765" s="160">
        <f>ROUND(AI61,0)</f>
        <v>3407787</v>
      </c>
      <c r="E765" s="160">
        <f>ROUND(AI62,0)</f>
        <v>769063</v>
      </c>
      <c r="F765" s="160">
        <f>ROUND(AI63,0)</f>
        <v>0</v>
      </c>
      <c r="G765" s="160">
        <f>ROUND(AI64,0)</f>
        <v>358310</v>
      </c>
      <c r="H765" s="160">
        <f>ROUND(AI65,0)</f>
        <v>0</v>
      </c>
      <c r="I765" s="160">
        <f>ROUND(AI66,0)</f>
        <v>83036</v>
      </c>
      <c r="J765" s="160">
        <f>ROUND(AI67,0)</f>
        <v>216365</v>
      </c>
      <c r="K765" s="160">
        <f>ROUND(AI68,0)</f>
        <v>0</v>
      </c>
      <c r="L765" s="160">
        <f>ROUND(AI70,0)</f>
        <v>4295</v>
      </c>
      <c r="M765" s="160">
        <f>ROUND(AI71,0)</f>
        <v>4861894</v>
      </c>
      <c r="N765" s="160">
        <f>ROUND(AI76,0)</f>
        <v>6371</v>
      </c>
      <c r="O765" s="160">
        <f>ROUND(AI74,0)</f>
        <v>7814620</v>
      </c>
      <c r="P765" s="160">
        <f>IF(AI77&gt;0,ROUND(AI77,0),0)</f>
        <v>0</v>
      </c>
      <c r="Q765" s="160">
        <f>IF(AI78&gt;0,ROUND(AI78,0),0)</f>
        <v>1814</v>
      </c>
      <c r="R765" s="160">
        <f>IF(AI79&gt;0,ROUND(AI79,0),0)</f>
        <v>32827</v>
      </c>
      <c r="S765" s="160">
        <f>IF(AI80&gt;0,ROUND(AI80,0),0)</f>
        <v>11</v>
      </c>
      <c r="T765" s="222">
        <f>IF(AI81&gt;0,ROUND(AI81,2),0)</f>
        <v>0</v>
      </c>
      <c r="U765" s="160"/>
      <c r="X765" s="160"/>
      <c r="Y765" s="160"/>
      <c r="Z765" s="160">
        <f t="shared" si="21"/>
        <v>0</v>
      </c>
    </row>
    <row r="766" spans="1:26" ht="12.65" customHeight="1" x14ac:dyDescent="0.3">
      <c r="A766" s="160" t="str">
        <f>RIGHT($C$84,3)&amp;"*"&amp;RIGHT($C$83,4)&amp;"*"&amp;AJ$55&amp;"*"&amp;"A"</f>
        <v>o 2*085*7260*A</v>
      </c>
      <c r="B766" s="160">
        <f>ROUND(AJ59,0)</f>
        <v>85414</v>
      </c>
      <c r="C766" s="222">
        <f>ROUND(AJ60,2)</f>
        <v>128.58000000000001</v>
      </c>
      <c r="D766" s="160">
        <f>ROUND(AJ61,0)</f>
        <v>19130395</v>
      </c>
      <c r="E766" s="160">
        <f>ROUND(AJ62,0)</f>
        <v>4317314</v>
      </c>
      <c r="F766" s="160">
        <f>ROUND(AJ63,0)</f>
        <v>1232723</v>
      </c>
      <c r="G766" s="160">
        <f>ROUND(AJ64,0)</f>
        <v>1630887</v>
      </c>
      <c r="H766" s="160">
        <f>ROUND(AJ65,0)</f>
        <v>135607</v>
      </c>
      <c r="I766" s="160">
        <f>ROUND(AJ66,0)</f>
        <v>873016</v>
      </c>
      <c r="J766" s="160">
        <f>ROUND(AJ67,0)</f>
        <v>1521857</v>
      </c>
      <c r="K766" s="160">
        <f>ROUND(AJ68,0)</f>
        <v>364849</v>
      </c>
      <c r="L766" s="160">
        <f>ROUND(AJ70,0)</f>
        <v>408991</v>
      </c>
      <c r="M766" s="160">
        <f>ROUND(AJ71,0)</f>
        <v>28963011</v>
      </c>
      <c r="N766" s="160">
        <f>ROUND(AJ76,0)</f>
        <v>44812</v>
      </c>
      <c r="O766" s="160">
        <f>ROUND(AJ74,0)</f>
        <v>36398495</v>
      </c>
      <c r="P766" s="160">
        <f>IF(AJ77&gt;0,ROUND(AJ77,0),0)</f>
        <v>0</v>
      </c>
      <c r="Q766" s="160">
        <f>IF(AJ78&gt;0,ROUND(AJ78,0),0)</f>
        <v>5159</v>
      </c>
      <c r="R766" s="160">
        <f>IF(AJ79&gt;0,ROUND(AJ79,0),0)</f>
        <v>50036</v>
      </c>
      <c r="S766" s="160">
        <f>IF(AJ80&gt;0,ROUND(AJ80,0),0)</f>
        <v>24</v>
      </c>
      <c r="T766" s="222">
        <f>IF(AJ81&gt;0,ROUND(AJ81,2),0)</f>
        <v>0</v>
      </c>
      <c r="U766" s="160"/>
      <c r="X766" s="160"/>
      <c r="Y766" s="160"/>
      <c r="Z766" s="160">
        <f t="shared" si="21"/>
        <v>1271964</v>
      </c>
    </row>
    <row r="767" spans="1:26" ht="12.65" customHeight="1" x14ac:dyDescent="0.3">
      <c r="A767" s="160" t="str">
        <f>RIGHT($C$84,3)&amp;"*"&amp;RIGHT($C$83,4)&amp;"*"&amp;AK$55&amp;"*"&amp;"A"</f>
        <v>o 2*085*7310*A</v>
      </c>
      <c r="B767" s="160">
        <f>ROUND(AK59,0)</f>
        <v>13118</v>
      </c>
      <c r="C767" s="222">
        <f>ROUND(AK60,2)</f>
        <v>0</v>
      </c>
      <c r="D767" s="160">
        <f>ROUND(AK61,0)</f>
        <v>0</v>
      </c>
      <c r="E767" s="160">
        <f>ROUND(AK62,0)</f>
        <v>0</v>
      </c>
      <c r="F767" s="160">
        <f>ROUND(AK63,0)</f>
        <v>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>
        <f>ROUND(AK67,0)</f>
        <v>0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22">
        <f>IF(AK81&gt;0,ROUND(AK81,2),0)</f>
        <v>0</v>
      </c>
      <c r="U767" s="160"/>
      <c r="X767" s="160"/>
      <c r="Y767" s="160"/>
      <c r="Z767" s="160">
        <f t="shared" si="21"/>
        <v>6197029</v>
      </c>
    </row>
    <row r="768" spans="1:26" ht="12.65" customHeight="1" x14ac:dyDescent="0.3">
      <c r="A768" s="160" t="str">
        <f>RIGHT($C$84,3)&amp;"*"&amp;RIGHT($C$83,4)&amp;"*"&amp;AL$55&amp;"*"&amp;"A"</f>
        <v>o 2*085*7320*A</v>
      </c>
      <c r="B768" s="160">
        <f>ROUND(AL59,0)</f>
        <v>2593</v>
      </c>
      <c r="C768" s="222">
        <f>ROUND(AL60,2)</f>
        <v>0</v>
      </c>
      <c r="D768" s="160">
        <f>ROUND(AL61,0)</f>
        <v>0</v>
      </c>
      <c r="E768" s="160">
        <f>ROUND(AL62,0)</f>
        <v>0</v>
      </c>
      <c r="F768" s="160">
        <f>ROUND(AL63,0)</f>
        <v>0</v>
      </c>
      <c r="G768" s="160">
        <f>ROUND(AL64,0)</f>
        <v>0</v>
      </c>
      <c r="H768" s="160">
        <f>ROUND(AL65,0)</f>
        <v>0</v>
      </c>
      <c r="I768" s="160">
        <f>ROUND(AL66,0)</f>
        <v>0</v>
      </c>
      <c r="J768" s="160">
        <f>ROUND(AL67,0)</f>
        <v>0</v>
      </c>
      <c r="K768" s="160">
        <f>ROUND(AL68,0)</f>
        <v>0</v>
      </c>
      <c r="L768" s="160">
        <f>ROUND(AL70,0)</f>
        <v>0</v>
      </c>
      <c r="M768" s="160">
        <f>ROUND(AL71,0)</f>
        <v>0</v>
      </c>
      <c r="N768" s="160">
        <f>ROUND(AL76,0)</f>
        <v>0</v>
      </c>
      <c r="O768" s="160">
        <f>ROUND(AL74,0)</f>
        <v>0</v>
      </c>
      <c r="P768" s="160">
        <f>IF(AL77&gt;0,ROUND(AL77,0),0)</f>
        <v>0</v>
      </c>
      <c r="Q768" s="160">
        <f>IF(AL78&gt;0,ROUND(AL78,0),0)</f>
        <v>0</v>
      </c>
      <c r="R768" s="160">
        <f>IF(AL79&gt;0,ROUND(AL79,0),0)</f>
        <v>0</v>
      </c>
      <c r="S768" s="160">
        <f>IF(AL80&gt;0,ROUND(AL80,0),0)</f>
        <v>0</v>
      </c>
      <c r="T768" s="222">
        <f>IF(AL81&gt;0,ROUND(AL81,2),0)</f>
        <v>0</v>
      </c>
      <c r="U768" s="160"/>
      <c r="X768" s="160"/>
      <c r="Y768" s="160"/>
      <c r="Z768" s="160">
        <f t="shared" si="21"/>
        <v>0</v>
      </c>
    </row>
    <row r="769" spans="1:26" ht="12.65" customHeight="1" x14ac:dyDescent="0.3">
      <c r="A769" s="160" t="str">
        <f>RIGHT($C$84,3)&amp;"*"&amp;RIGHT($C$83,4)&amp;"*"&amp;AM$55&amp;"*"&amp;"A"</f>
        <v>o 2*085*7330*A</v>
      </c>
      <c r="B769" s="160">
        <f>ROUND(AM59,0)</f>
        <v>0</v>
      </c>
      <c r="C769" s="222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2">
        <f>IF(AM81&gt;0,ROUND(AM81,2),0)</f>
        <v>0</v>
      </c>
      <c r="U769" s="160"/>
      <c r="X769" s="160"/>
      <c r="Y769" s="160"/>
      <c r="Z769" s="160">
        <f t="shared" si="21"/>
        <v>0</v>
      </c>
    </row>
    <row r="770" spans="1:26" ht="12.65" customHeight="1" x14ac:dyDescent="0.3">
      <c r="A770" s="160" t="str">
        <f>RIGHT($C$84,3)&amp;"*"&amp;RIGHT($C$83,4)&amp;"*"&amp;AN$55&amp;"*"&amp;"A"</f>
        <v>o 2*085*7340*A</v>
      </c>
      <c r="B770" s="160">
        <f>ROUND(AN59,0)</f>
        <v>0</v>
      </c>
      <c r="C770" s="222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2">
        <f>IF(AN81&gt;0,ROUND(AN81,2),0)</f>
        <v>0</v>
      </c>
      <c r="U770" s="160"/>
      <c r="X770" s="160"/>
      <c r="Y770" s="160"/>
      <c r="Z770" s="160">
        <f t="shared" si="21"/>
        <v>0</v>
      </c>
    </row>
    <row r="771" spans="1:26" ht="12.65" customHeight="1" x14ac:dyDescent="0.3">
      <c r="A771" s="160" t="str">
        <f>RIGHT($C$84,3)&amp;"*"&amp;RIGHT($C$83,4)&amp;"*"&amp;AO$55&amp;"*"&amp;"A"</f>
        <v>o 2*085*7350*A</v>
      </c>
      <c r="B771" s="160">
        <f>ROUND(AO59,0)</f>
        <v>0</v>
      </c>
      <c r="C771" s="222">
        <f>ROUND(AO60,2)</f>
        <v>0</v>
      </c>
      <c r="D771" s="160">
        <f>ROUND(AO61,0)</f>
        <v>0</v>
      </c>
      <c r="E771" s="160">
        <f>ROUND(AO62,0)</f>
        <v>0</v>
      </c>
      <c r="F771" s="160">
        <f>ROUND(AO63,0)</f>
        <v>0</v>
      </c>
      <c r="G771" s="160">
        <f>ROUND(AO64,0)</f>
        <v>0</v>
      </c>
      <c r="H771" s="160">
        <f>ROUND(AO65,0)</f>
        <v>0</v>
      </c>
      <c r="I771" s="160">
        <f>ROUND(AO66,0)</f>
        <v>0</v>
      </c>
      <c r="J771" s="160">
        <f>ROUND(AO67,0)</f>
        <v>0</v>
      </c>
      <c r="K771" s="160">
        <f>ROUND(AO68,0)</f>
        <v>0</v>
      </c>
      <c r="L771" s="160">
        <f>ROUND(AO70,0)</f>
        <v>0</v>
      </c>
      <c r="M771" s="160">
        <f>ROUND(AO71,0)</f>
        <v>0</v>
      </c>
      <c r="N771" s="160">
        <f>ROUND(AO76,0)</f>
        <v>0</v>
      </c>
      <c r="O771" s="160">
        <f>ROUND(AO74,0)</f>
        <v>0</v>
      </c>
      <c r="P771" s="160">
        <f>IF(AO77&gt;0,ROUND(AO77,0),0)</f>
        <v>0</v>
      </c>
      <c r="Q771" s="160">
        <f>IF(AO78&gt;0,ROUND(AO78,0),0)</f>
        <v>0</v>
      </c>
      <c r="R771" s="160">
        <f>IF(AO79&gt;0,ROUND(AO79,0),0)</f>
        <v>0</v>
      </c>
      <c r="S771" s="160">
        <f>IF(AO80&gt;0,ROUND(AO80,0),0)</f>
        <v>0</v>
      </c>
      <c r="T771" s="222">
        <f>IF(AO81&gt;0,ROUND(AO81,2),0)</f>
        <v>0</v>
      </c>
      <c r="U771" s="160"/>
      <c r="X771" s="160"/>
      <c r="Y771" s="160"/>
      <c r="Z771" s="160">
        <f t="shared" si="21"/>
        <v>0</v>
      </c>
    </row>
    <row r="772" spans="1:26" ht="12.65" customHeight="1" x14ac:dyDescent="0.3">
      <c r="A772" s="160" t="str">
        <f>RIGHT($C$84,3)&amp;"*"&amp;RIGHT($C$83,4)&amp;"*"&amp;AP$55&amp;"*"&amp;"A"</f>
        <v>o 2*085*7380*A</v>
      </c>
      <c r="B772" s="160">
        <f>ROUND(AP59,0)</f>
        <v>0</v>
      </c>
      <c r="C772" s="222">
        <f>ROUND(AP60,2)</f>
        <v>0</v>
      </c>
      <c r="D772" s="160">
        <f>ROUND(AP61,0)</f>
        <v>0</v>
      </c>
      <c r="E772" s="160">
        <f>ROUND(AP62,0)</f>
        <v>0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>
        <f>ROUND(AP67,0)</f>
        <v>0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22">
        <f>IF(AP81&gt;0,ROUND(AP81,2),0)</f>
        <v>0</v>
      </c>
      <c r="U772" s="160"/>
      <c r="X772" s="160"/>
      <c r="Y772" s="160"/>
      <c r="Z772" s="160">
        <f t="shared" si="21"/>
        <v>0</v>
      </c>
    </row>
    <row r="773" spans="1:26" ht="12.65" customHeight="1" x14ac:dyDescent="0.3">
      <c r="A773" s="160" t="str">
        <f>RIGHT($C$84,3)&amp;"*"&amp;RIGHT($C$83,4)&amp;"*"&amp;AQ$55&amp;"*"&amp;"A"</f>
        <v>o 2*085*7390*A</v>
      </c>
      <c r="B773" s="160">
        <f>ROUND(AQ59,0)</f>
        <v>0</v>
      </c>
      <c r="C773" s="222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2">
        <f>IF(AQ81&gt;0,ROUND(AQ81,2),0)</f>
        <v>0</v>
      </c>
      <c r="U773" s="160"/>
      <c r="X773" s="160"/>
      <c r="Y773" s="160"/>
      <c r="Z773" s="160">
        <f t="shared" si="21"/>
        <v>0</v>
      </c>
    </row>
    <row r="774" spans="1:26" ht="12.65" customHeight="1" x14ac:dyDescent="0.3">
      <c r="A774" s="160" t="str">
        <f>RIGHT($C$84,3)&amp;"*"&amp;RIGHT($C$83,4)&amp;"*"&amp;AR$55&amp;"*"&amp;"A"</f>
        <v>o 2*085*7400*A</v>
      </c>
      <c r="B774" s="160">
        <f>ROUND(AR59,0)</f>
        <v>9751</v>
      </c>
      <c r="C774" s="222">
        <f>ROUND(AR60,2)</f>
        <v>34.97</v>
      </c>
      <c r="D774" s="160">
        <f>ROUND(AR61,0)</f>
        <v>3012236</v>
      </c>
      <c r="E774" s="160">
        <f>ROUND(AR62,0)</f>
        <v>679796</v>
      </c>
      <c r="F774" s="160">
        <f>ROUND(AR63,0)</f>
        <v>-40000</v>
      </c>
      <c r="G774" s="160">
        <f>ROUND(AR64,0)</f>
        <v>135613</v>
      </c>
      <c r="H774" s="160">
        <f>ROUND(AR65,0)</f>
        <v>4650</v>
      </c>
      <c r="I774" s="160">
        <f>ROUND(AR66,0)</f>
        <v>269649</v>
      </c>
      <c r="J774" s="160">
        <f>ROUND(AR67,0)</f>
        <v>126918</v>
      </c>
      <c r="K774" s="160">
        <f>ROUND(AR68,0)</f>
        <v>111607</v>
      </c>
      <c r="L774" s="160">
        <f>ROUND(AR70,0)</f>
        <v>0</v>
      </c>
      <c r="M774" s="160">
        <f>ROUND(AR71,0)</f>
        <v>4435716</v>
      </c>
      <c r="N774" s="160">
        <f>ROUND(AR76,0)</f>
        <v>3737</v>
      </c>
      <c r="O774" s="160">
        <f>ROUND(AR74,0)</f>
        <v>6399431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14</v>
      </c>
      <c r="T774" s="222">
        <f>IF(AR81&gt;0,ROUND(AR81,2),0)</f>
        <v>0</v>
      </c>
      <c r="U774" s="160"/>
      <c r="X774" s="160"/>
      <c r="Y774" s="160"/>
      <c r="Z774" s="160">
        <f t="shared" si="21"/>
        <v>0</v>
      </c>
    </row>
    <row r="775" spans="1:26" ht="12.65" customHeight="1" x14ac:dyDescent="0.3">
      <c r="A775" s="160" t="str">
        <f>RIGHT($C$84,3)&amp;"*"&amp;RIGHT($C$83,4)&amp;"*"&amp;AS$55&amp;"*"&amp;"A"</f>
        <v>o 2*085*7410*A</v>
      </c>
      <c r="B775" s="160">
        <f>ROUND(AS59,0)</f>
        <v>0</v>
      </c>
      <c r="C775" s="222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2">
        <f>IF(AS81&gt;0,ROUND(AS81,2),0)</f>
        <v>0</v>
      </c>
      <c r="U775" s="160"/>
      <c r="X775" s="160"/>
      <c r="Y775" s="160"/>
      <c r="Z775" s="160">
        <f t="shared" si="21"/>
        <v>1061892</v>
      </c>
    </row>
    <row r="776" spans="1:26" ht="12.65" customHeight="1" x14ac:dyDescent="0.3">
      <c r="A776" s="160" t="str">
        <f>RIGHT($C$84,3)&amp;"*"&amp;RIGHT($C$83,4)&amp;"*"&amp;AT$55&amp;"*"&amp;"A"</f>
        <v>o 2*085*7420*A</v>
      </c>
      <c r="B776" s="160">
        <f>ROUND(AT59,0)</f>
        <v>0</v>
      </c>
      <c r="C776" s="222">
        <f>ROUND(AT60,2)</f>
        <v>0</v>
      </c>
      <c r="D776" s="160">
        <f>ROUND(AT61,0)</f>
        <v>0</v>
      </c>
      <c r="E776" s="160">
        <f>ROUND(AT62,0)</f>
        <v>0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>
        <f>ROUND(AT67,0)</f>
        <v>0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2">
        <f>IF(AT81&gt;0,ROUND(AT81,2),0)</f>
        <v>0</v>
      </c>
      <c r="U776" s="160"/>
      <c r="X776" s="160"/>
      <c r="Y776" s="160"/>
      <c r="Z776" s="160">
        <f t="shared" si="21"/>
        <v>0</v>
      </c>
    </row>
    <row r="777" spans="1:26" ht="12.65" customHeight="1" x14ac:dyDescent="0.3">
      <c r="A777" s="160" t="str">
        <f>RIGHT($C$84,3)&amp;"*"&amp;RIGHT($C$83,4)&amp;"*"&amp;AU$55&amp;"*"&amp;"A"</f>
        <v>o 2*085*7430*A</v>
      </c>
      <c r="B777" s="160">
        <f>ROUND(AU59,0)</f>
        <v>0</v>
      </c>
      <c r="C777" s="222">
        <f>ROUND(AU60,2)</f>
        <v>0</v>
      </c>
      <c r="D777" s="160">
        <f>ROUND(AU61,0)</f>
        <v>0</v>
      </c>
      <c r="E777" s="160">
        <f>ROUND(AU62,0)</f>
        <v>0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2">
        <f>IF(AU81&gt;0,ROUND(AU81,2),0)</f>
        <v>0</v>
      </c>
      <c r="U777" s="160"/>
      <c r="X777" s="160"/>
      <c r="Y777" s="160"/>
      <c r="Z777" s="160">
        <f t="shared" si="21"/>
        <v>0</v>
      </c>
    </row>
    <row r="778" spans="1:26" ht="12.65" customHeight="1" x14ac:dyDescent="0.3">
      <c r="A778" s="160" t="str">
        <f>RIGHT($C$84,3)&amp;"*"&amp;RIGHT($C$83,4)&amp;"*"&amp;AV$55&amp;"*"&amp;"A"</f>
        <v>o 2*085*7490*A</v>
      </c>
      <c r="B778" s="160"/>
      <c r="C778" s="222">
        <f>ROUND(AV60,2)</f>
        <v>17.63</v>
      </c>
      <c r="D778" s="160">
        <f>ROUND(AV61,0)</f>
        <v>1546456</v>
      </c>
      <c r="E778" s="160">
        <f>ROUND(AV62,0)</f>
        <v>349001</v>
      </c>
      <c r="F778" s="160">
        <f>ROUND(AV63,0)</f>
        <v>337523</v>
      </c>
      <c r="G778" s="160">
        <f>ROUND(AV64,0)</f>
        <v>82235</v>
      </c>
      <c r="H778" s="160">
        <f>ROUND(AV65,0)</f>
        <v>35</v>
      </c>
      <c r="I778" s="160">
        <f>ROUND(AV66,0)</f>
        <v>4456</v>
      </c>
      <c r="J778" s="160">
        <f>ROUND(AV67,0)</f>
        <v>157242</v>
      </c>
      <c r="K778" s="160">
        <f>ROUND(AV68,0)</f>
        <v>0</v>
      </c>
      <c r="L778" s="160">
        <f>ROUND(AV70,0)</f>
        <v>24282</v>
      </c>
      <c r="M778" s="160">
        <f>ROUND(AV71,0)</f>
        <v>2471618</v>
      </c>
      <c r="N778" s="160">
        <f>ROUND(AV76,0)</f>
        <v>4630</v>
      </c>
      <c r="O778" s="160">
        <f>ROUND(AV74,0)</f>
        <v>8363997</v>
      </c>
      <c r="P778" s="160">
        <f>IF(AV77&gt;0,ROUND(AV77,0),0)</f>
        <v>0</v>
      </c>
      <c r="Q778" s="160">
        <f>IF(AV78&gt;0,ROUND(AV78,0),0)</f>
        <v>1690</v>
      </c>
      <c r="R778" s="160">
        <f>IF(AV79&gt;0,ROUND(AV79,0),0)</f>
        <v>32331</v>
      </c>
      <c r="S778" s="160">
        <f>IF(AV80&gt;0,ROUND(AV80,0),0)</f>
        <v>4</v>
      </c>
      <c r="T778" s="222">
        <f>IF(AV81&gt;0,ROUND(AV81,2),0)</f>
        <v>0</v>
      </c>
      <c r="U778" s="160"/>
      <c r="X778" s="160"/>
      <c r="Y778" s="160"/>
      <c r="Z778" s="160">
        <f t="shared" si="21"/>
        <v>0</v>
      </c>
    </row>
    <row r="779" spans="1:26" ht="12.65" customHeight="1" x14ac:dyDescent="0.3">
      <c r="A779" s="160" t="str">
        <f>RIGHT($C$84,3)&amp;"*"&amp;RIGHT($C$83,4)&amp;"*"&amp;AW$55&amp;"*"&amp;"A"</f>
        <v>o 2*085*8200*A</v>
      </c>
      <c r="B779" s="160"/>
      <c r="C779" s="222">
        <f>ROUND(AW60,2)</f>
        <v>0</v>
      </c>
      <c r="D779" s="160">
        <f>ROUND(AW61,0)</f>
        <v>0</v>
      </c>
      <c r="E779" s="160">
        <f>ROUND(AW62,0)</f>
        <v>0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>
        <f>ROUND(AW67,0)</f>
        <v>0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22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o 2*085*8310*A</v>
      </c>
      <c r="B780" s="160"/>
      <c r="C780" s="222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2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o 2*085*8320*A</v>
      </c>
      <c r="B781" s="160">
        <f>ROUND(AY59,0)</f>
        <v>12819</v>
      </c>
      <c r="C781" s="222">
        <f>ROUND(AY60,2)</f>
        <v>16.07</v>
      </c>
      <c r="D781" s="160">
        <f>ROUND(AY61,0)</f>
        <v>784265</v>
      </c>
      <c r="E781" s="160">
        <f>ROUND(AY62,0)</f>
        <v>176992</v>
      </c>
      <c r="F781" s="160">
        <f>ROUND(AY63,0)</f>
        <v>0</v>
      </c>
      <c r="G781" s="160">
        <f>ROUND(AY64,0)</f>
        <v>348048</v>
      </c>
      <c r="H781" s="160">
        <f>ROUND(AY65,0)</f>
        <v>309</v>
      </c>
      <c r="I781" s="160">
        <f>ROUND(AY66,0)</f>
        <v>24247</v>
      </c>
      <c r="J781" s="160">
        <f>ROUND(AY67,0)</f>
        <v>132054</v>
      </c>
      <c r="K781" s="160">
        <f>ROUND(AY68,0)</f>
        <v>1652</v>
      </c>
      <c r="L781" s="160">
        <f>ROUND(AY70,0)</f>
        <v>600075</v>
      </c>
      <c r="M781" s="160">
        <f>ROUND(AY71,0)</f>
        <v>874014</v>
      </c>
      <c r="N781" s="160"/>
      <c r="O781" s="160"/>
      <c r="P781" s="160">
        <f>IF(AY77&gt;0,ROUND(AY77,0),0)</f>
        <v>0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22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o 2*085*8330*A</v>
      </c>
      <c r="B782" s="160">
        <f>ROUND(AZ59,0)</f>
        <v>0</v>
      </c>
      <c r="C782" s="222">
        <f>ROUND(AZ60,2)</f>
        <v>0</v>
      </c>
      <c r="D782" s="160">
        <f>ROUND(AZ61,0)</f>
        <v>0</v>
      </c>
      <c r="E782" s="160">
        <f>ROUND(AZ62,0)</f>
        <v>0</v>
      </c>
      <c r="F782" s="160">
        <f>ROUND(AZ63,0)</f>
        <v>0</v>
      </c>
      <c r="G782" s="160">
        <f>ROUND(AZ64,0)</f>
        <v>0</v>
      </c>
      <c r="H782" s="160">
        <f>ROUND(AZ65,0)</f>
        <v>0</v>
      </c>
      <c r="I782" s="160">
        <f>ROUND(AZ66,0)</f>
        <v>0</v>
      </c>
      <c r="J782" s="160">
        <f>ROUND(AZ67,0)</f>
        <v>0</v>
      </c>
      <c r="K782" s="160">
        <f>ROUND(AZ68,0)</f>
        <v>0</v>
      </c>
      <c r="L782" s="160">
        <f>ROUND(AZ70,0)</f>
        <v>0</v>
      </c>
      <c r="M782" s="160">
        <f>ROUND(AZ71,0)</f>
        <v>0</v>
      </c>
      <c r="N782" s="160"/>
      <c r="O782" s="160"/>
      <c r="P782" s="160">
        <f>IF(AZ77&gt;0,ROUND(AZ77,0),0)</f>
        <v>0</v>
      </c>
      <c r="Q782" s="160">
        <f>IF(AZ78&gt;0,ROUND(AZ78,0),0)</f>
        <v>0</v>
      </c>
      <c r="R782" s="160">
        <f>IF(AZ79&gt;0,ROUND(AZ79,0),0)</f>
        <v>0</v>
      </c>
      <c r="S782" s="160">
        <f>IF(AZ80&gt;0,ROUND(AZ80,0),0)</f>
        <v>0</v>
      </c>
      <c r="T782" s="222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o 2*085*8350*A</v>
      </c>
      <c r="B783" s="160">
        <f>ROUND(BA59,0)</f>
        <v>0</v>
      </c>
      <c r="C783" s="222">
        <f>ROUND(BA60,2)</f>
        <v>0</v>
      </c>
      <c r="D783" s="160">
        <f>ROUND(BA61,0)</f>
        <v>0</v>
      </c>
      <c r="E783" s="160">
        <f>ROUND(BA62,0)</f>
        <v>0</v>
      </c>
      <c r="F783" s="160">
        <f>ROUND(BA63,0)</f>
        <v>0</v>
      </c>
      <c r="G783" s="160">
        <f>ROUND(BA64,0)</f>
        <v>34743</v>
      </c>
      <c r="H783" s="160">
        <f>ROUND(BA65,0)</f>
        <v>0</v>
      </c>
      <c r="I783" s="160">
        <f>ROUND(BA66,0)</f>
        <v>281372</v>
      </c>
      <c r="J783" s="160">
        <f>ROUND(BA67,0)</f>
        <v>0</v>
      </c>
      <c r="K783" s="160">
        <f>ROUND(BA68,0)</f>
        <v>0</v>
      </c>
      <c r="L783" s="160">
        <f>ROUND(BA70,0)</f>
        <v>0</v>
      </c>
      <c r="M783" s="160">
        <f>ROUND(BA71,0)</f>
        <v>316115</v>
      </c>
      <c r="N783" s="160"/>
      <c r="O783" s="160"/>
      <c r="P783" s="160">
        <f>IF(BA77&gt;0,ROUND(BA77,0),0)</f>
        <v>0</v>
      </c>
      <c r="Q783" s="160">
        <f>IF(BA78&gt;0,ROUND(BA78,0),0)</f>
        <v>2419</v>
      </c>
      <c r="R783" s="160">
        <f>IF(BA79&gt;0,ROUND(BA79,0),0)</f>
        <v>0</v>
      </c>
      <c r="S783" s="160">
        <f>IF(BA80&gt;0,ROUND(BA80,0),0)</f>
        <v>0</v>
      </c>
      <c r="T783" s="222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o 2*085*8360*A</v>
      </c>
      <c r="B784" s="160"/>
      <c r="C784" s="222">
        <f>ROUND(BB60,2)</f>
        <v>0</v>
      </c>
      <c r="D784" s="160">
        <f>ROUND(BB61,0)</f>
        <v>0</v>
      </c>
      <c r="E784" s="160">
        <f>ROUND(BB62,0)</f>
        <v>0</v>
      </c>
      <c r="F784" s="160">
        <f>ROUND(BB63,0)</f>
        <v>0</v>
      </c>
      <c r="G784" s="160">
        <f>ROUND(BB64,0)</f>
        <v>0</v>
      </c>
      <c r="H784" s="160">
        <f>ROUND(BB65,0)</f>
        <v>0</v>
      </c>
      <c r="I784" s="160">
        <f>ROUND(BB66,0)</f>
        <v>0</v>
      </c>
      <c r="J784" s="160">
        <f>ROUND(BB67,0)</f>
        <v>2629</v>
      </c>
      <c r="K784" s="160">
        <f>ROUND(BB68,0)</f>
        <v>0</v>
      </c>
      <c r="L784" s="160">
        <f>ROUND(BB70,0)</f>
        <v>0</v>
      </c>
      <c r="M784" s="160">
        <f>ROUND(BB71,0)</f>
        <v>2629</v>
      </c>
      <c r="N784" s="160"/>
      <c r="O784" s="160"/>
      <c r="P784" s="160">
        <f>IF(BB77&gt;0,ROUND(BB77,0),0)</f>
        <v>0</v>
      </c>
      <c r="Q784" s="160">
        <f>IF(BB78&gt;0,ROUND(BB78,0),0)</f>
        <v>0</v>
      </c>
      <c r="R784" s="160">
        <f>IF(BB79&gt;0,ROUND(BB79,0),0)</f>
        <v>0</v>
      </c>
      <c r="S784" s="160">
        <f>IF(BB80&gt;0,ROUND(BB80,0),0)</f>
        <v>0</v>
      </c>
      <c r="T784" s="222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o 2*085*8370*A</v>
      </c>
      <c r="B785" s="160"/>
      <c r="C785" s="222">
        <f>ROUND(BC60,2)</f>
        <v>0</v>
      </c>
      <c r="D785" s="160">
        <f>ROUND(BC61,0)</f>
        <v>0</v>
      </c>
      <c r="E785" s="160">
        <f>ROUND(BC62,0)</f>
        <v>0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>
        <f>ROUND(BC67,0)</f>
        <v>0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2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o 2*085*8420*A</v>
      </c>
      <c r="B786" s="160"/>
      <c r="C786" s="222">
        <f>ROUND(BD60,2)</f>
        <v>7.9</v>
      </c>
      <c r="D786" s="160">
        <f>ROUND(BD61,0)</f>
        <v>490643</v>
      </c>
      <c r="E786" s="160">
        <f>ROUND(BD62,0)</f>
        <v>110727</v>
      </c>
      <c r="F786" s="160">
        <f>ROUND(BD63,0)</f>
        <v>0</v>
      </c>
      <c r="G786" s="160">
        <f>ROUND(BD64,0)</f>
        <v>66954</v>
      </c>
      <c r="H786" s="160">
        <f>ROUND(BD65,0)</f>
        <v>2658</v>
      </c>
      <c r="I786" s="160">
        <f>ROUND(BD66,0)</f>
        <v>453</v>
      </c>
      <c r="J786" s="160">
        <f>ROUND(BD67,0)</f>
        <v>82688</v>
      </c>
      <c r="K786" s="160">
        <f>ROUND(BD68,0)</f>
        <v>38731</v>
      </c>
      <c r="L786" s="160">
        <f>ROUND(BD70,0)</f>
        <v>0</v>
      </c>
      <c r="M786" s="160">
        <f>ROUND(BD71,0)</f>
        <v>835165</v>
      </c>
      <c r="N786" s="160"/>
      <c r="O786" s="160"/>
      <c r="P786" s="160">
        <f>IF(BD77&gt;0,ROUND(BD77,0),0)</f>
        <v>0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2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o 2*085*8430*A</v>
      </c>
      <c r="B787" s="160">
        <f>ROUND(BE59,0)</f>
        <v>140132</v>
      </c>
      <c r="C787" s="222">
        <f>ROUND(BE60,2)</f>
        <v>17.260000000000002</v>
      </c>
      <c r="D787" s="160">
        <f>ROUND(BE61,0)</f>
        <v>1186674</v>
      </c>
      <c r="E787" s="160">
        <f>ROUND(BE62,0)</f>
        <v>267807</v>
      </c>
      <c r="F787" s="160">
        <f>ROUND(BE63,0)</f>
        <v>3303</v>
      </c>
      <c r="G787" s="160">
        <f>ROUND(BE64,0)</f>
        <v>193629</v>
      </c>
      <c r="H787" s="160">
        <f>ROUND(BE65,0)</f>
        <v>750653</v>
      </c>
      <c r="I787" s="160">
        <f>ROUND(BE66,0)</f>
        <v>320634</v>
      </c>
      <c r="J787" s="160">
        <f>ROUND(BE67,0)</f>
        <v>406596</v>
      </c>
      <c r="K787" s="160">
        <f>ROUND(BE68,0)</f>
        <v>21269</v>
      </c>
      <c r="L787" s="160">
        <f>ROUND(BE70,0)</f>
        <v>0</v>
      </c>
      <c r="M787" s="160">
        <f>ROUND(BE71,0)</f>
        <v>3294260</v>
      </c>
      <c r="N787" s="160"/>
      <c r="O787" s="160"/>
      <c r="P787" s="160">
        <f>IF(BE77&gt;0,ROUND(BE77,0),0)</f>
        <v>0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2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o 2*085*8460*A</v>
      </c>
      <c r="B788" s="160"/>
      <c r="C788" s="222">
        <f>ROUND(BF60,2)</f>
        <v>23.28</v>
      </c>
      <c r="D788" s="160">
        <f>ROUND(BF61,0)</f>
        <v>999364</v>
      </c>
      <c r="E788" s="160">
        <f>ROUND(BF62,0)</f>
        <v>225535</v>
      </c>
      <c r="F788" s="160">
        <f>ROUND(BF63,0)</f>
        <v>0</v>
      </c>
      <c r="G788" s="160">
        <f>ROUND(BF64,0)</f>
        <v>191368</v>
      </c>
      <c r="H788" s="160">
        <f>ROUND(BF65,0)</f>
        <v>0</v>
      </c>
      <c r="I788" s="160">
        <f>ROUND(BF66,0)</f>
        <v>32086</v>
      </c>
      <c r="J788" s="160">
        <f>ROUND(BF67,0)</f>
        <v>105927</v>
      </c>
      <c r="K788" s="160">
        <f>ROUND(BF68,0)</f>
        <v>0</v>
      </c>
      <c r="L788" s="160">
        <f>ROUND(BF70,0)</f>
        <v>0</v>
      </c>
      <c r="M788" s="160">
        <f>ROUND(BF71,0)</f>
        <v>1556758</v>
      </c>
      <c r="N788" s="160"/>
      <c r="O788" s="160"/>
      <c r="P788" s="160">
        <f>IF(BF77&gt;0,ROUND(BF77,0),0)</f>
        <v>0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2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o 2*085*8470*A</v>
      </c>
      <c r="B789" s="160"/>
      <c r="C789" s="222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42791</v>
      </c>
      <c r="H789" s="160">
        <f>ROUND(BG65,0)</f>
        <v>255798</v>
      </c>
      <c r="I789" s="160">
        <f>ROUND(BG66,0)</f>
        <v>-12067</v>
      </c>
      <c r="J789" s="160">
        <f>ROUND(BG67,0)</f>
        <v>0</v>
      </c>
      <c r="K789" s="160">
        <f>ROUND(BG68,0)</f>
        <v>0</v>
      </c>
      <c r="L789" s="160">
        <f>ROUND(BG70,0)</f>
        <v>0</v>
      </c>
      <c r="M789" s="160">
        <f>ROUND(BG71,0)</f>
        <v>309526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2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o 2*085*8480*A</v>
      </c>
      <c r="B790" s="160"/>
      <c r="C790" s="222">
        <f>ROUND(BH60,2)</f>
        <v>16.46</v>
      </c>
      <c r="D790" s="160">
        <f>ROUND(BH61,0)</f>
        <v>1453492</v>
      </c>
      <c r="E790" s="160">
        <f>ROUND(BH62,0)</f>
        <v>328022</v>
      </c>
      <c r="F790" s="160">
        <f>ROUND(BH63,0)</f>
        <v>0</v>
      </c>
      <c r="G790" s="160">
        <f>ROUND(BH64,0)</f>
        <v>618718</v>
      </c>
      <c r="H790" s="160">
        <f>ROUND(BH65,0)</f>
        <v>772</v>
      </c>
      <c r="I790" s="160">
        <f>ROUND(BH66,0)</f>
        <v>1681661</v>
      </c>
      <c r="J790" s="160">
        <f>ROUND(BH67,0)</f>
        <v>141379</v>
      </c>
      <c r="K790" s="160">
        <f>ROUND(BH68,0)</f>
        <v>0</v>
      </c>
      <c r="L790" s="160">
        <f>ROUND(BH70,0)</f>
        <v>0</v>
      </c>
      <c r="M790" s="160">
        <f>ROUND(BH71,0)</f>
        <v>4512780</v>
      </c>
      <c r="N790" s="160"/>
      <c r="O790" s="160"/>
      <c r="P790" s="160">
        <f>IF(BH77&gt;0,ROUND(BH77,0),0)</f>
        <v>0</v>
      </c>
      <c r="Q790" s="160">
        <f>IF(BH78&gt;0,ROUND(BH78,0),0)</f>
        <v>0</v>
      </c>
      <c r="R790" s="160">
        <f>IF(BH79&gt;0,ROUND(BH79,0),0)</f>
        <v>0</v>
      </c>
      <c r="S790" s="160">
        <f>IF(BH80&gt;0,ROUND(BH80,0),0)</f>
        <v>0</v>
      </c>
      <c r="T790" s="222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o 2*085*8490*A</v>
      </c>
      <c r="B791" s="160"/>
      <c r="C791" s="222">
        <f>ROUND(BI60,2)</f>
        <v>0</v>
      </c>
      <c r="D791" s="160">
        <f>ROUND(BI61,0)</f>
        <v>0</v>
      </c>
      <c r="E791" s="160">
        <f>ROUND(BI62,0)</f>
        <v>0</v>
      </c>
      <c r="F791" s="160">
        <f>ROUND(BI63,0)</f>
        <v>0</v>
      </c>
      <c r="G791" s="160">
        <f>ROUND(BI64,0)</f>
        <v>0</v>
      </c>
      <c r="H791" s="160">
        <f>ROUND(BI65,0)</f>
        <v>0</v>
      </c>
      <c r="I791" s="160">
        <f>ROUND(BI66,0)</f>
        <v>0</v>
      </c>
      <c r="J791" s="160">
        <f>ROUND(BI67,0)</f>
        <v>0</v>
      </c>
      <c r="K791" s="160">
        <f>ROUND(BI68,0)</f>
        <v>0</v>
      </c>
      <c r="L791" s="160">
        <f>ROUND(BI70,0)</f>
        <v>0</v>
      </c>
      <c r="M791" s="160">
        <f>ROUND(BI71,0)</f>
        <v>0</v>
      </c>
      <c r="N791" s="160"/>
      <c r="O791" s="160"/>
      <c r="P791" s="160">
        <f>IF(BI77&gt;0,ROUND(BI77,0),0)</f>
        <v>0</v>
      </c>
      <c r="Q791" s="160">
        <f>IF(BI78&gt;0,ROUND(BI78,0),0)</f>
        <v>0</v>
      </c>
      <c r="R791" s="160">
        <f>IF(BI79&gt;0,ROUND(BI79,0),0)</f>
        <v>82283</v>
      </c>
      <c r="S791" s="160">
        <f>IF(BI80&gt;0,ROUND(BI80,0),0)</f>
        <v>0</v>
      </c>
      <c r="T791" s="222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o 2*085*8510*A</v>
      </c>
      <c r="B792" s="160"/>
      <c r="C792" s="222">
        <f>ROUND(BJ60,2)</f>
        <v>6.52</v>
      </c>
      <c r="D792" s="160">
        <f>ROUND(BJ61,0)</f>
        <v>726309</v>
      </c>
      <c r="E792" s="160">
        <f>ROUND(BJ62,0)</f>
        <v>163912</v>
      </c>
      <c r="F792" s="160">
        <f>ROUND(BJ63,0)</f>
        <v>104853</v>
      </c>
      <c r="G792" s="160">
        <f>ROUND(BJ64,0)</f>
        <v>8332</v>
      </c>
      <c r="H792" s="160">
        <f>ROUND(BJ65,0)</f>
        <v>417</v>
      </c>
      <c r="I792" s="160">
        <f>ROUND(BJ66,0)</f>
        <v>70881</v>
      </c>
      <c r="J792" s="160">
        <f>ROUND(BJ67,0)</f>
        <v>36808</v>
      </c>
      <c r="K792" s="160">
        <f>ROUND(BJ68,0)</f>
        <v>2923</v>
      </c>
      <c r="L792" s="160">
        <f>ROUND(BJ70,0)</f>
        <v>0</v>
      </c>
      <c r="M792" s="160">
        <f>ROUND(BJ71,0)</f>
        <v>1235402</v>
      </c>
      <c r="N792" s="160"/>
      <c r="O792" s="160"/>
      <c r="P792" s="160">
        <f>IF(BJ77&gt;0,ROUND(BJ77,0),0)</f>
        <v>0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2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o 2*085*8530*A</v>
      </c>
      <c r="B793" s="160"/>
      <c r="C793" s="222">
        <f>ROUND(BK60,2)</f>
        <v>14.03</v>
      </c>
      <c r="D793" s="160">
        <f>ROUND(BK61,0)</f>
        <v>921558</v>
      </c>
      <c r="E793" s="160">
        <f>ROUND(BK62,0)</f>
        <v>207976</v>
      </c>
      <c r="F793" s="160">
        <f>ROUND(BK63,0)</f>
        <v>14223</v>
      </c>
      <c r="G793" s="160">
        <f>ROUND(BK64,0)</f>
        <v>12471</v>
      </c>
      <c r="H793" s="160">
        <f>ROUND(BK65,0)</f>
        <v>5158</v>
      </c>
      <c r="I793" s="160">
        <f>ROUND(BK66,0)</f>
        <v>488393</v>
      </c>
      <c r="J793" s="160">
        <f>ROUND(BK67,0)</f>
        <v>128933</v>
      </c>
      <c r="K793" s="160">
        <f>ROUND(BK68,0)</f>
        <v>20929</v>
      </c>
      <c r="L793" s="160">
        <f>ROUND(BK70,0)</f>
        <v>0</v>
      </c>
      <c r="M793" s="160">
        <f>ROUND(BK71,0)</f>
        <v>1801538</v>
      </c>
      <c r="N793" s="160"/>
      <c r="O793" s="160"/>
      <c r="P793" s="160">
        <f>IF(BK77&gt;0,ROUND(BK77,0),0)</f>
        <v>0</v>
      </c>
      <c r="Q793" s="160">
        <f>IF(BK78&gt;0,ROUND(BK78,0),0)</f>
        <v>0</v>
      </c>
      <c r="R793" s="160">
        <f>IF(BK79&gt;0,ROUND(BK79,0),0)</f>
        <v>0</v>
      </c>
      <c r="S793" s="160">
        <f>IF(BK80&gt;0,ROUND(BK80,0),0)</f>
        <v>0</v>
      </c>
      <c r="T793" s="222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o 2*085*8560*A</v>
      </c>
      <c r="B794" s="160"/>
      <c r="C794" s="222">
        <f>ROUND(BL60,2)</f>
        <v>14.13</v>
      </c>
      <c r="D794" s="160">
        <f>ROUND(BL61,0)</f>
        <v>657098</v>
      </c>
      <c r="E794" s="160">
        <f>ROUND(BL62,0)</f>
        <v>148293</v>
      </c>
      <c r="F794" s="160">
        <f>ROUND(BL63,0)</f>
        <v>0</v>
      </c>
      <c r="G794" s="160">
        <f>ROUND(BL64,0)</f>
        <v>15478</v>
      </c>
      <c r="H794" s="160">
        <f>ROUND(BL65,0)</f>
        <v>0</v>
      </c>
      <c r="I794" s="160">
        <f>ROUND(BL66,0)</f>
        <v>25277</v>
      </c>
      <c r="J794" s="160">
        <f>ROUND(BL67,0)</f>
        <v>67277</v>
      </c>
      <c r="K794" s="160">
        <f>ROUND(BL68,0)</f>
        <v>0</v>
      </c>
      <c r="L794" s="160">
        <f>ROUND(BL70,0)</f>
        <v>0</v>
      </c>
      <c r="M794" s="160">
        <f>ROUND(BL71,0)</f>
        <v>913929</v>
      </c>
      <c r="N794" s="160"/>
      <c r="O794" s="160"/>
      <c r="P794" s="160">
        <f>IF(BL77&gt;0,ROUND(BL77,0),0)</f>
        <v>0</v>
      </c>
      <c r="Q794" s="160">
        <f>IF(BL78&gt;0,ROUND(BL78,0),0)</f>
        <v>0</v>
      </c>
      <c r="R794" s="160">
        <f>IF(BL79&gt;0,ROUND(BL79,0),0)</f>
        <v>0</v>
      </c>
      <c r="S794" s="160">
        <f>IF(BL80&gt;0,ROUND(BL80,0),0)</f>
        <v>0</v>
      </c>
      <c r="T794" s="222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o 2*085*8590*A</v>
      </c>
      <c r="B795" s="160"/>
      <c r="C795" s="222">
        <f>ROUND(BM60,2)</f>
        <v>4.6500000000000004</v>
      </c>
      <c r="D795" s="160">
        <f>ROUND(BM61,0)</f>
        <v>310547</v>
      </c>
      <c r="E795" s="160">
        <f>ROUND(BM62,0)</f>
        <v>70084</v>
      </c>
      <c r="F795" s="160">
        <f>ROUND(BM63,0)</f>
        <v>0</v>
      </c>
      <c r="G795" s="160">
        <f>ROUND(BM64,0)</f>
        <v>3652</v>
      </c>
      <c r="H795" s="160">
        <f>ROUND(BM65,0)</f>
        <v>0</v>
      </c>
      <c r="I795" s="160">
        <f>ROUND(BM66,0)</f>
        <v>32486</v>
      </c>
      <c r="J795" s="160">
        <f>ROUND(BM67,0)</f>
        <v>12430</v>
      </c>
      <c r="K795" s="160">
        <f>ROUND(BM68,0)</f>
        <v>0</v>
      </c>
      <c r="L795" s="160">
        <f>ROUND(BM70,0)</f>
        <v>0</v>
      </c>
      <c r="M795" s="160">
        <f>ROUND(BM71,0)</f>
        <v>434665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22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o 2*085*8610*A</v>
      </c>
      <c r="B796" s="160"/>
      <c r="C796" s="222">
        <f>ROUND(BN60,2)</f>
        <v>20.47</v>
      </c>
      <c r="D796" s="160">
        <f>ROUND(BN61,0)</f>
        <v>2086880</v>
      </c>
      <c r="E796" s="160">
        <f>ROUND(BN62,0)</f>
        <v>470963</v>
      </c>
      <c r="F796" s="160">
        <f>ROUND(BN63,0)</f>
        <v>79651</v>
      </c>
      <c r="G796" s="160">
        <f>ROUND(BN64,0)</f>
        <v>943179</v>
      </c>
      <c r="H796" s="160">
        <f>ROUND(BN65,0)</f>
        <v>5622</v>
      </c>
      <c r="I796" s="160">
        <f>ROUND(BN66,0)</f>
        <v>101993</v>
      </c>
      <c r="J796" s="160">
        <f>ROUND(BN67,0)</f>
        <v>382592</v>
      </c>
      <c r="K796" s="160">
        <f>ROUND(BN68,0)</f>
        <v>106037</v>
      </c>
      <c r="L796" s="160">
        <f>ROUND(BN70,0)</f>
        <v>0</v>
      </c>
      <c r="M796" s="160">
        <f>ROUND(BN71,0)</f>
        <v>4270047</v>
      </c>
      <c r="N796" s="160"/>
      <c r="O796" s="160"/>
      <c r="P796" s="160">
        <f>IF(BN77&gt;0,ROUND(BN77,0),0)</f>
        <v>0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22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o 2*085*8620*A</v>
      </c>
      <c r="B797" s="160"/>
      <c r="C797" s="222">
        <f>ROUND(BO60,2)</f>
        <v>0.41</v>
      </c>
      <c r="D797" s="160">
        <f>ROUND(BO61,0)</f>
        <v>35241</v>
      </c>
      <c r="E797" s="160">
        <f>ROUND(BO62,0)</f>
        <v>7953</v>
      </c>
      <c r="F797" s="160">
        <f>ROUND(BO63,0)</f>
        <v>0</v>
      </c>
      <c r="G797" s="160">
        <f>ROUND(BO64,0)</f>
        <v>36929</v>
      </c>
      <c r="H797" s="160">
        <f>ROUND(BO65,0)</f>
        <v>0</v>
      </c>
      <c r="I797" s="160">
        <f>ROUND(BO66,0)</f>
        <v>4908</v>
      </c>
      <c r="J797" s="160">
        <f>ROUND(BO67,0)</f>
        <v>8252</v>
      </c>
      <c r="K797" s="160">
        <f>ROUND(BO68,0)</f>
        <v>0</v>
      </c>
      <c r="L797" s="160">
        <f>ROUND(BO70,0)</f>
        <v>0</v>
      </c>
      <c r="M797" s="160">
        <f>ROUND(BO71,0)</f>
        <v>93640</v>
      </c>
      <c r="N797" s="160"/>
      <c r="O797" s="160"/>
      <c r="P797" s="160">
        <f>IF(BO77&gt;0,ROUND(BO77,0),0)</f>
        <v>0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2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o 2*085*8630*A</v>
      </c>
      <c r="B798" s="160"/>
      <c r="C798" s="222">
        <f>ROUND(BP60,2)</f>
        <v>1</v>
      </c>
      <c r="D798" s="160">
        <f>ROUND(BP61,0)</f>
        <v>100207</v>
      </c>
      <c r="E798" s="160">
        <f>ROUND(BP62,0)</f>
        <v>22615</v>
      </c>
      <c r="F798" s="160">
        <f>ROUND(BP63,0)</f>
        <v>0</v>
      </c>
      <c r="G798" s="160">
        <f>ROUND(BP64,0)</f>
        <v>4997</v>
      </c>
      <c r="H798" s="160">
        <f>ROUND(BP65,0)</f>
        <v>0</v>
      </c>
      <c r="I798" s="160">
        <f>ROUND(BP66,0)</f>
        <v>87607</v>
      </c>
      <c r="J798" s="160">
        <f>ROUND(BP67,0)</f>
        <v>9811</v>
      </c>
      <c r="K798" s="160">
        <f>ROUND(BP68,0)</f>
        <v>0</v>
      </c>
      <c r="L798" s="160">
        <f>ROUND(BP70,0)</f>
        <v>0</v>
      </c>
      <c r="M798" s="160">
        <f>ROUND(BP71,0)</f>
        <v>366438</v>
      </c>
      <c r="N798" s="160"/>
      <c r="O798" s="160"/>
      <c r="P798" s="160">
        <f>IF(BP77&gt;0,ROUND(BP77,0),0)</f>
        <v>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2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o 2*085*8640*A</v>
      </c>
      <c r="B799" s="160"/>
      <c r="C799" s="222">
        <f>ROUND(BQ60,2)</f>
        <v>0</v>
      </c>
      <c r="D799" s="160">
        <f>ROUND(BQ61,0)</f>
        <v>0</v>
      </c>
      <c r="E799" s="160">
        <f>ROUND(BQ62,0)</f>
        <v>0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2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o 2*085*8650*A</v>
      </c>
      <c r="B800" s="160"/>
      <c r="C800" s="222">
        <f>ROUND(BR60,2)</f>
        <v>8.52</v>
      </c>
      <c r="D800" s="160">
        <f>ROUND(BR61,0)</f>
        <v>818831</v>
      </c>
      <c r="E800" s="160">
        <f>ROUND(BR62,0)</f>
        <v>184792</v>
      </c>
      <c r="F800" s="160">
        <f>ROUND(BR63,0)</f>
        <v>24175</v>
      </c>
      <c r="G800" s="160">
        <f>ROUND(BR64,0)</f>
        <v>14552</v>
      </c>
      <c r="H800" s="160">
        <f>ROUND(BR65,0)</f>
        <v>4247</v>
      </c>
      <c r="I800" s="160">
        <f>ROUND(BR66,0)</f>
        <v>48099</v>
      </c>
      <c r="J800" s="160">
        <f>ROUND(BR67,0)</f>
        <v>54297</v>
      </c>
      <c r="K800" s="160">
        <f>ROUND(BR68,0)</f>
        <v>0</v>
      </c>
      <c r="L800" s="160">
        <f>ROUND(BR70,0)</f>
        <v>0</v>
      </c>
      <c r="M800" s="160">
        <f>ROUND(BR71,0)</f>
        <v>1263891</v>
      </c>
      <c r="N800" s="160"/>
      <c r="O800" s="160"/>
      <c r="P800" s="160">
        <f>IF(BR77&gt;0,ROUND(BR77,0),0)</f>
        <v>0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2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o 2*085*8660*A</v>
      </c>
      <c r="B801" s="160"/>
      <c r="C801" s="222">
        <f>ROUND(BS60,2)</f>
        <v>0.75</v>
      </c>
      <c r="D801" s="160">
        <f>ROUND(BS61,0)</f>
        <v>82931</v>
      </c>
      <c r="E801" s="160">
        <f>ROUND(BS62,0)</f>
        <v>18716</v>
      </c>
      <c r="F801" s="160">
        <f>ROUND(BS63,0)</f>
        <v>0</v>
      </c>
      <c r="G801" s="160">
        <f>ROUND(BS64,0)</f>
        <v>1612</v>
      </c>
      <c r="H801" s="160">
        <f>ROUND(BS65,0)</f>
        <v>0</v>
      </c>
      <c r="I801" s="160">
        <f>ROUND(BS66,0)</f>
        <v>44</v>
      </c>
      <c r="J801" s="160">
        <f>ROUND(BS67,0)</f>
        <v>18060</v>
      </c>
      <c r="K801" s="160">
        <f>ROUND(BS68,0)</f>
        <v>0</v>
      </c>
      <c r="L801" s="160">
        <f>ROUND(BS70,0)</f>
        <v>0</v>
      </c>
      <c r="M801" s="160">
        <f>ROUND(BS71,0)</f>
        <v>121363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22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o 2*085*8670*A</v>
      </c>
      <c r="B802" s="160"/>
      <c r="C802" s="222">
        <f>ROUND(BT60,2)</f>
        <v>0</v>
      </c>
      <c r="D802" s="160">
        <f>ROUND(BT61,0)</f>
        <v>0</v>
      </c>
      <c r="E802" s="160">
        <f>ROUND(BT62,0)</f>
        <v>0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0</v>
      </c>
      <c r="J802" s="160">
        <f>ROUND(BT67,0)</f>
        <v>0</v>
      </c>
      <c r="K802" s="160">
        <f>ROUND(BT68,0)</f>
        <v>0</v>
      </c>
      <c r="L802" s="160">
        <f>ROUND(BT70,0)</f>
        <v>0</v>
      </c>
      <c r="M802" s="160">
        <f>ROUND(BT71,0)</f>
        <v>0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22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o 2*085*8680*A</v>
      </c>
      <c r="B803" s="160"/>
      <c r="C803" s="222">
        <f>ROUND(BU60,2)</f>
        <v>0</v>
      </c>
      <c r="D803" s="160">
        <f>ROUND(BU61,0)</f>
        <v>0</v>
      </c>
      <c r="E803" s="160">
        <f>ROUND(BU62,0)</f>
        <v>0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>
        <f>ROUND(BU67,0)</f>
        <v>0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2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o 2*085*8690*A</v>
      </c>
      <c r="B804" s="160"/>
      <c r="C804" s="222">
        <f>ROUND(BV60,2)</f>
        <v>12.63</v>
      </c>
      <c r="D804" s="160">
        <f>ROUND(BV61,0)</f>
        <v>648675</v>
      </c>
      <c r="E804" s="160">
        <f>ROUND(BV62,0)</f>
        <v>146392</v>
      </c>
      <c r="F804" s="160">
        <f>ROUND(BV63,0)</f>
        <v>0</v>
      </c>
      <c r="G804" s="160">
        <f>ROUND(BV64,0)</f>
        <v>10422</v>
      </c>
      <c r="H804" s="160">
        <f>ROUND(BV65,0)</f>
        <v>11300</v>
      </c>
      <c r="I804" s="160">
        <f>ROUND(BV66,0)</f>
        <v>48777</v>
      </c>
      <c r="J804" s="160">
        <f>ROUND(BV67,0)</f>
        <v>28799</v>
      </c>
      <c r="K804" s="160">
        <f>ROUND(BV68,0)</f>
        <v>20928</v>
      </c>
      <c r="L804" s="160">
        <f>ROUND(BV70,0)</f>
        <v>0</v>
      </c>
      <c r="M804" s="160">
        <f>ROUND(BV71,0)</f>
        <v>916290</v>
      </c>
      <c r="N804" s="160"/>
      <c r="O804" s="160"/>
      <c r="P804" s="160">
        <f>IF(BV77&gt;0,ROUND(BV77,0),0)</f>
        <v>0</v>
      </c>
      <c r="Q804" s="160">
        <f>IF(BV78&gt;0,ROUND(BV78,0),0)</f>
        <v>0</v>
      </c>
      <c r="R804" s="160">
        <f>IF(BV79&gt;0,ROUND(BV79,0),0)</f>
        <v>0</v>
      </c>
      <c r="S804" s="160">
        <f>IF(BV80&gt;0,ROUND(BV80,0),0)</f>
        <v>0</v>
      </c>
      <c r="T804" s="222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o 2*085*8700*A</v>
      </c>
      <c r="B805" s="160"/>
      <c r="C805" s="222">
        <f>ROUND(BW60,2)</f>
        <v>1.64</v>
      </c>
      <c r="D805" s="160">
        <f>ROUND(BW61,0)</f>
        <v>548179</v>
      </c>
      <c r="E805" s="160">
        <f>ROUND(BW62,0)</f>
        <v>123712</v>
      </c>
      <c r="F805" s="160">
        <f>ROUND(BW63,0)</f>
        <v>3865</v>
      </c>
      <c r="G805" s="160">
        <f>ROUND(BW64,0)</f>
        <v>10425</v>
      </c>
      <c r="H805" s="160">
        <f>ROUND(BW65,0)</f>
        <v>33</v>
      </c>
      <c r="I805" s="160">
        <f>ROUND(BW66,0)</f>
        <v>58313</v>
      </c>
      <c r="J805" s="160">
        <f>ROUND(BW67,0)</f>
        <v>13279</v>
      </c>
      <c r="K805" s="160">
        <f>ROUND(BW68,0)</f>
        <v>0</v>
      </c>
      <c r="L805" s="160">
        <f>ROUND(BW70,0)</f>
        <v>0</v>
      </c>
      <c r="M805" s="160">
        <f>ROUND(BW71,0)</f>
        <v>773043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22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o 2*085*8710*A</v>
      </c>
      <c r="B806" s="160"/>
      <c r="C806" s="222">
        <f>ROUND(BX60,2)</f>
        <v>6.02</v>
      </c>
      <c r="D806" s="160">
        <f>ROUND(BX61,0)</f>
        <v>528564</v>
      </c>
      <c r="E806" s="160">
        <f>ROUND(BX62,0)</f>
        <v>119285</v>
      </c>
      <c r="F806" s="160">
        <f>ROUND(BX63,0)</f>
        <v>0</v>
      </c>
      <c r="G806" s="160">
        <f>ROUND(BX64,0)</f>
        <v>3707</v>
      </c>
      <c r="H806" s="160">
        <f>ROUND(BX65,0)</f>
        <v>0</v>
      </c>
      <c r="I806" s="160">
        <f>ROUND(BX66,0)</f>
        <v>3548</v>
      </c>
      <c r="J806" s="160">
        <f>ROUND(BX67,0)</f>
        <v>12234</v>
      </c>
      <c r="K806" s="160">
        <f>ROUND(BX68,0)</f>
        <v>0</v>
      </c>
      <c r="L806" s="160">
        <f>ROUND(BX70,0)</f>
        <v>0</v>
      </c>
      <c r="M806" s="160">
        <f>ROUND(BX71,0)</f>
        <v>668212</v>
      </c>
      <c r="N806" s="160"/>
      <c r="O806" s="160"/>
      <c r="P806" s="160">
        <f>IF(BX77&gt;0,ROUND(BX77,0),0)</f>
        <v>0</v>
      </c>
      <c r="Q806" s="160">
        <f>IF(BX78&gt;0,ROUND(BX78,0),0)</f>
        <v>0</v>
      </c>
      <c r="R806" s="160">
        <f>IF(BX79&gt;0,ROUND(BX79,0),0)</f>
        <v>0</v>
      </c>
      <c r="S806" s="160">
        <f>IF(BX80&gt;0,ROUND(BX80,0),0)</f>
        <v>0</v>
      </c>
      <c r="T806" s="222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o 2*085*8720*A</v>
      </c>
      <c r="B807" s="160"/>
      <c r="C807" s="222">
        <f>ROUND(BY60,2)</f>
        <v>8.5</v>
      </c>
      <c r="D807" s="160">
        <f>ROUND(BY61,0)</f>
        <v>1116417</v>
      </c>
      <c r="E807" s="160">
        <f>ROUND(BY62,0)</f>
        <v>251951</v>
      </c>
      <c r="F807" s="160">
        <f>ROUND(BY63,0)</f>
        <v>65</v>
      </c>
      <c r="G807" s="160">
        <f>ROUND(BY64,0)</f>
        <v>20940</v>
      </c>
      <c r="H807" s="160">
        <f>ROUND(BY65,0)</f>
        <v>2239</v>
      </c>
      <c r="I807" s="160">
        <f>ROUND(BY66,0)</f>
        <v>147023</v>
      </c>
      <c r="J807" s="160">
        <f>ROUND(BY67,0)</f>
        <v>30742</v>
      </c>
      <c r="K807" s="160">
        <f>ROUND(BY68,0)</f>
        <v>0</v>
      </c>
      <c r="L807" s="160">
        <f>ROUND(BY70,0)</f>
        <v>0</v>
      </c>
      <c r="M807" s="160">
        <f>ROUND(BY71,0)</f>
        <v>1588132</v>
      </c>
      <c r="N807" s="160"/>
      <c r="O807" s="160"/>
      <c r="P807" s="160">
        <f>IF(BY77&gt;0,ROUND(BY77,0),0)</f>
        <v>0</v>
      </c>
      <c r="Q807" s="160">
        <f>IF(BY78&gt;0,ROUND(BY78,0),0)</f>
        <v>0</v>
      </c>
      <c r="R807" s="160">
        <f>IF(BY79&gt;0,ROUND(BY79,0),0)</f>
        <v>0</v>
      </c>
      <c r="S807" s="160">
        <f>IF(BY80&gt;0,ROUND(BY80,0),0)</f>
        <v>0</v>
      </c>
      <c r="T807" s="222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o 2*085*8730*A</v>
      </c>
      <c r="B808" s="160"/>
      <c r="C808" s="222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2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o 2*085*8740*A</v>
      </c>
      <c r="B809" s="160"/>
      <c r="C809" s="222">
        <f>ROUND(CA60,2)</f>
        <v>0</v>
      </c>
      <c r="D809" s="160">
        <f>ROUND(CA61,0)</f>
        <v>0</v>
      </c>
      <c r="E809" s="160">
        <f>ROUND(CA62,0)</f>
        <v>0</v>
      </c>
      <c r="F809" s="160">
        <f>ROUND(CA63,0)</f>
        <v>0</v>
      </c>
      <c r="G809" s="160">
        <f>ROUND(CA64,0)</f>
        <v>0</v>
      </c>
      <c r="H809" s="160">
        <f>ROUND(CA65,0)</f>
        <v>0</v>
      </c>
      <c r="I809" s="160">
        <f>ROUND(CA66,0)</f>
        <v>0</v>
      </c>
      <c r="J809" s="160">
        <f>ROUND(CA67,0)</f>
        <v>0</v>
      </c>
      <c r="K809" s="160">
        <f>ROUND(CA68,0)</f>
        <v>0</v>
      </c>
      <c r="L809" s="160">
        <f>ROUND(CA70,0)</f>
        <v>0</v>
      </c>
      <c r="M809" s="160">
        <f>ROUND(CA71,0)</f>
        <v>0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22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o 2*085*8770*A</v>
      </c>
      <c r="B810" s="160"/>
      <c r="C810" s="222">
        <f>ROUND(CB60,2)</f>
        <v>0</v>
      </c>
      <c r="D810" s="160">
        <f>ROUND(CB61,0)</f>
        <v>18532</v>
      </c>
      <c r="E810" s="160">
        <f>ROUND(CB62,0)</f>
        <v>4182</v>
      </c>
      <c r="F810" s="160">
        <f>ROUND(CB63,0)</f>
        <v>0</v>
      </c>
      <c r="G810" s="160">
        <f>ROUND(CB64,0)</f>
        <v>564</v>
      </c>
      <c r="H810" s="160">
        <f>ROUND(CB65,0)</f>
        <v>3317</v>
      </c>
      <c r="I810" s="160">
        <f>ROUND(CB66,0)</f>
        <v>3203</v>
      </c>
      <c r="J810" s="160">
        <f>ROUND(CB67,0)</f>
        <v>54439</v>
      </c>
      <c r="K810" s="160">
        <f>ROUND(CB68,0)</f>
        <v>32927</v>
      </c>
      <c r="L810" s="160">
        <f>ROUND(CB70,0)</f>
        <v>6138</v>
      </c>
      <c r="M810" s="160">
        <f>ROUND(CB71,0)</f>
        <v>111026</v>
      </c>
      <c r="N810" s="160"/>
      <c r="O810" s="160"/>
      <c r="P810" s="160">
        <f>IF(CB77&gt;0,ROUND(CB77,0),0)</f>
        <v>0</v>
      </c>
      <c r="Q810" s="160">
        <f>IF(CB78&gt;0,ROUND(CB78,0),0)</f>
        <v>0</v>
      </c>
      <c r="R810" s="160">
        <f>IF(CB79&gt;0,ROUND(CB79,0),0)</f>
        <v>0</v>
      </c>
      <c r="S810" s="160">
        <f>IF(CB80&gt;0,ROUND(CB80,0),0)</f>
        <v>0</v>
      </c>
      <c r="T810" s="222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o 2*085*8790*A</v>
      </c>
      <c r="B811" s="160"/>
      <c r="C811" s="222">
        <f>ROUND(CC60,2)</f>
        <v>11.49</v>
      </c>
      <c r="D811" s="160">
        <f>ROUND(CC61,0)</f>
        <v>1438406</v>
      </c>
      <c r="E811" s="160">
        <f>ROUND(CC62,0)</f>
        <v>324617</v>
      </c>
      <c r="F811" s="160">
        <f>ROUND(CC63,0)</f>
        <v>70674</v>
      </c>
      <c r="G811" s="160">
        <f>ROUND(CC64,0)</f>
        <v>96724</v>
      </c>
      <c r="H811" s="160">
        <f>ROUND(CC65,0)</f>
        <v>2655</v>
      </c>
      <c r="I811" s="160">
        <f>ROUND(CC66,0)</f>
        <v>367450</v>
      </c>
      <c r="J811" s="160">
        <f>ROUND(CC67,0)</f>
        <v>117328</v>
      </c>
      <c r="K811" s="160">
        <f>ROUND(CC68,0)</f>
        <v>35135</v>
      </c>
      <c r="L811" s="160">
        <f>ROUND(CC70,0)</f>
        <v>7839</v>
      </c>
      <c r="M811" s="160">
        <f>ROUND(CC71,0)</f>
        <v>2789612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2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o 2*085*9000*A</v>
      </c>
      <c r="B812" s="160"/>
      <c r="C812" s="223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3"/>
      <c r="U812" s="160">
        <f>ROUND(CD70,0)</f>
        <v>328936</v>
      </c>
      <c r="V812" s="1">
        <f>ROUND(CD69,0)</f>
        <v>0</v>
      </c>
      <c r="W812" s="1">
        <f>ROUND(CD71,0)</f>
        <v>-328936</v>
      </c>
      <c r="X812" s="160">
        <f>ROUND(CE73,0)</f>
        <v>36422574</v>
      </c>
      <c r="Y812" s="160">
        <f>ROUND(C132,0)</f>
        <v>0</v>
      </c>
      <c r="Z812" s="160"/>
    </row>
    <row r="814" spans="1:26" ht="12.65" customHeight="1" x14ac:dyDescent="0.3">
      <c r="B814" s="150" t="s">
        <v>1004</v>
      </c>
      <c r="C814" s="204">
        <f t="shared" ref="C814:K814" si="22">SUM(C733:C812)</f>
        <v>606.50999999999988</v>
      </c>
      <c r="D814" s="1">
        <f t="shared" si="22"/>
        <v>65363392</v>
      </c>
      <c r="E814" s="1">
        <f t="shared" si="22"/>
        <v>14751096</v>
      </c>
      <c r="F814" s="1">
        <f t="shared" si="22"/>
        <v>3034303</v>
      </c>
      <c r="G814" s="1">
        <f t="shared" si="22"/>
        <v>24818051</v>
      </c>
      <c r="H814" s="1">
        <f t="shared" si="22"/>
        <v>1201686</v>
      </c>
      <c r="I814" s="1">
        <f t="shared" si="22"/>
        <v>8330773</v>
      </c>
      <c r="J814" s="1">
        <f t="shared" si="22"/>
        <v>5654583</v>
      </c>
      <c r="K814" s="1">
        <f t="shared" si="22"/>
        <v>1616221</v>
      </c>
      <c r="L814" s="1">
        <f>SUM(L733:L812)+SUM(U733:U812)</f>
        <v>5074779</v>
      </c>
      <c r="M814" s="1">
        <f>SUM(M733:M812)+SUM(W733:W812)</f>
        <v>122299480</v>
      </c>
      <c r="N814" s="1">
        <f t="shared" ref="N814:Z814" si="23">SUM(N733:N812)</f>
        <v>112131</v>
      </c>
      <c r="O814" s="1">
        <f t="shared" si="23"/>
        <v>219743676</v>
      </c>
      <c r="P814" s="1">
        <f t="shared" si="23"/>
        <v>12819</v>
      </c>
      <c r="Q814" s="1">
        <f t="shared" si="23"/>
        <v>37049</v>
      </c>
      <c r="R814" s="1">
        <f t="shared" si="23"/>
        <v>456365</v>
      </c>
      <c r="S814" s="1">
        <f t="shared" si="23"/>
        <v>112</v>
      </c>
      <c r="T814" s="204">
        <f t="shared" si="23"/>
        <v>0</v>
      </c>
      <c r="U814" s="1">
        <f t="shared" si="23"/>
        <v>328936</v>
      </c>
      <c r="V814" s="1">
        <f t="shared" si="23"/>
        <v>0</v>
      </c>
      <c r="W814" s="1">
        <f t="shared" si="23"/>
        <v>-328936</v>
      </c>
      <c r="X814" s="1">
        <f t="shared" si="23"/>
        <v>36422574</v>
      </c>
      <c r="Y814" s="1">
        <f t="shared" si="23"/>
        <v>0</v>
      </c>
      <c r="Z814" s="1">
        <f t="shared" si="23"/>
        <v>27787803</v>
      </c>
    </row>
    <row r="815" spans="1:26" ht="12.65" customHeight="1" x14ac:dyDescent="0.3">
      <c r="B815" s="1" t="s">
        <v>1005</v>
      </c>
      <c r="C815" s="204">
        <f>CE60</f>
        <v>606.51175641025645</v>
      </c>
      <c r="D815" s="1">
        <f>CE61</f>
        <v>65363392</v>
      </c>
      <c r="E815" s="1">
        <f>CE62</f>
        <v>14751096</v>
      </c>
      <c r="F815" s="1">
        <f>CE63</f>
        <v>3034303</v>
      </c>
      <c r="G815" s="1">
        <f>CE64</f>
        <v>24818051</v>
      </c>
      <c r="H815" s="185">
        <f>CE65</f>
        <v>1201686</v>
      </c>
      <c r="I815" s="185">
        <f>CE66</f>
        <v>8330773</v>
      </c>
      <c r="J815" s="185">
        <f>CE67</f>
        <v>5654583</v>
      </c>
      <c r="K815" s="185">
        <f>CE68</f>
        <v>1616221</v>
      </c>
      <c r="L815" s="185">
        <f>CE70</f>
        <v>5074779</v>
      </c>
      <c r="M815" s="185">
        <f>CE71</f>
        <v>122299480</v>
      </c>
      <c r="N815" s="1">
        <f>CE76</f>
        <v>166502.63999999998</v>
      </c>
      <c r="O815" s="1">
        <f>CE74</f>
        <v>219743676</v>
      </c>
      <c r="P815" s="1">
        <f>CE77</f>
        <v>12819</v>
      </c>
      <c r="Q815" s="1">
        <f>CE78</f>
        <v>37049.957447161352</v>
      </c>
      <c r="R815" s="1">
        <f>CE79</f>
        <v>456365</v>
      </c>
      <c r="S815" s="1">
        <f>CE80</f>
        <v>111.70421634615381</v>
      </c>
      <c r="T815" s="204">
        <f>CE81</f>
        <v>0</v>
      </c>
      <c r="U815" s="134" t="s">
        <v>1006</v>
      </c>
      <c r="V815" s="134" t="s">
        <v>1006</v>
      </c>
      <c r="W815" s="134" t="s">
        <v>1006</v>
      </c>
      <c r="X815" s="134" t="s">
        <v>1006</v>
      </c>
      <c r="Y815" s="134" t="s">
        <v>1006</v>
      </c>
      <c r="Z815" s="1">
        <f>M715</f>
        <v>28719538</v>
      </c>
    </row>
    <row r="816" spans="1:26" ht="12.65" customHeight="1" x14ac:dyDescent="0.3">
      <c r="B816" s="1" t="s">
        <v>471</v>
      </c>
      <c r="C816" s="150" t="s">
        <v>1007</v>
      </c>
      <c r="D816" s="1">
        <f>C376</f>
        <v>0</v>
      </c>
      <c r="E816" s="1">
        <f>C377</f>
        <v>0</v>
      </c>
      <c r="F816" s="1">
        <f>C378</f>
        <v>65363392</v>
      </c>
      <c r="G816" s="185">
        <f>C379</f>
        <v>14751096</v>
      </c>
      <c r="H816" s="185">
        <f>C380</f>
        <v>3034303</v>
      </c>
      <c r="I816" s="185">
        <f>C381</f>
        <v>24818051</v>
      </c>
      <c r="J816" s="185">
        <f>C382</f>
        <v>1201686</v>
      </c>
      <c r="K816" s="185">
        <f>C383</f>
        <v>8330773</v>
      </c>
      <c r="L816" s="185">
        <f>C384+C385+C386+C388</f>
        <v>8305330.5700000003</v>
      </c>
      <c r="M816" s="185">
        <f>C368</f>
        <v>0</v>
      </c>
      <c r="N816" s="1">
        <f>D360</f>
        <v>0</v>
      </c>
      <c r="O816" s="1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1008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1009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1010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26" t="s">
        <v>1263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1011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1012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1260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1261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1262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1013</v>
      </c>
      <c r="G16" s="5"/>
      <c r="H16" s="5"/>
      <c r="I16" s="5"/>
      <c r="J16" s="102"/>
    </row>
    <row r="17" spans="2:10" ht="16" thickTop="1" x14ac:dyDescent="0.35">
      <c r="B17" s="98"/>
      <c r="C17" s="107" t="s">
        <v>1014</v>
      </c>
      <c r="D17" s="107"/>
      <c r="E17" s="99" t="str">
        <f>+data!C84</f>
        <v>Jefferson County Public Hospital District No 2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1015</v>
      </c>
      <c r="D18" s="108"/>
      <c r="E18" s="5" t="str">
        <f>+"H-"&amp;data!C83</f>
        <v>H-085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1016</v>
      </c>
      <c r="D19" s="108"/>
      <c r="E19" s="5" t="str">
        <f>+data!C85</f>
        <v>834 Sheridan Street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1017</v>
      </c>
      <c r="D20" s="108"/>
      <c r="E20" s="5" t="str">
        <f>+data!C86</f>
        <v>834 Sheridan Street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1018</v>
      </c>
      <c r="D21" s="108"/>
      <c r="E21" s="5" t="str">
        <f>+data!C87</f>
        <v>Port Townsend, WA 98368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1019</v>
      </c>
      <c r="G26" s="51"/>
      <c r="H26" s="51"/>
      <c r="I26" s="51"/>
      <c r="J26" s="111"/>
    </row>
    <row r="27" spans="2:10" ht="15.5" x14ac:dyDescent="0.35">
      <c r="B27" s="112" t="s">
        <v>1020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12/31/2021.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1021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1022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221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1023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1024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1025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221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1026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1024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1025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topLeftCell="A10" zoomScale="75" workbookViewId="0">
      <selection activeCell="F26" sqref="F26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1027</v>
      </c>
      <c r="H1" s="5"/>
    </row>
    <row r="2" spans="1:8" ht="20.149999999999999" customHeight="1" x14ac:dyDescent="0.35">
      <c r="A2" s="4" t="s">
        <v>1028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12/31/2021</v>
      </c>
      <c r="C4" s="28"/>
      <c r="D4" s="84"/>
      <c r="E4" s="51"/>
      <c r="F4" s="28" t="str">
        <f>"License Number:  "&amp;"H-"&amp;FIXED(data!C83,0)</f>
        <v>License Number:  H-85</v>
      </c>
      <c r="G4" s="11"/>
      <c r="H4" s="5"/>
    </row>
    <row r="5" spans="1:8" ht="20.149999999999999" customHeight="1" x14ac:dyDescent="0.35">
      <c r="A5" s="10">
        <v>2</v>
      </c>
      <c r="B5" s="28" t="s">
        <v>257</v>
      </c>
      <c r="C5" s="11"/>
      <c r="D5" s="28" t="str">
        <f>"  "&amp;data!C84</f>
        <v xml:space="preserve">  Jefferson County Public Hospital District No 2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259</v>
      </c>
      <c r="C6" s="11"/>
      <c r="D6" s="28" t="str">
        <f>"  "&amp;data!C88</f>
        <v xml:space="preserve">  Jefferson County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1029</v>
      </c>
      <c r="C7" s="11"/>
      <c r="D7" s="28" t="str">
        <f>"  "&amp;data!C89</f>
        <v xml:space="preserve">  Mike Glenn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1030</v>
      </c>
      <c r="C8" s="11"/>
      <c r="D8" s="28" t="str">
        <f>"  "&amp;data!C90</f>
        <v xml:space="preserve">  Tyler Freeman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1031</v>
      </c>
      <c r="C9" s="11"/>
      <c r="D9" s="28" t="str">
        <f>"  "&amp;data!C91</f>
        <v xml:space="preserve">  Jill Rienstra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1032</v>
      </c>
      <c r="C10" s="11"/>
      <c r="D10" s="28" t="str">
        <f>"  "&amp;data!C92</f>
        <v xml:space="preserve">  360-385-2200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1033</v>
      </c>
      <c r="C11" s="11"/>
      <c r="D11" s="28" t="str">
        <f>"  "&amp;data!C93</f>
        <v xml:space="preserve">  360-379-2242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1034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266</v>
      </c>
      <c r="B15" s="26"/>
      <c r="C15" s="27" t="s">
        <v>269</v>
      </c>
      <c r="D15" s="26"/>
      <c r="E15" s="27" t="s">
        <v>271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267</v>
      </c>
      <c r="C16" s="12" t="str">
        <f>IF(data!C101&gt;0," X","")</f>
        <v/>
      </c>
      <c r="D16" s="16" t="s">
        <v>1035</v>
      </c>
      <c r="E16" s="12" t="str">
        <f>IF(data!C104&gt;0," X","")</f>
        <v/>
      </c>
      <c r="F16" s="38" t="s">
        <v>272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259</v>
      </c>
      <c r="C17" s="12" t="str">
        <f>IF(data!C102&gt;0," X","")</f>
        <v/>
      </c>
      <c r="D17" s="16" t="s">
        <v>349</v>
      </c>
      <c r="E17" s="12" t="str">
        <f>IF(data!C105&gt;0," X","")</f>
        <v/>
      </c>
      <c r="F17" s="38" t="s">
        <v>273</v>
      </c>
      <c r="G17" s="11"/>
      <c r="H17" s="5"/>
    </row>
    <row r="18" spans="1:8" ht="20.149999999999999" customHeight="1" x14ac:dyDescent="0.35">
      <c r="A18" s="10"/>
      <c r="B18" s="11" t="s">
        <v>1036</v>
      </c>
      <c r="C18" s="11"/>
      <c r="D18" s="11"/>
      <c r="E18" s="12" t="str">
        <f>IF(data!C106&gt;0," X","")</f>
        <v/>
      </c>
      <c r="F18" s="38" t="s">
        <v>274</v>
      </c>
      <c r="G18" s="11"/>
      <c r="H18" s="5"/>
    </row>
    <row r="19" spans="1:8" ht="20.149999999999999" customHeight="1" x14ac:dyDescent="0.35">
      <c r="A19" s="76" t="str">
        <f>IF(data!C99&gt;0," X","")</f>
        <v xml:space="preserve"> X</v>
      </c>
      <c r="B19" s="16" t="s">
        <v>1037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1038</v>
      </c>
      <c r="C22" s="28"/>
      <c r="D22" s="28"/>
      <c r="E22" s="28"/>
      <c r="F22" s="76" t="s">
        <v>277</v>
      </c>
      <c r="G22" s="12" t="s">
        <v>215</v>
      </c>
      <c r="H22" s="5"/>
    </row>
    <row r="23" spans="1:8" ht="20.149999999999999" customHeight="1" x14ac:dyDescent="0.35">
      <c r="A23" s="10"/>
      <c r="B23" s="28" t="s">
        <v>1039</v>
      </c>
      <c r="C23" s="28"/>
      <c r="D23" s="28"/>
      <c r="E23" s="28"/>
      <c r="F23" s="10">
        <f>data!C111</f>
        <v>1261</v>
      </c>
      <c r="G23" s="11">
        <f>data!D111</f>
        <v>3611</v>
      </c>
      <c r="H23" s="5"/>
    </row>
    <row r="24" spans="1:8" ht="20.149999999999999" customHeight="1" x14ac:dyDescent="0.35">
      <c r="A24" s="10"/>
      <c r="B24" s="28" t="s">
        <v>1040</v>
      </c>
      <c r="C24" s="28"/>
      <c r="D24" s="28"/>
      <c r="E24" s="28"/>
      <c r="F24" s="10">
        <f>data!C112</f>
        <v>16</v>
      </c>
      <c r="G24" s="11">
        <f>data!D112</f>
        <v>127</v>
      </c>
      <c r="H24" s="5"/>
    </row>
    <row r="25" spans="1:8" ht="20.149999999999999" customHeight="1" x14ac:dyDescent="0.35">
      <c r="A25" s="10"/>
      <c r="B25" s="28" t="s">
        <v>1041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281</v>
      </c>
      <c r="C26" s="28"/>
      <c r="D26" s="28"/>
      <c r="E26" s="28"/>
      <c r="F26" s="10">
        <f>data!C114</f>
        <v>87</v>
      </c>
      <c r="G26" s="10">
        <f>data!D114</f>
        <v>162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1042</v>
      </c>
      <c r="C29" s="11"/>
      <c r="D29" s="12" t="s">
        <v>167</v>
      </c>
      <c r="E29" s="68" t="s">
        <v>1042</v>
      </c>
      <c r="F29" s="11"/>
      <c r="G29" s="12" t="s">
        <v>167</v>
      </c>
      <c r="H29" s="5"/>
    </row>
    <row r="30" spans="1:8" ht="20.149999999999999" customHeight="1" x14ac:dyDescent="0.35">
      <c r="A30" s="10"/>
      <c r="B30" s="28" t="s">
        <v>283</v>
      </c>
      <c r="C30" s="11"/>
      <c r="D30" s="11">
        <f>data!C116</f>
        <v>6</v>
      </c>
      <c r="E30" s="28" t="s">
        <v>288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1043</v>
      </c>
      <c r="C31" s="11"/>
      <c r="D31" s="11">
        <f>data!C117</f>
        <v>0</v>
      </c>
      <c r="E31" s="28" t="s">
        <v>289</v>
      </c>
      <c r="F31" s="11"/>
      <c r="G31" s="11">
        <f>data!C124</f>
        <v>0</v>
      </c>
      <c r="H31" s="5"/>
    </row>
    <row r="32" spans="1:8" ht="20.149999999999999" customHeight="1" x14ac:dyDescent="0.35">
      <c r="A32" s="10"/>
      <c r="B32" s="68" t="s">
        <v>1044</v>
      </c>
      <c r="C32" s="11"/>
      <c r="D32" s="11">
        <f>data!C118</f>
        <v>19</v>
      </c>
      <c r="E32" s="28" t="s">
        <v>1045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1046</v>
      </c>
      <c r="C33" s="11"/>
      <c r="D33" s="11">
        <f>data!C119</f>
        <v>0</v>
      </c>
      <c r="E33" s="28" t="s">
        <v>1047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1048</v>
      </c>
      <c r="C34" s="11"/>
      <c r="D34" s="11">
        <f>data!C120</f>
        <v>0</v>
      </c>
      <c r="E34" s="28" t="s">
        <v>291</v>
      </c>
      <c r="F34" s="11"/>
      <c r="G34" s="11">
        <f>data!E127</f>
        <v>25</v>
      </c>
      <c r="H34" s="5"/>
    </row>
    <row r="35" spans="1:8" ht="20.149999999999999" customHeight="1" x14ac:dyDescent="0.35">
      <c r="A35" s="10"/>
      <c r="B35" s="68" t="s">
        <v>1049</v>
      </c>
      <c r="C35" s="11"/>
      <c r="D35" s="11">
        <f>data!C121</f>
        <v>0</v>
      </c>
      <c r="E35" s="28" t="s">
        <v>1050</v>
      </c>
      <c r="F35" s="18"/>
      <c r="G35" s="11"/>
      <c r="H35" s="5"/>
    </row>
    <row r="36" spans="1:8" ht="20.149999999999999" customHeight="1" x14ac:dyDescent="0.35">
      <c r="A36" s="10"/>
      <c r="B36" s="28" t="s">
        <v>97</v>
      </c>
      <c r="C36" s="11"/>
      <c r="D36" s="11">
        <f>data!C122</f>
        <v>0</v>
      </c>
      <c r="E36" s="28" t="s">
        <v>292</v>
      </c>
      <c r="F36" s="11"/>
      <c r="G36" s="11">
        <f>data!C128</f>
        <v>0</v>
      </c>
      <c r="H36" s="5"/>
    </row>
    <row r="37" spans="1:8" ht="20.149999999999999" customHeight="1" x14ac:dyDescent="0.35">
      <c r="A37" s="10"/>
      <c r="E37" s="28" t="s">
        <v>293</v>
      </c>
      <c r="F37" s="11"/>
      <c r="G37" s="11">
        <f>data!C129</f>
        <v>4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288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1051</v>
      </c>
      <c r="C40" s="95" t="s">
        <v>256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topLeftCell="A13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1052</v>
      </c>
      <c r="B1" s="5"/>
      <c r="C1" s="5"/>
      <c r="D1" s="5"/>
      <c r="E1" s="5"/>
      <c r="F1" s="5"/>
      <c r="G1" s="122" t="s">
        <v>1053</v>
      </c>
    </row>
    <row r="2" spans="1:7" ht="20.149999999999999" customHeight="1" x14ac:dyDescent="0.35">
      <c r="A2" s="5" t="str">
        <f>"Hospital Name: "&amp;data!C84</f>
        <v>Hospital Name: Jefferson County Public Hospital District No 2</v>
      </c>
      <c r="B2" s="5"/>
      <c r="C2" s="5"/>
      <c r="D2" s="5"/>
      <c r="E2" s="5"/>
      <c r="F2" s="8"/>
      <c r="G2" s="54" t="s">
        <v>1054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12/31/2021</v>
      </c>
    </row>
    <row r="4" spans="1:7" ht="20.149999999999999" customHeight="1" x14ac:dyDescent="0.35">
      <c r="A4" s="72" t="s">
        <v>1055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1056</v>
      </c>
      <c r="C5" s="26"/>
      <c r="D5" s="26"/>
      <c r="E5" s="74" t="s">
        <v>302</v>
      </c>
      <c r="F5" s="26"/>
      <c r="G5" s="26"/>
    </row>
    <row r="6" spans="1:7" ht="20.149999999999999" customHeight="1" x14ac:dyDescent="0.35">
      <c r="A6" s="75" t="s">
        <v>489</v>
      </c>
      <c r="B6" s="12" t="s">
        <v>277</v>
      </c>
      <c r="C6" s="12" t="s">
        <v>1057</v>
      </c>
      <c r="D6" s="12" t="s">
        <v>298</v>
      </c>
      <c r="E6" s="12" t="s">
        <v>168</v>
      </c>
      <c r="F6" s="12" t="s">
        <v>131</v>
      </c>
      <c r="G6" s="12" t="s">
        <v>203</v>
      </c>
    </row>
    <row r="7" spans="1:7" ht="20.149999999999999" customHeight="1" x14ac:dyDescent="0.35">
      <c r="A7" s="10" t="s">
        <v>296</v>
      </c>
      <c r="B7" s="37">
        <f>data!B138</f>
        <v>723</v>
      </c>
      <c r="C7" s="37">
        <f>data!B139</f>
        <v>2444</v>
      </c>
      <c r="D7" s="37">
        <f>data!B140</f>
        <v>0</v>
      </c>
      <c r="E7" s="37">
        <f>data!B141</f>
        <v>25351609</v>
      </c>
      <c r="F7" s="37">
        <f>data!B142</f>
        <v>157489454</v>
      </c>
      <c r="G7" s="37">
        <f>data!B141+data!B142</f>
        <v>182841063</v>
      </c>
    </row>
    <row r="8" spans="1:7" ht="20.149999999999999" customHeight="1" x14ac:dyDescent="0.35">
      <c r="A8" s="10" t="s">
        <v>297</v>
      </c>
      <c r="B8" s="37">
        <f>data!C138</f>
        <v>12</v>
      </c>
      <c r="C8" s="37">
        <f>data!C139</f>
        <v>16</v>
      </c>
      <c r="D8" s="37">
        <f>data!C140</f>
        <v>0</v>
      </c>
      <c r="E8" s="37">
        <f>data!C141</f>
        <v>6367904</v>
      </c>
      <c r="F8" s="37">
        <f>data!C142</f>
        <v>35081137</v>
      </c>
      <c r="G8" s="37">
        <f>data!C141+data!C142</f>
        <v>41449041</v>
      </c>
    </row>
    <row r="9" spans="1:7" ht="20.149999999999999" customHeight="1" x14ac:dyDescent="0.35">
      <c r="A9" s="10" t="s">
        <v>1058</v>
      </c>
      <c r="B9" s="37">
        <f>data!D138</f>
        <v>526</v>
      </c>
      <c r="C9" s="37">
        <f>data!D139</f>
        <v>1151</v>
      </c>
      <c r="D9" s="37">
        <f>data!D140</f>
        <v>0</v>
      </c>
      <c r="E9" s="37">
        <f>data!D141</f>
        <v>8078721</v>
      </c>
      <c r="F9" s="37">
        <f>data!D142</f>
        <v>65626757</v>
      </c>
      <c r="G9" s="37">
        <f>data!D141+data!D142</f>
        <v>73705478</v>
      </c>
    </row>
    <row r="10" spans="1:7" ht="20.149999999999999" customHeight="1" x14ac:dyDescent="0.35">
      <c r="A10" s="76" t="s">
        <v>203</v>
      </c>
      <c r="B10" s="37">
        <f>data!E138</f>
        <v>1261</v>
      </c>
      <c r="C10" s="37">
        <f>data!E139</f>
        <v>3611</v>
      </c>
      <c r="D10" s="37">
        <f>data!E140</f>
        <v>0</v>
      </c>
      <c r="E10" s="37">
        <f>data!E141</f>
        <v>39798234</v>
      </c>
      <c r="F10" s="37">
        <f>data!E142</f>
        <v>258197348</v>
      </c>
      <c r="G10" s="37">
        <f>data!E141+data!E142</f>
        <v>297995582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1059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1056</v>
      </c>
      <c r="C14" s="25"/>
      <c r="D14" s="25"/>
      <c r="E14" s="25" t="s">
        <v>302</v>
      </c>
      <c r="F14" s="25"/>
      <c r="G14" s="25"/>
    </row>
    <row r="15" spans="1:7" ht="20.149999999999999" customHeight="1" x14ac:dyDescent="0.35">
      <c r="A15" s="75" t="s">
        <v>489</v>
      </c>
      <c r="B15" s="12" t="s">
        <v>277</v>
      </c>
      <c r="C15" s="12" t="s">
        <v>1057</v>
      </c>
      <c r="D15" s="12" t="s">
        <v>298</v>
      </c>
      <c r="E15" s="12" t="s">
        <v>168</v>
      </c>
      <c r="F15" s="12" t="s">
        <v>131</v>
      </c>
      <c r="G15" s="12" t="s">
        <v>203</v>
      </c>
    </row>
    <row r="16" spans="1:7" ht="20.149999999999999" customHeight="1" x14ac:dyDescent="0.35">
      <c r="A16" s="10" t="s">
        <v>296</v>
      </c>
      <c r="B16" s="37">
        <f>data!B144</f>
        <v>13</v>
      </c>
      <c r="C16" s="37">
        <f>data!B145</f>
        <v>95</v>
      </c>
      <c r="D16" s="37">
        <f>data!B146</f>
        <v>0</v>
      </c>
      <c r="E16" s="37">
        <f>data!B147</f>
        <v>0</v>
      </c>
      <c r="F16" s="37">
        <f>data!B148</f>
        <v>0</v>
      </c>
      <c r="G16" s="37">
        <f>data!B147+data!B148</f>
        <v>0</v>
      </c>
    </row>
    <row r="17" spans="1:7" ht="20.149999999999999" customHeight="1" x14ac:dyDescent="0.35">
      <c r="A17" s="10" t="s">
        <v>297</v>
      </c>
      <c r="B17" s="37">
        <f>data!C144</f>
        <v>2</v>
      </c>
      <c r="C17" s="37">
        <f>data!C145</f>
        <v>19</v>
      </c>
      <c r="D17" s="37">
        <f>data!C146</f>
        <v>0</v>
      </c>
      <c r="E17" s="37">
        <f>data!C147</f>
        <v>0</v>
      </c>
      <c r="F17" s="37">
        <f>data!C148</f>
        <v>0</v>
      </c>
      <c r="G17" s="37">
        <f>data!C147+data!C148</f>
        <v>0</v>
      </c>
    </row>
    <row r="18" spans="1:7" ht="20.149999999999999" customHeight="1" x14ac:dyDescent="0.35">
      <c r="A18" s="10" t="s">
        <v>1058</v>
      </c>
      <c r="B18" s="37">
        <f>data!D144</f>
        <v>1</v>
      </c>
      <c r="C18" s="37">
        <f>data!D145</f>
        <v>13</v>
      </c>
      <c r="D18" s="37">
        <f>data!D146</f>
        <v>0</v>
      </c>
      <c r="E18" s="37">
        <f>data!D147</f>
        <v>0</v>
      </c>
      <c r="F18" s="37">
        <f>data!D148</f>
        <v>0</v>
      </c>
      <c r="G18" s="37">
        <f>data!D147+data!D148</f>
        <v>0</v>
      </c>
    </row>
    <row r="19" spans="1:7" ht="20.149999999999999" customHeight="1" x14ac:dyDescent="0.35">
      <c r="A19" s="76" t="s">
        <v>203</v>
      </c>
      <c r="B19" s="37">
        <f>data!E144</f>
        <v>16</v>
      </c>
      <c r="C19" s="37">
        <f>data!E145</f>
        <v>127</v>
      </c>
      <c r="D19" s="37">
        <f>data!E146</f>
        <v>0</v>
      </c>
      <c r="E19" s="37">
        <f>data!E147</f>
        <v>0</v>
      </c>
      <c r="F19" s="37">
        <f>data!E148</f>
        <v>0</v>
      </c>
      <c r="G19" s="37">
        <f>data!E147+data!E148</f>
        <v>0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1060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1056</v>
      </c>
      <c r="C23" s="26"/>
      <c r="D23" s="26"/>
      <c r="E23" s="26" t="s">
        <v>302</v>
      </c>
      <c r="F23" s="26"/>
      <c r="G23" s="26"/>
    </row>
    <row r="24" spans="1:7" ht="20.149999999999999" customHeight="1" x14ac:dyDescent="0.35">
      <c r="A24" s="75" t="s">
        <v>489</v>
      </c>
      <c r="B24" s="12" t="s">
        <v>277</v>
      </c>
      <c r="C24" s="12" t="s">
        <v>1057</v>
      </c>
      <c r="D24" s="12" t="s">
        <v>298</v>
      </c>
      <c r="E24" s="12" t="s">
        <v>168</v>
      </c>
      <c r="F24" s="12" t="s">
        <v>131</v>
      </c>
      <c r="G24" s="12" t="s">
        <v>203</v>
      </c>
    </row>
    <row r="25" spans="1:7" ht="20.149999999999999" customHeight="1" x14ac:dyDescent="0.35">
      <c r="A25" s="10" t="s">
        <v>296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297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1058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203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1061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1062</v>
      </c>
      <c r="C32" s="87">
        <f>data!B157</f>
        <v>35918599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1063</v>
      </c>
      <c r="C33" s="83">
        <f>data!C157</f>
        <v>12993167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topLeftCell="A4" zoomScale="75" workbookViewId="0">
      <selection activeCell="D27" sqref="D27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305</v>
      </c>
      <c r="B1" s="4"/>
      <c r="C1" s="124" t="s">
        <v>1064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Jefferson County Public Hospital District No 2</v>
      </c>
      <c r="B3" s="21"/>
      <c r="C3" s="22" t="str">
        <f>"FYE: "&amp;data!C82</f>
        <v>FYE: 12/31/2021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306</v>
      </c>
      <c r="C5" s="66"/>
    </row>
    <row r="6" spans="1:3" ht="20.149999999999999" customHeight="1" x14ac:dyDescent="0.35">
      <c r="A6" s="67">
        <v>2</v>
      </c>
      <c r="B6" s="28" t="s">
        <v>1065</v>
      </c>
      <c r="C6" s="10">
        <f>data!C165</f>
        <v>4687899</v>
      </c>
    </row>
    <row r="7" spans="1:3" ht="20.149999999999999" customHeight="1" x14ac:dyDescent="0.35">
      <c r="A7" s="30">
        <v>3</v>
      </c>
      <c r="B7" s="68" t="s">
        <v>308</v>
      </c>
      <c r="C7" s="10">
        <f>data!C166</f>
        <v>209174</v>
      </c>
    </row>
    <row r="8" spans="1:3" ht="20.149999999999999" customHeight="1" x14ac:dyDescent="0.35">
      <c r="A8" s="30">
        <v>4</v>
      </c>
      <c r="B8" s="28" t="s">
        <v>309</v>
      </c>
      <c r="C8" s="10">
        <f>data!C167</f>
        <v>572551</v>
      </c>
    </row>
    <row r="9" spans="1:3" ht="20.149999999999999" customHeight="1" x14ac:dyDescent="0.35">
      <c r="A9" s="30">
        <v>5</v>
      </c>
      <c r="B9" s="28" t="s">
        <v>310</v>
      </c>
      <c r="C9" s="10">
        <f>data!C168</f>
        <v>7441852</v>
      </c>
    </row>
    <row r="10" spans="1:3" ht="20.149999999999999" customHeight="1" x14ac:dyDescent="0.35">
      <c r="A10" s="30">
        <v>6</v>
      </c>
      <c r="B10" s="28" t="s">
        <v>311</v>
      </c>
      <c r="C10" s="10">
        <f>data!C169</f>
        <v>0</v>
      </c>
    </row>
    <row r="11" spans="1:3" ht="20.149999999999999" customHeight="1" x14ac:dyDescent="0.35">
      <c r="A11" s="30">
        <v>7</v>
      </c>
      <c r="B11" s="28" t="s">
        <v>312</v>
      </c>
      <c r="C11" s="10">
        <f>data!C170</f>
        <v>2940698</v>
      </c>
    </row>
    <row r="12" spans="1:3" ht="20.149999999999999" customHeight="1" x14ac:dyDescent="0.35">
      <c r="A12" s="30">
        <v>8</v>
      </c>
      <c r="B12" s="28" t="s">
        <v>313</v>
      </c>
      <c r="C12" s="10">
        <f>data!C171</f>
        <v>65132</v>
      </c>
    </row>
    <row r="13" spans="1:3" ht="20.149999999999999" customHeight="1" x14ac:dyDescent="0.35">
      <c r="A13" s="30">
        <v>9</v>
      </c>
      <c r="B13" s="28" t="s">
        <v>313</v>
      </c>
      <c r="C13" s="10">
        <f>data!C172</f>
        <v>0</v>
      </c>
    </row>
    <row r="14" spans="1:3" ht="20.149999999999999" customHeight="1" x14ac:dyDescent="0.35">
      <c r="A14" s="30">
        <v>10</v>
      </c>
      <c r="B14" s="28" t="s">
        <v>1066</v>
      </c>
      <c r="C14" s="10">
        <f>data!D173</f>
        <v>15917306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314</v>
      </c>
      <c r="C17" s="71"/>
    </row>
    <row r="18" spans="1:3" ht="20.149999999999999" customHeight="1" x14ac:dyDescent="0.35">
      <c r="A18" s="10">
        <v>12</v>
      </c>
      <c r="B18" s="28" t="s">
        <v>1067</v>
      </c>
      <c r="C18" s="10">
        <f>data!C175</f>
        <v>661333</v>
      </c>
    </row>
    <row r="19" spans="1:3" ht="20.149999999999999" customHeight="1" x14ac:dyDescent="0.35">
      <c r="A19" s="10">
        <v>13</v>
      </c>
      <c r="B19" s="28" t="s">
        <v>1068</v>
      </c>
      <c r="C19" s="10">
        <f>data!C176</f>
        <v>1020159</v>
      </c>
    </row>
    <row r="20" spans="1:3" ht="20.149999999999999" customHeight="1" x14ac:dyDescent="0.35">
      <c r="A20" s="10">
        <v>14</v>
      </c>
      <c r="B20" s="28" t="s">
        <v>1069</v>
      </c>
      <c r="C20" s="10">
        <f>data!D177</f>
        <v>1681492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317</v>
      </c>
      <c r="C23" s="66"/>
    </row>
    <row r="24" spans="1:3" ht="20.149999999999999" customHeight="1" x14ac:dyDescent="0.35">
      <c r="A24" s="10">
        <v>16</v>
      </c>
      <c r="B24" s="27" t="s">
        <v>1070</v>
      </c>
      <c r="C24" s="29"/>
    </row>
    <row r="25" spans="1:3" ht="20.149999999999999" customHeight="1" x14ac:dyDescent="0.35">
      <c r="A25" s="10">
        <v>17</v>
      </c>
      <c r="B25" s="28" t="s">
        <v>1071</v>
      </c>
      <c r="C25" s="10">
        <f>data!C179</f>
        <v>986267</v>
      </c>
    </row>
    <row r="26" spans="1:3" ht="20.149999999999999" customHeight="1" x14ac:dyDescent="0.35">
      <c r="A26" s="10">
        <v>18</v>
      </c>
      <c r="B26" s="28" t="s">
        <v>319</v>
      </c>
      <c r="C26" s="10">
        <f>data!C180</f>
        <v>168482</v>
      </c>
    </row>
    <row r="27" spans="1:3" ht="20.149999999999999" customHeight="1" x14ac:dyDescent="0.35">
      <c r="A27" s="10">
        <v>19</v>
      </c>
      <c r="B27" s="28" t="s">
        <v>1072</v>
      </c>
      <c r="C27" s="10">
        <f>data!D181</f>
        <v>1154749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1073</v>
      </c>
      <c r="C30" s="25"/>
    </row>
    <row r="31" spans="1:3" ht="20.149999999999999" customHeight="1" x14ac:dyDescent="0.35">
      <c r="A31" s="10">
        <v>21</v>
      </c>
      <c r="B31" s="28" t="s">
        <v>321</v>
      </c>
      <c r="C31" s="10">
        <f>data!C183</f>
        <v>923436</v>
      </c>
    </row>
    <row r="32" spans="1:3" ht="20.149999999999999" customHeight="1" x14ac:dyDescent="0.35">
      <c r="A32" s="10">
        <v>22</v>
      </c>
      <c r="B32" s="28" t="s">
        <v>1074</v>
      </c>
      <c r="C32" s="10">
        <f>data!C184</f>
        <v>0</v>
      </c>
    </row>
    <row r="33" spans="1:3" ht="20.149999999999999" customHeight="1" x14ac:dyDescent="0.35">
      <c r="A33" s="10">
        <v>23</v>
      </c>
      <c r="B33" s="28" t="s">
        <v>132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1075</v>
      </c>
      <c r="C34" s="10">
        <f>data!D186</f>
        <v>923436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323</v>
      </c>
      <c r="C37" s="66"/>
    </row>
    <row r="38" spans="1:3" ht="20.149999999999999" customHeight="1" x14ac:dyDescent="0.35">
      <c r="A38" s="10">
        <v>26</v>
      </c>
      <c r="B38" s="28" t="s">
        <v>1076</v>
      </c>
      <c r="C38" s="10">
        <f>data!C188</f>
        <v>226838</v>
      </c>
    </row>
    <row r="39" spans="1:3" ht="20.149999999999999" customHeight="1" x14ac:dyDescent="0.35">
      <c r="A39" s="10">
        <v>27</v>
      </c>
      <c r="B39" s="28" t="s">
        <v>325</v>
      </c>
      <c r="C39" s="10">
        <f>data!C189</f>
        <v>743524</v>
      </c>
    </row>
    <row r="40" spans="1:3" ht="20.149999999999999" customHeight="1" x14ac:dyDescent="0.35">
      <c r="A40" s="10">
        <v>28</v>
      </c>
      <c r="B40" s="28" t="s">
        <v>1077</v>
      </c>
      <c r="C40" s="10">
        <f>data!D190</f>
        <v>970362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326</v>
      </c>
      <c r="B1" s="4"/>
      <c r="C1" s="4"/>
      <c r="D1" s="4"/>
      <c r="E1" s="4"/>
      <c r="F1" s="124" t="s">
        <v>1078</v>
      </c>
    </row>
    <row r="3" spans="1:6" ht="20.149999999999999" customHeight="1" x14ac:dyDescent="0.35">
      <c r="A3" s="7" t="str">
        <f>"Hospital: "&amp;data!C84</f>
        <v>Hospital: Jefferson County Public Hospital District No 2</v>
      </c>
      <c r="E3" s="8"/>
      <c r="F3" s="9" t="str">
        <f>" FYE: "&amp;data!C82</f>
        <v xml:space="preserve"> FYE: 12/31/2021</v>
      </c>
    </row>
    <row r="4" spans="1:6" ht="20.149999999999999" customHeight="1" x14ac:dyDescent="0.35">
      <c r="A4" s="29" t="s">
        <v>327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1079</v>
      </c>
      <c r="D5" s="36"/>
      <c r="E5" s="36"/>
      <c r="F5" s="36" t="s">
        <v>1080</v>
      </c>
    </row>
    <row r="6" spans="1:6" ht="20.149999999999999" customHeight="1" x14ac:dyDescent="0.35">
      <c r="A6" s="13"/>
      <c r="B6" s="14"/>
      <c r="C6" s="15" t="s">
        <v>1081</v>
      </c>
      <c r="D6" s="15" t="s">
        <v>329</v>
      </c>
      <c r="E6" s="15" t="s">
        <v>1082</v>
      </c>
      <c r="F6" s="15" t="s">
        <v>1081</v>
      </c>
    </row>
    <row r="7" spans="1:6" ht="20.149999999999999" customHeight="1" x14ac:dyDescent="0.35">
      <c r="A7" s="10">
        <v>1</v>
      </c>
      <c r="B7" s="11" t="s">
        <v>332</v>
      </c>
      <c r="C7" s="11">
        <f>data!B195</f>
        <v>1715331</v>
      </c>
      <c r="D7" s="11">
        <f>data!C195</f>
        <v>6840</v>
      </c>
      <c r="E7" s="11">
        <f>data!D195</f>
        <v>0</v>
      </c>
      <c r="F7" s="11">
        <f>data!E195</f>
        <v>1722171</v>
      </c>
    </row>
    <row r="8" spans="1:6" ht="20.149999999999999" customHeight="1" x14ac:dyDescent="0.35">
      <c r="A8" s="10">
        <v>2</v>
      </c>
      <c r="B8" s="11" t="s">
        <v>333</v>
      </c>
      <c r="C8" s="11">
        <f>data!B196</f>
        <v>4028158</v>
      </c>
      <c r="D8" s="11">
        <f>data!C196</f>
        <v>0</v>
      </c>
      <c r="E8" s="11">
        <f>data!D196</f>
        <v>0</v>
      </c>
      <c r="F8" s="11">
        <f>data!E196</f>
        <v>4028158</v>
      </c>
    </row>
    <row r="9" spans="1:6" ht="20.149999999999999" customHeight="1" x14ac:dyDescent="0.35">
      <c r="A9" s="10">
        <v>3</v>
      </c>
      <c r="B9" s="11" t="s">
        <v>334</v>
      </c>
      <c r="C9" s="11">
        <f>data!B197</f>
        <v>49251245</v>
      </c>
      <c r="D9" s="11">
        <f>data!C197</f>
        <v>0</v>
      </c>
      <c r="E9" s="11">
        <f>data!D197</f>
        <v>0</v>
      </c>
      <c r="F9" s="11">
        <f>data!E197</f>
        <v>49251245</v>
      </c>
    </row>
    <row r="10" spans="1:6" ht="20.149999999999999" customHeight="1" x14ac:dyDescent="0.35">
      <c r="A10" s="10">
        <v>4</v>
      </c>
      <c r="B10" s="11" t="s">
        <v>1083</v>
      </c>
      <c r="C10" s="11">
        <f>data!B198</f>
        <v>0</v>
      </c>
      <c r="D10" s="11">
        <f>data!C198</f>
        <v>0</v>
      </c>
      <c r="E10" s="11">
        <f>data!D198</f>
        <v>0</v>
      </c>
      <c r="F10" s="11">
        <f>data!E198</f>
        <v>0</v>
      </c>
    </row>
    <row r="11" spans="1:6" ht="20.149999999999999" customHeight="1" x14ac:dyDescent="0.35">
      <c r="A11" s="10">
        <v>5</v>
      </c>
      <c r="B11" s="11" t="s">
        <v>1084</v>
      </c>
      <c r="C11" s="11">
        <f>data!B199</f>
        <v>22403842</v>
      </c>
      <c r="D11" s="11">
        <f>data!C199</f>
        <v>9389</v>
      </c>
      <c r="E11" s="11">
        <f>data!D199</f>
        <v>0</v>
      </c>
      <c r="F11" s="11">
        <f>data!E199</f>
        <v>22413231</v>
      </c>
    </row>
    <row r="12" spans="1:6" ht="20.149999999999999" customHeight="1" x14ac:dyDescent="0.35">
      <c r="A12" s="10">
        <v>6</v>
      </c>
      <c r="B12" s="11" t="s">
        <v>1085</v>
      </c>
      <c r="C12" s="11">
        <f>data!B200</f>
        <v>10632459</v>
      </c>
      <c r="D12" s="11">
        <f>data!C200</f>
        <v>103644</v>
      </c>
      <c r="E12" s="11">
        <f>data!D200</f>
        <v>0</v>
      </c>
      <c r="F12" s="11">
        <f>data!E200</f>
        <v>10736103</v>
      </c>
    </row>
    <row r="13" spans="1:6" ht="20.149999999999999" customHeight="1" x14ac:dyDescent="0.35">
      <c r="A13" s="10">
        <v>7</v>
      </c>
      <c r="B13" s="11" t="s">
        <v>1086</v>
      </c>
      <c r="C13" s="11">
        <f>data!B201</f>
        <v>0</v>
      </c>
      <c r="D13" s="11">
        <f>data!C201</f>
        <v>0</v>
      </c>
      <c r="E13" s="11">
        <f>data!D201</f>
        <v>0</v>
      </c>
      <c r="F13" s="11">
        <f>data!E201</f>
        <v>0</v>
      </c>
    </row>
    <row r="14" spans="1:6" ht="20.149999999999999" customHeight="1" x14ac:dyDescent="0.35">
      <c r="A14" s="10">
        <v>8</v>
      </c>
      <c r="B14" s="11" t="s">
        <v>339</v>
      </c>
      <c r="C14" s="11">
        <f>data!B202</f>
        <v>1361180</v>
      </c>
      <c r="D14" s="11">
        <f>data!C202</f>
        <v>0</v>
      </c>
      <c r="E14" s="11">
        <f>data!D202</f>
        <v>0</v>
      </c>
      <c r="F14" s="11">
        <f>data!E202</f>
        <v>1361180</v>
      </c>
    </row>
    <row r="15" spans="1:6" ht="20.149999999999999" customHeight="1" x14ac:dyDescent="0.35">
      <c r="A15" s="10">
        <v>9</v>
      </c>
      <c r="B15" s="11" t="s">
        <v>1087</v>
      </c>
      <c r="C15" s="11">
        <f>data!B203</f>
        <v>995244</v>
      </c>
      <c r="D15" s="11">
        <f>data!C203</f>
        <v>399732</v>
      </c>
      <c r="E15" s="11">
        <f>data!D203</f>
        <v>0</v>
      </c>
      <c r="F15" s="11">
        <f>data!E203</f>
        <v>1394976</v>
      </c>
    </row>
    <row r="16" spans="1:6" ht="20.149999999999999" customHeight="1" x14ac:dyDescent="0.35">
      <c r="A16" s="10">
        <v>10</v>
      </c>
      <c r="B16" s="11" t="s">
        <v>661</v>
      </c>
      <c r="C16" s="11">
        <f>data!B204</f>
        <v>90387459</v>
      </c>
      <c r="D16" s="11">
        <f>data!C204</f>
        <v>519605</v>
      </c>
      <c r="E16" s="11">
        <f>data!D204</f>
        <v>0</v>
      </c>
      <c r="F16" s="11">
        <f>data!E204</f>
        <v>90907064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341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1079</v>
      </c>
      <c r="D21" s="54" t="s">
        <v>203</v>
      </c>
      <c r="E21" s="15"/>
      <c r="F21" s="15" t="s">
        <v>1080</v>
      </c>
    </row>
    <row r="22" spans="1:6" ht="20.149999999999999" customHeight="1" x14ac:dyDescent="0.35">
      <c r="A22" s="53"/>
      <c r="B22" s="34"/>
      <c r="C22" s="15" t="s">
        <v>1081</v>
      </c>
      <c r="D22" s="15" t="s">
        <v>1088</v>
      </c>
      <c r="E22" s="15" t="s">
        <v>1082</v>
      </c>
      <c r="F22" s="15" t="s">
        <v>1081</v>
      </c>
    </row>
    <row r="23" spans="1:6" ht="20.149999999999999" customHeight="1" x14ac:dyDescent="0.35">
      <c r="A23" s="10">
        <v>11</v>
      </c>
      <c r="B23" s="64" t="s">
        <v>332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333</v>
      </c>
      <c r="C24" s="11">
        <f>data!B209</f>
        <v>1766043</v>
      </c>
      <c r="D24" s="11">
        <f>data!C209</f>
        <v>247941</v>
      </c>
      <c r="E24" s="11">
        <f>data!D209</f>
        <v>0</v>
      </c>
      <c r="F24" s="11">
        <f>data!E209</f>
        <v>2013984</v>
      </c>
    </row>
    <row r="25" spans="1:6" ht="20.149999999999999" customHeight="1" x14ac:dyDescent="0.35">
      <c r="A25" s="10">
        <v>13</v>
      </c>
      <c r="B25" s="11" t="s">
        <v>334</v>
      </c>
      <c r="C25" s="11">
        <f>data!B210</f>
        <v>21865252</v>
      </c>
      <c r="D25" s="11">
        <f>data!C210</f>
        <v>1567906</v>
      </c>
      <c r="E25" s="11">
        <f>data!D210</f>
        <v>0</v>
      </c>
      <c r="F25" s="11">
        <f>data!E210</f>
        <v>23433158</v>
      </c>
    </row>
    <row r="26" spans="1:6" ht="20.149999999999999" customHeight="1" x14ac:dyDescent="0.35">
      <c r="A26" s="10">
        <v>14</v>
      </c>
      <c r="B26" s="11" t="s">
        <v>1083</v>
      </c>
      <c r="C26" s="11">
        <f>data!B211</f>
        <v>0</v>
      </c>
      <c r="D26" s="11">
        <f>data!C211</f>
        <v>0</v>
      </c>
      <c r="E26" s="11">
        <f>data!D211</f>
        <v>0</v>
      </c>
      <c r="F26" s="11">
        <f>data!E211</f>
        <v>0</v>
      </c>
    </row>
    <row r="27" spans="1:6" ht="20.149999999999999" customHeight="1" x14ac:dyDescent="0.35">
      <c r="A27" s="10">
        <v>15</v>
      </c>
      <c r="B27" s="11" t="s">
        <v>1084</v>
      </c>
      <c r="C27" s="11">
        <f>data!B212</f>
        <v>10236001</v>
      </c>
      <c r="D27" s="11">
        <f>data!C212</f>
        <v>1485767</v>
      </c>
      <c r="E27" s="11">
        <f>data!D212</f>
        <v>0</v>
      </c>
      <c r="F27" s="11">
        <f>data!E212</f>
        <v>11721768</v>
      </c>
    </row>
    <row r="28" spans="1:6" ht="20.149999999999999" customHeight="1" x14ac:dyDescent="0.35">
      <c r="A28" s="10">
        <v>16</v>
      </c>
      <c r="B28" s="11" t="s">
        <v>1085</v>
      </c>
      <c r="C28" s="11">
        <f>data!B213</f>
        <v>15024126</v>
      </c>
      <c r="D28" s="11">
        <f>data!C213</f>
        <v>964538</v>
      </c>
      <c r="E28" s="11">
        <f>data!D213</f>
        <v>0</v>
      </c>
      <c r="F28" s="11">
        <f>data!E213</f>
        <v>15988664</v>
      </c>
    </row>
    <row r="29" spans="1:6" ht="20.149999999999999" customHeight="1" x14ac:dyDescent="0.35">
      <c r="A29" s="10">
        <v>17</v>
      </c>
      <c r="B29" s="11" t="s">
        <v>1086</v>
      </c>
      <c r="C29" s="11">
        <f>data!B214</f>
        <v>0</v>
      </c>
      <c r="D29" s="11">
        <f>data!C214</f>
        <v>0</v>
      </c>
      <c r="E29" s="11">
        <f>data!D214</f>
        <v>0</v>
      </c>
      <c r="F29" s="11">
        <f>data!E214</f>
        <v>0</v>
      </c>
    </row>
    <row r="30" spans="1:6" ht="20.149999999999999" customHeight="1" x14ac:dyDescent="0.35">
      <c r="A30" s="10">
        <v>18</v>
      </c>
      <c r="B30" s="11" t="s">
        <v>339</v>
      </c>
      <c r="C30" s="11">
        <f>data!B215</f>
        <v>897717</v>
      </c>
      <c r="D30" s="11">
        <f>data!C215</f>
        <v>110307</v>
      </c>
      <c r="E30" s="11">
        <f>data!D215</f>
        <v>0</v>
      </c>
      <c r="F30" s="11">
        <f>data!E215</f>
        <v>1008024</v>
      </c>
    </row>
    <row r="31" spans="1:6" ht="20.149999999999999" customHeight="1" x14ac:dyDescent="0.35">
      <c r="A31" s="10">
        <v>19</v>
      </c>
      <c r="B31" s="11" t="s">
        <v>1087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661</v>
      </c>
      <c r="C32" s="11">
        <f>data!B217</f>
        <v>49789139</v>
      </c>
      <c r="D32" s="11">
        <f>data!C217</f>
        <v>4376459</v>
      </c>
      <c r="E32" s="11">
        <f>data!D217</f>
        <v>0</v>
      </c>
      <c r="F32" s="11">
        <f>data!E217</f>
        <v>54165598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1089</v>
      </c>
      <c r="B1" s="4"/>
      <c r="C1" s="4"/>
      <c r="D1" s="124" t="s">
        <v>1090</v>
      </c>
    </row>
    <row r="2" spans="1:4" ht="20.149999999999999" customHeight="1" x14ac:dyDescent="0.35">
      <c r="A2" s="20" t="str">
        <f>"Hospital: "&amp;data!C84</f>
        <v>Hospital: Jefferson County Public Hospital District No 2</v>
      </c>
      <c r="B2" s="21"/>
      <c r="C2" s="21"/>
      <c r="D2" s="22" t="str">
        <f>"FYE: "&amp;data!C82</f>
        <v>FYE: 12/31/2021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1091</v>
      </c>
      <c r="C4" s="31" t="s">
        <v>1092</v>
      </c>
      <c r="D4" s="40"/>
    </row>
    <row r="5" spans="1:4" ht="20.149999999999999" customHeight="1" x14ac:dyDescent="0.35">
      <c r="A5" s="32">
        <v>1</v>
      </c>
      <c r="B5" s="41"/>
      <c r="C5" s="16" t="s">
        <v>1254</v>
      </c>
      <c r="D5" s="11">
        <f>data!D221</f>
        <v>5525532</v>
      </c>
    </row>
    <row r="6" spans="1:4" ht="20.149999999999999" customHeight="1" x14ac:dyDescent="0.35">
      <c r="A6" s="10">
        <v>2</v>
      </c>
      <c r="B6" s="21"/>
      <c r="C6" s="22" t="s">
        <v>432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296</v>
      </c>
      <c r="D7" s="11">
        <f>data!C223</f>
        <v>100993077</v>
      </c>
    </row>
    <row r="8" spans="1:4" ht="20.149999999999999" customHeight="1" x14ac:dyDescent="0.35">
      <c r="A8" s="10">
        <v>4</v>
      </c>
      <c r="B8" s="41">
        <v>5820</v>
      </c>
      <c r="C8" s="11" t="s">
        <v>297</v>
      </c>
      <c r="D8" s="11">
        <f>data!C224</f>
        <v>24245019</v>
      </c>
    </row>
    <row r="9" spans="1:4" ht="20.149999999999999" customHeight="1" x14ac:dyDescent="0.35">
      <c r="A9" s="10">
        <v>5</v>
      </c>
      <c r="B9" s="41">
        <v>5830</v>
      </c>
      <c r="C9" s="11" t="s">
        <v>309</v>
      </c>
      <c r="D9" s="11">
        <f>data!C225</f>
        <v>0</v>
      </c>
    </row>
    <row r="10" spans="1:4" ht="20.149999999999999" customHeight="1" x14ac:dyDescent="0.35">
      <c r="A10" s="10">
        <v>6</v>
      </c>
      <c r="B10" s="41">
        <v>5840</v>
      </c>
      <c r="C10" s="11" t="s">
        <v>347</v>
      </c>
      <c r="D10" s="11">
        <f>data!C226</f>
        <v>0</v>
      </c>
    </row>
    <row r="11" spans="1:4" ht="20.149999999999999" customHeight="1" x14ac:dyDescent="0.35">
      <c r="A11" s="10">
        <v>7</v>
      </c>
      <c r="B11" s="41">
        <v>5850</v>
      </c>
      <c r="C11" s="11" t="s">
        <v>1093</v>
      </c>
      <c r="D11" s="11">
        <f>data!C227</f>
        <v>0</v>
      </c>
    </row>
    <row r="12" spans="1:4" ht="20.149999999999999" customHeight="1" x14ac:dyDescent="0.35">
      <c r="A12" s="10">
        <v>8</v>
      </c>
      <c r="B12" s="41">
        <v>5860</v>
      </c>
      <c r="C12" s="11" t="s">
        <v>132</v>
      </c>
      <c r="D12" s="11">
        <f>data!C228</f>
        <v>26198456</v>
      </c>
    </row>
    <row r="13" spans="1:4" ht="20.149999999999999" customHeight="1" x14ac:dyDescent="0.35">
      <c r="A13" s="10">
        <v>9</v>
      </c>
      <c r="B13" s="11"/>
      <c r="C13" s="11" t="s">
        <v>1094</v>
      </c>
      <c r="D13" s="11">
        <f>data!D229</f>
        <v>151436552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351</v>
      </c>
      <c r="D15" s="15"/>
    </row>
    <row r="16" spans="1:4" ht="20.149999999999999" customHeight="1" x14ac:dyDescent="0.35">
      <c r="A16" s="13">
        <v>12</v>
      </c>
      <c r="B16" s="12"/>
      <c r="C16" s="28" t="s">
        <v>1095</v>
      </c>
      <c r="D16" s="10">
        <f>+data!C231</f>
        <v>1259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353</v>
      </c>
      <c r="D18" s="11">
        <f>data!C233</f>
        <v>-10000</v>
      </c>
    </row>
    <row r="19" spans="1:4" ht="20.149999999999999" customHeight="1" x14ac:dyDescent="0.35">
      <c r="A19" s="44">
        <v>15</v>
      </c>
      <c r="B19" s="41">
        <v>5910</v>
      </c>
      <c r="C19" s="16" t="s">
        <v>1096</v>
      </c>
      <c r="D19" s="11">
        <f>data!C234</f>
        <v>3882263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1097</v>
      </c>
      <c r="D22" s="11">
        <f>data!D236</f>
        <v>3872263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3">
        <v>20</v>
      </c>
      <c r="B24" s="41">
        <v>5970</v>
      </c>
      <c r="C24" s="11" t="s">
        <v>357</v>
      </c>
      <c r="D24" s="11">
        <f>data!C238</f>
        <v>0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1098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1099</v>
      </c>
      <c r="C27" s="12"/>
      <c r="D27" s="11">
        <f>data!D242</f>
        <v>160834347</v>
      </c>
    </row>
    <row r="28" spans="1:4" ht="20.149999999999999" customHeight="1" x14ac:dyDescent="0.35">
      <c r="A28" s="57">
        <v>24</v>
      </c>
      <c r="B28" s="46" t="s">
        <v>1100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127" zoomScale="75" workbookViewId="0">
      <selection activeCell="C68" activeCellId="1" sqref="C72 C68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1101</v>
      </c>
      <c r="B1" s="4"/>
      <c r="C1" s="4"/>
    </row>
    <row r="2" spans="1:3" ht="20.149999999999999" customHeight="1" x14ac:dyDescent="0.35">
      <c r="A2" s="3"/>
      <c r="B2" s="4"/>
      <c r="C2" s="124" t="s">
        <v>1102</v>
      </c>
    </row>
    <row r="3" spans="1:3" ht="20.149999999999999" customHeight="1" x14ac:dyDescent="0.35">
      <c r="A3" s="20" t="str">
        <f>"HOSPITAL: "&amp;data!C84</f>
        <v>HOSPITAL: Jefferson County Public Hospital District No 2</v>
      </c>
      <c r="B3" s="21"/>
      <c r="C3" s="22" t="str">
        <f>" FYE: "&amp;data!C82</f>
        <v xml:space="preserve"> FYE: 12/31/2021</v>
      </c>
    </row>
    <row r="4" spans="1:3" ht="20.149999999999999" customHeight="1" x14ac:dyDescent="0.35">
      <c r="A4" s="23"/>
      <c r="B4" s="24" t="s">
        <v>1103</v>
      </c>
      <c r="C4" s="25"/>
    </row>
    <row r="5" spans="1:3" ht="20.149999999999999" customHeight="1" x14ac:dyDescent="0.35">
      <c r="A5" s="10">
        <v>1</v>
      </c>
      <c r="B5" s="26" t="s">
        <v>361</v>
      </c>
      <c r="C5" s="26"/>
    </row>
    <row r="6" spans="1:3" ht="20.149999999999999" customHeight="1" x14ac:dyDescent="0.35">
      <c r="A6" s="10">
        <v>2</v>
      </c>
      <c r="B6" s="11" t="s">
        <v>362</v>
      </c>
      <c r="C6" s="11">
        <f>data!C250</f>
        <v>64455434</v>
      </c>
    </row>
    <row r="7" spans="1:3" ht="20.149999999999999" customHeight="1" x14ac:dyDescent="0.35">
      <c r="A7" s="10">
        <v>3</v>
      </c>
      <c r="B7" s="11" t="s">
        <v>363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364</v>
      </c>
      <c r="C8" s="11">
        <f>data!C252</f>
        <v>36791422</v>
      </c>
    </row>
    <row r="9" spans="1:3" ht="20.149999999999999" customHeight="1" x14ac:dyDescent="0.35">
      <c r="A9" s="10">
        <v>5</v>
      </c>
      <c r="B9" s="11" t="s">
        <v>1104</v>
      </c>
      <c r="C9" s="11">
        <f>data!C253</f>
        <v>19844000</v>
      </c>
    </row>
    <row r="10" spans="1:3" ht="20.149999999999999" customHeight="1" x14ac:dyDescent="0.35">
      <c r="A10" s="10">
        <v>6</v>
      </c>
      <c r="B10" s="11" t="s">
        <v>1105</v>
      </c>
      <c r="C10" s="11">
        <f>data!C254</f>
        <v>0</v>
      </c>
    </row>
    <row r="11" spans="1:3" ht="20.149999999999999" customHeight="1" x14ac:dyDescent="0.35">
      <c r="A11" s="10">
        <v>7</v>
      </c>
      <c r="B11" s="11" t="s">
        <v>1106</v>
      </c>
      <c r="C11" s="11">
        <f>data!C255</f>
        <v>1988668</v>
      </c>
    </row>
    <row r="12" spans="1:3" ht="20.149999999999999" customHeight="1" x14ac:dyDescent="0.35">
      <c r="A12" s="10">
        <v>8</v>
      </c>
      <c r="B12" s="11" t="s">
        <v>367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368</v>
      </c>
      <c r="C13" s="11">
        <f>data!C257</f>
        <v>5195882</v>
      </c>
    </row>
    <row r="14" spans="1:3" ht="20.149999999999999" customHeight="1" x14ac:dyDescent="0.35">
      <c r="A14" s="10">
        <v>10</v>
      </c>
      <c r="B14" s="11" t="s">
        <v>369</v>
      </c>
      <c r="C14" s="11">
        <f>data!C258</f>
        <v>1513047</v>
      </c>
    </row>
    <row r="15" spans="1:3" ht="20.149999999999999" customHeight="1" x14ac:dyDescent="0.35">
      <c r="A15" s="10">
        <v>11</v>
      </c>
      <c r="B15" s="11" t="s">
        <v>1107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1108</v>
      </c>
      <c r="C16" s="11">
        <f>data!D260</f>
        <v>90100453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1109</v>
      </c>
      <c r="C18" s="26"/>
    </row>
    <row r="19" spans="1:3" ht="20.149999999999999" customHeight="1" x14ac:dyDescent="0.35">
      <c r="A19" s="10">
        <v>15</v>
      </c>
      <c r="B19" s="11" t="s">
        <v>362</v>
      </c>
      <c r="C19" s="11">
        <f>data!C262</f>
        <v>0</v>
      </c>
    </row>
    <row r="20" spans="1:3" ht="20.149999999999999" customHeight="1" x14ac:dyDescent="0.35">
      <c r="A20" s="10">
        <v>16</v>
      </c>
      <c r="B20" s="11" t="s">
        <v>363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373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1110</v>
      </c>
      <c r="C22" s="11">
        <f>data!D265</f>
        <v>0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1111</v>
      </c>
      <c r="C24" s="26"/>
    </row>
    <row r="25" spans="1:3" ht="20.149999999999999" customHeight="1" x14ac:dyDescent="0.35">
      <c r="A25" s="10">
        <v>21</v>
      </c>
      <c r="B25" s="11" t="s">
        <v>332</v>
      </c>
      <c r="C25" s="11">
        <f>data!C267</f>
        <v>1722171</v>
      </c>
    </row>
    <row r="26" spans="1:3" ht="20.149999999999999" customHeight="1" x14ac:dyDescent="0.35">
      <c r="A26" s="10">
        <v>22</v>
      </c>
      <c r="B26" s="11" t="s">
        <v>333</v>
      </c>
      <c r="C26" s="11">
        <f>data!C268</f>
        <v>4028158</v>
      </c>
    </row>
    <row r="27" spans="1:3" ht="20.149999999999999" customHeight="1" x14ac:dyDescent="0.35">
      <c r="A27" s="10">
        <v>23</v>
      </c>
      <c r="B27" s="11" t="s">
        <v>334</v>
      </c>
      <c r="C27" s="11">
        <f>data!C269</f>
        <v>49251245</v>
      </c>
    </row>
    <row r="28" spans="1:3" ht="20.149999999999999" customHeight="1" x14ac:dyDescent="0.35">
      <c r="A28" s="10">
        <v>24</v>
      </c>
      <c r="B28" s="11" t="s">
        <v>1112</v>
      </c>
      <c r="C28" s="11">
        <f>data!C270</f>
        <v>0</v>
      </c>
    </row>
    <row r="29" spans="1:3" ht="20.149999999999999" customHeight="1" x14ac:dyDescent="0.35">
      <c r="A29" s="10">
        <v>25</v>
      </c>
      <c r="B29" s="11" t="s">
        <v>336</v>
      </c>
      <c r="C29" s="11">
        <f>data!C271</f>
        <v>22413231</v>
      </c>
    </row>
    <row r="30" spans="1:3" ht="20.149999999999999" customHeight="1" x14ac:dyDescent="0.35">
      <c r="A30" s="10">
        <v>26</v>
      </c>
      <c r="B30" s="11" t="s">
        <v>378</v>
      </c>
      <c r="C30" s="11">
        <f>data!C272</f>
        <v>10736103</v>
      </c>
    </row>
    <row r="31" spans="1:3" ht="20.149999999999999" customHeight="1" x14ac:dyDescent="0.35">
      <c r="A31" s="10">
        <v>27</v>
      </c>
      <c r="B31" s="11" t="s">
        <v>339</v>
      </c>
      <c r="C31" s="11">
        <f>data!C273</f>
        <v>1361180</v>
      </c>
    </row>
    <row r="32" spans="1:3" ht="20.149999999999999" customHeight="1" x14ac:dyDescent="0.35">
      <c r="A32" s="10">
        <v>28</v>
      </c>
      <c r="B32" s="11" t="s">
        <v>340</v>
      </c>
      <c r="C32" s="11">
        <f>data!C274</f>
        <v>1394976</v>
      </c>
    </row>
    <row r="33" spans="1:3" ht="20.149999999999999" customHeight="1" x14ac:dyDescent="0.35">
      <c r="A33" s="10">
        <v>29</v>
      </c>
      <c r="B33" s="11" t="s">
        <v>661</v>
      </c>
      <c r="C33" s="11">
        <f>data!D275</f>
        <v>90907064</v>
      </c>
    </row>
    <row r="34" spans="1:3" ht="20.149999999999999" customHeight="1" x14ac:dyDescent="0.35">
      <c r="A34" s="10">
        <v>30</v>
      </c>
      <c r="B34" s="11" t="s">
        <v>1113</v>
      </c>
      <c r="C34" s="11">
        <f>data!C276</f>
        <v>54165598</v>
      </c>
    </row>
    <row r="35" spans="1:3" ht="20.149999999999999" customHeight="1" x14ac:dyDescent="0.35">
      <c r="A35" s="10">
        <v>31</v>
      </c>
      <c r="B35" s="11" t="s">
        <v>1114</v>
      </c>
      <c r="C35" s="11">
        <f>data!D277</f>
        <v>36741466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1115</v>
      </c>
      <c r="C37" s="26"/>
    </row>
    <row r="38" spans="1:3" ht="20.149999999999999" customHeight="1" x14ac:dyDescent="0.35">
      <c r="A38" s="10">
        <v>34</v>
      </c>
      <c r="B38" s="11" t="s">
        <v>1116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1117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385</v>
      </c>
      <c r="C40" s="11">
        <f>data!C281</f>
        <v>0</v>
      </c>
    </row>
    <row r="41" spans="1:3" ht="20.149999999999999" customHeight="1" x14ac:dyDescent="0.35">
      <c r="A41" s="10">
        <v>37</v>
      </c>
      <c r="B41" s="11" t="s">
        <v>373</v>
      </c>
      <c r="C41" s="11">
        <f>data!C282</f>
        <v>0</v>
      </c>
    </row>
    <row r="42" spans="1:3" ht="20.149999999999999" customHeight="1" x14ac:dyDescent="0.35">
      <c r="A42" s="10">
        <v>38</v>
      </c>
      <c r="B42" s="11" t="s">
        <v>1118</v>
      </c>
      <c r="C42" s="11">
        <f>data!D283</f>
        <v>0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1119</v>
      </c>
      <c r="C44" s="26"/>
    </row>
    <row r="45" spans="1:3" ht="20.149999999999999" customHeight="1" x14ac:dyDescent="0.35">
      <c r="A45" s="10">
        <v>41</v>
      </c>
      <c r="B45" s="11" t="s">
        <v>388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389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1120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391</v>
      </c>
      <c r="C48" s="11">
        <f>data!C289</f>
        <v>0</v>
      </c>
    </row>
    <row r="49" spans="1:3" ht="20.149999999999999" customHeight="1" x14ac:dyDescent="0.35">
      <c r="A49" s="10">
        <v>45</v>
      </c>
      <c r="B49" s="11" t="s">
        <v>1121</v>
      </c>
      <c r="C49" s="11">
        <f>data!D290</f>
        <v>0</v>
      </c>
    </row>
    <row r="50" spans="1:3" ht="20.149999999999999" customHeight="1" x14ac:dyDescent="0.35">
      <c r="A50" s="30">
        <v>46</v>
      </c>
      <c r="B50" s="31" t="s">
        <v>1122</v>
      </c>
      <c r="C50" s="11">
        <f>data!D292</f>
        <v>126841919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1123</v>
      </c>
      <c r="B53" s="4"/>
      <c r="C53" s="4"/>
    </row>
    <row r="54" spans="1:3" ht="20.149999999999999" customHeight="1" x14ac:dyDescent="0.35">
      <c r="A54" s="3"/>
      <c r="B54" s="4"/>
      <c r="C54" s="124" t="s">
        <v>1124</v>
      </c>
    </row>
    <row r="55" spans="1:3" ht="20.149999999999999" customHeight="1" x14ac:dyDescent="0.35">
      <c r="A55" s="20" t="str">
        <f>"HOSPITAL: "&amp;data!C84</f>
        <v>HOSPITAL: Jefferson County Public Hospital District No 2</v>
      </c>
      <c r="B55" s="21"/>
      <c r="C55" s="22" t="str">
        <f>"FYE: "&amp;data!C82</f>
        <v>FYE: 12/31/2021</v>
      </c>
    </row>
    <row r="56" spans="1:3" ht="20.149999999999999" customHeight="1" x14ac:dyDescent="0.35">
      <c r="A56" s="32"/>
      <c r="B56" s="33" t="s">
        <v>1125</v>
      </c>
      <c r="C56" s="25"/>
    </row>
    <row r="57" spans="1:3" ht="20.149999999999999" customHeight="1" x14ac:dyDescent="0.35">
      <c r="A57" s="13">
        <v>1</v>
      </c>
      <c r="B57" s="3" t="s">
        <v>395</v>
      </c>
      <c r="C57" s="34"/>
    </row>
    <row r="58" spans="1:3" ht="20.149999999999999" customHeight="1" x14ac:dyDescent="0.35">
      <c r="A58" s="10">
        <v>2</v>
      </c>
      <c r="B58" s="11" t="s">
        <v>396</v>
      </c>
      <c r="C58" s="11">
        <f>data!C304</f>
        <v>0</v>
      </c>
    </row>
    <row r="59" spans="1:3" ht="20.149999999999999" customHeight="1" x14ac:dyDescent="0.35">
      <c r="A59" s="10">
        <v>3</v>
      </c>
      <c r="B59" s="11" t="s">
        <v>1126</v>
      </c>
      <c r="C59" s="11">
        <f>data!C305</f>
        <v>3264310</v>
      </c>
    </row>
    <row r="60" spans="1:3" ht="20.149999999999999" customHeight="1" x14ac:dyDescent="0.35">
      <c r="A60" s="10">
        <v>4</v>
      </c>
      <c r="B60" s="11" t="s">
        <v>1127</v>
      </c>
      <c r="C60" s="11">
        <f>data!C306</f>
        <v>9522030</v>
      </c>
    </row>
    <row r="61" spans="1:3" ht="20.149999999999999" customHeight="1" x14ac:dyDescent="0.35">
      <c r="A61" s="10">
        <v>5</v>
      </c>
      <c r="B61" s="11" t="s">
        <v>399</v>
      </c>
      <c r="C61" s="11">
        <f>data!C307</f>
        <v>276085</v>
      </c>
    </row>
    <row r="62" spans="1:3" ht="20.149999999999999" customHeight="1" x14ac:dyDescent="0.35">
      <c r="A62" s="10">
        <v>6</v>
      </c>
      <c r="B62" s="11" t="s">
        <v>1128</v>
      </c>
      <c r="C62" s="11">
        <f>data!C308</f>
        <v>4600412</v>
      </c>
    </row>
    <row r="63" spans="1:3" ht="20.149999999999999" customHeight="1" x14ac:dyDescent="0.35">
      <c r="A63" s="10">
        <v>7</v>
      </c>
      <c r="B63" s="11" t="s">
        <v>1129</v>
      </c>
      <c r="C63" s="11">
        <f>data!C309</f>
        <v>0</v>
      </c>
    </row>
    <row r="64" spans="1:3" ht="20.149999999999999" customHeight="1" x14ac:dyDescent="0.35">
      <c r="A64" s="10">
        <v>8</v>
      </c>
      <c r="B64" s="11" t="s">
        <v>401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402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403</v>
      </c>
      <c r="C66" s="11">
        <f>data!C312</f>
        <v>8966970</v>
      </c>
    </row>
    <row r="67" spans="1:3" ht="20.149999999999999" customHeight="1" x14ac:dyDescent="0.35">
      <c r="A67" s="10">
        <v>11</v>
      </c>
      <c r="B67" s="11" t="s">
        <v>1130</v>
      </c>
      <c r="C67" s="11">
        <f>data!C313</f>
        <v>1540013</v>
      </c>
    </row>
    <row r="68" spans="1:3" ht="20.149999999999999" customHeight="1" x14ac:dyDescent="0.35">
      <c r="A68" s="10">
        <v>12</v>
      </c>
      <c r="B68" s="11" t="s">
        <v>1131</v>
      </c>
      <c r="C68" s="11">
        <f>data!D314</f>
        <v>28169820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1132</v>
      </c>
      <c r="C70" s="26"/>
    </row>
    <row r="71" spans="1:3" ht="20.149999999999999" customHeight="1" x14ac:dyDescent="0.35">
      <c r="A71" s="10">
        <v>15</v>
      </c>
      <c r="B71" s="11" t="s">
        <v>407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1133</v>
      </c>
      <c r="C72" s="11">
        <f>data!C317</f>
        <v>2645331</v>
      </c>
    </row>
    <row r="73" spans="1:3" ht="20.149999999999999" customHeight="1" x14ac:dyDescent="0.35">
      <c r="A73" s="10">
        <v>17</v>
      </c>
      <c r="B73" s="11" t="s">
        <v>409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1134</v>
      </c>
      <c r="C74" s="11">
        <f>data!D319</f>
        <v>2645331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411</v>
      </c>
      <c r="C76" s="26"/>
    </row>
    <row r="77" spans="1:3" ht="20.149999999999999" customHeight="1" x14ac:dyDescent="0.35">
      <c r="A77" s="10">
        <v>21</v>
      </c>
      <c r="B77" s="11" t="s">
        <v>412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1135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414</v>
      </c>
      <c r="C79" s="11">
        <f>data!C323</f>
        <v>0</v>
      </c>
    </row>
    <row r="80" spans="1:3" ht="20.149999999999999" customHeight="1" x14ac:dyDescent="0.35">
      <c r="A80" s="10">
        <v>24</v>
      </c>
      <c r="B80" s="11" t="s">
        <v>1136</v>
      </c>
      <c r="C80" s="11">
        <f>data!C324</f>
        <v>185580</v>
      </c>
    </row>
    <row r="81" spans="1:3" ht="20.149999999999999" customHeight="1" x14ac:dyDescent="0.35">
      <c r="A81" s="10">
        <v>25</v>
      </c>
      <c r="B81" s="11" t="s">
        <v>416</v>
      </c>
      <c r="C81" s="11">
        <f>data!C325</f>
        <v>26616677</v>
      </c>
    </row>
    <row r="82" spans="1:3" ht="20.149999999999999" customHeight="1" x14ac:dyDescent="0.35">
      <c r="A82" s="10">
        <v>26</v>
      </c>
      <c r="B82" s="11" t="s">
        <v>1137</v>
      </c>
      <c r="C82" s="11">
        <f>data!C326</f>
        <v>0</v>
      </c>
    </row>
    <row r="83" spans="1:3" ht="20.149999999999999" customHeight="1" x14ac:dyDescent="0.35">
      <c r="A83" s="10">
        <v>27</v>
      </c>
      <c r="B83" s="11" t="s">
        <v>418</v>
      </c>
      <c r="C83" s="11">
        <f>data!C327</f>
        <v>0</v>
      </c>
    </row>
    <row r="84" spans="1:3" ht="20.149999999999999" customHeight="1" x14ac:dyDescent="0.35">
      <c r="A84" s="10">
        <v>28</v>
      </c>
      <c r="B84" s="11" t="s">
        <v>661</v>
      </c>
      <c r="C84" s="11">
        <f>data!D328</f>
        <v>26802257</v>
      </c>
    </row>
    <row r="85" spans="1:3" ht="20.149999999999999" customHeight="1" x14ac:dyDescent="0.35">
      <c r="A85" s="10">
        <v>29</v>
      </c>
      <c r="B85" s="11" t="s">
        <v>1138</v>
      </c>
      <c r="C85" s="11">
        <f>data!D329</f>
        <v>1540013</v>
      </c>
    </row>
    <row r="86" spans="1:3" ht="20.149999999999999" customHeight="1" x14ac:dyDescent="0.35">
      <c r="A86" s="10">
        <v>30</v>
      </c>
      <c r="B86" s="11" t="s">
        <v>1139</v>
      </c>
      <c r="C86" s="11">
        <f>data!D330</f>
        <v>25262244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1140</v>
      </c>
      <c r="C88" s="11">
        <f>data!C332</f>
        <v>70764524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1141</v>
      </c>
      <c r="C90" s="26"/>
    </row>
    <row r="91" spans="1:3" ht="20.149999999999999" customHeight="1" x14ac:dyDescent="0.35">
      <c r="A91" s="10">
        <v>35</v>
      </c>
      <c r="B91" s="11" t="s">
        <v>1142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1143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1144</v>
      </c>
      <c r="C95" s="11">
        <f>data!C336</f>
        <v>0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1145</v>
      </c>
      <c r="C97" s="11">
        <f>data!C337</f>
        <v>0</v>
      </c>
    </row>
    <row r="98" spans="1:3" ht="20.149999999999999" customHeight="1" x14ac:dyDescent="0.35">
      <c r="A98" s="10">
        <v>42</v>
      </c>
      <c r="B98" s="11" t="s">
        <v>1146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1147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1148</v>
      </c>
      <c r="C101" s="11">
        <f>data!C332+data!C334+data!C335+data!C336+data!C337-data!C338</f>
        <v>70764524</v>
      </c>
    </row>
    <row r="102" spans="1:3" ht="20.149999999999999" customHeight="1" x14ac:dyDescent="0.35">
      <c r="A102" s="10">
        <v>46</v>
      </c>
      <c r="B102" s="11" t="s">
        <v>1149</v>
      </c>
      <c r="C102" s="11">
        <f>data!D339</f>
        <v>126841919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1150</v>
      </c>
      <c r="B105" s="4"/>
      <c r="C105" s="4"/>
    </row>
    <row r="106" spans="1:3" ht="20.149999999999999" customHeight="1" x14ac:dyDescent="0.35">
      <c r="A106" s="21"/>
      <c r="C106" s="124" t="s">
        <v>1151</v>
      </c>
    </row>
    <row r="107" spans="1:3" ht="20.149999999999999" customHeight="1" x14ac:dyDescent="0.35">
      <c r="A107" s="20" t="str">
        <f>"HOSPITAL: "&amp;data!C84</f>
        <v>HOSPITAL: Jefferson County Public Hospital District No 2</v>
      </c>
      <c r="B107" s="21"/>
      <c r="C107" s="22" t="str">
        <f>" FYE: "&amp;data!C82</f>
        <v xml:space="preserve"> FYE: 12/31/2021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1152</v>
      </c>
      <c r="C109" s="26"/>
    </row>
    <row r="110" spans="1:3" ht="20.149999999999999" customHeight="1" x14ac:dyDescent="0.35">
      <c r="A110" s="10">
        <v>2</v>
      </c>
      <c r="B110" s="11" t="s">
        <v>428</v>
      </c>
      <c r="C110" s="11">
        <f>data!C359</f>
        <v>39798234</v>
      </c>
    </row>
    <row r="111" spans="1:3" ht="20.149999999999999" customHeight="1" x14ac:dyDescent="0.35">
      <c r="A111" s="10">
        <v>3</v>
      </c>
      <c r="B111" s="11" t="s">
        <v>429</v>
      </c>
      <c r="C111" s="11">
        <f>data!C360</f>
        <v>258197348</v>
      </c>
    </row>
    <row r="112" spans="1:3" ht="20.149999999999999" customHeight="1" x14ac:dyDescent="0.35">
      <c r="A112" s="10">
        <v>4</v>
      </c>
      <c r="B112" s="11" t="s">
        <v>1153</v>
      </c>
      <c r="C112" s="11">
        <f>data!D361</f>
        <v>297995582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1154</v>
      </c>
      <c r="C114" s="26"/>
    </row>
    <row r="115" spans="1:3" ht="20.149999999999999" customHeight="1" x14ac:dyDescent="0.35">
      <c r="A115" s="10">
        <v>7</v>
      </c>
      <c r="B115" s="212" t="s">
        <v>450</v>
      </c>
      <c r="C115" s="37">
        <f>data!C363</f>
        <v>5525532</v>
      </c>
    </row>
    <row r="116" spans="1:3" ht="20.149999999999999" customHeight="1" x14ac:dyDescent="0.35">
      <c r="A116" s="10">
        <v>8</v>
      </c>
      <c r="B116" s="11" t="s">
        <v>432</v>
      </c>
      <c r="C116" s="37">
        <f>data!C364</f>
        <v>151436552</v>
      </c>
    </row>
    <row r="117" spans="1:3" ht="20.149999999999999" customHeight="1" x14ac:dyDescent="0.35">
      <c r="A117" s="10">
        <v>9</v>
      </c>
      <c r="B117" s="11" t="s">
        <v>1155</v>
      </c>
      <c r="C117" s="37">
        <f>data!C365</f>
        <v>3872263</v>
      </c>
    </row>
    <row r="118" spans="1:3" ht="20.149999999999999" customHeight="1" x14ac:dyDescent="0.35">
      <c r="A118" s="10">
        <v>10</v>
      </c>
      <c r="B118" s="11" t="s">
        <v>1156</v>
      </c>
      <c r="C118" s="37">
        <f>data!C366</f>
        <v>0</v>
      </c>
    </row>
    <row r="119" spans="1:3" ht="20.149999999999999" customHeight="1" x14ac:dyDescent="0.35">
      <c r="A119" s="10">
        <v>11</v>
      </c>
      <c r="B119" s="11" t="s">
        <v>1099</v>
      </c>
      <c r="C119" s="37">
        <f>data!D367</f>
        <v>160834347</v>
      </c>
    </row>
    <row r="120" spans="1:3" ht="20.149999999999999" customHeight="1" x14ac:dyDescent="0.35">
      <c r="A120" s="10">
        <v>12</v>
      </c>
      <c r="B120" s="11" t="s">
        <v>1157</v>
      </c>
      <c r="C120" s="37">
        <f>data!D368</f>
        <v>137161235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436</v>
      </c>
      <c r="C122" s="26"/>
    </row>
    <row r="123" spans="1:3" ht="20.149999999999999" customHeight="1" x14ac:dyDescent="0.35">
      <c r="A123" s="10">
        <v>15</v>
      </c>
      <c r="B123" s="11" t="s">
        <v>437</v>
      </c>
      <c r="C123" s="37">
        <f>data!C370</f>
        <v>9226620</v>
      </c>
    </row>
    <row r="124" spans="1:3" ht="20.149999999999999" customHeight="1" x14ac:dyDescent="0.35">
      <c r="A124" s="10">
        <v>16</v>
      </c>
      <c r="B124" s="11" t="s">
        <v>438</v>
      </c>
      <c r="C124" s="37">
        <f>data!C371</f>
        <v>503708</v>
      </c>
    </row>
    <row r="125" spans="1:3" ht="20.149999999999999" customHeight="1" x14ac:dyDescent="0.35">
      <c r="A125" s="10">
        <v>17</v>
      </c>
      <c r="B125" s="11" t="s">
        <v>1158</v>
      </c>
      <c r="C125" s="37">
        <f>data!D372</f>
        <v>9730328</v>
      </c>
    </row>
    <row r="126" spans="1:3" ht="20.149999999999999" customHeight="1" x14ac:dyDescent="0.35">
      <c r="A126" s="10">
        <v>18</v>
      </c>
      <c r="B126" s="11" t="s">
        <v>1159</v>
      </c>
      <c r="C126" s="37">
        <f>data!D373</f>
        <v>146891563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1160</v>
      </c>
      <c r="C128" s="26"/>
    </row>
    <row r="129" spans="1:3" ht="20.149999999999999" customHeight="1" x14ac:dyDescent="0.35">
      <c r="A129" s="10">
        <v>21</v>
      </c>
      <c r="B129" s="11" t="s">
        <v>442</v>
      </c>
      <c r="C129" s="37">
        <f>data!C378</f>
        <v>70571034</v>
      </c>
    </row>
    <row r="130" spans="1:3" ht="20.149999999999999" customHeight="1" x14ac:dyDescent="0.35">
      <c r="A130" s="10">
        <v>22</v>
      </c>
      <c r="B130" s="11" t="s">
        <v>3</v>
      </c>
      <c r="C130" s="37">
        <f>data!C379</f>
        <v>15917306</v>
      </c>
    </row>
    <row r="131" spans="1:3" ht="20.149999999999999" customHeight="1" x14ac:dyDescent="0.35">
      <c r="A131" s="10">
        <v>23</v>
      </c>
      <c r="B131" s="11" t="s">
        <v>236</v>
      </c>
      <c r="C131" s="37">
        <f>data!C380</f>
        <v>3069586</v>
      </c>
    </row>
    <row r="132" spans="1:3" ht="20.149999999999999" customHeight="1" x14ac:dyDescent="0.35">
      <c r="A132" s="10">
        <v>24</v>
      </c>
      <c r="B132" s="11" t="s">
        <v>237</v>
      </c>
      <c r="C132" s="37">
        <f>data!C381</f>
        <v>28439638</v>
      </c>
    </row>
    <row r="133" spans="1:3" ht="20.149999999999999" customHeight="1" x14ac:dyDescent="0.35">
      <c r="A133" s="10">
        <v>25</v>
      </c>
      <c r="B133" s="11" t="s">
        <v>1161</v>
      </c>
      <c r="C133" s="37">
        <f>data!C382</f>
        <v>1192355</v>
      </c>
    </row>
    <row r="134" spans="1:3" ht="20.149999999999999" customHeight="1" x14ac:dyDescent="0.35">
      <c r="A134" s="10">
        <v>26</v>
      </c>
      <c r="B134" s="11" t="s">
        <v>1162</v>
      </c>
      <c r="C134" s="37">
        <f>data!C383</f>
        <v>8621439</v>
      </c>
    </row>
    <row r="135" spans="1:3" ht="20.149999999999999" customHeight="1" x14ac:dyDescent="0.35">
      <c r="A135" s="10">
        <v>27</v>
      </c>
      <c r="B135" s="11" t="s">
        <v>6</v>
      </c>
      <c r="C135" s="37">
        <f>data!C384</f>
        <v>4376458</v>
      </c>
    </row>
    <row r="136" spans="1:3" ht="20.149999999999999" customHeight="1" x14ac:dyDescent="0.35">
      <c r="A136" s="10">
        <v>28</v>
      </c>
      <c r="B136" s="11" t="s">
        <v>1163</v>
      </c>
      <c r="C136" s="37">
        <f>data!C385</f>
        <v>1681492</v>
      </c>
    </row>
    <row r="137" spans="1:3" ht="20.149999999999999" customHeight="1" x14ac:dyDescent="0.35">
      <c r="A137" s="10">
        <v>29</v>
      </c>
      <c r="B137" s="11" t="s">
        <v>447</v>
      </c>
      <c r="C137" s="37">
        <f>data!C386</f>
        <v>1154749</v>
      </c>
    </row>
    <row r="138" spans="1:3" ht="20.149999999999999" customHeight="1" x14ac:dyDescent="0.35">
      <c r="A138" s="10">
        <v>30</v>
      </c>
      <c r="B138" s="11" t="s">
        <v>1164</v>
      </c>
      <c r="C138" s="37">
        <f>data!C387</f>
        <v>923436</v>
      </c>
    </row>
    <row r="139" spans="1:3" ht="20.149999999999999" customHeight="1" x14ac:dyDescent="0.35">
      <c r="A139" s="10">
        <v>31</v>
      </c>
      <c r="B139" s="11" t="s">
        <v>449</v>
      </c>
      <c r="C139" s="37">
        <f>data!C388</f>
        <v>970362</v>
      </c>
    </row>
    <row r="140" spans="1:3" ht="20.149999999999999" customHeight="1" x14ac:dyDescent="0.35">
      <c r="A140" s="10">
        <v>32</v>
      </c>
      <c r="B140" s="11" t="s">
        <v>241</v>
      </c>
      <c r="C140" s="37">
        <f>data!C389</f>
        <v>2369520</v>
      </c>
    </row>
    <row r="141" spans="1:3" ht="20.149999999999999" customHeight="1" x14ac:dyDescent="0.35">
      <c r="A141" s="10">
        <v>34</v>
      </c>
      <c r="B141" s="11" t="s">
        <v>1165</v>
      </c>
      <c r="C141" s="37">
        <f>data!D390</f>
        <v>139287375</v>
      </c>
    </row>
    <row r="142" spans="1:3" ht="20.149999999999999" customHeight="1" x14ac:dyDescent="0.35">
      <c r="A142" s="10">
        <v>35</v>
      </c>
      <c r="B142" s="11" t="s">
        <v>1166</v>
      </c>
      <c r="C142" s="37">
        <f>data!D391</f>
        <v>7604188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1167</v>
      </c>
      <c r="C144" s="37">
        <f>data!C392</f>
        <v>0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1168</v>
      </c>
      <c r="C146" s="11">
        <f>data!D393</f>
        <v>7604188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1169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1170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1171</v>
      </c>
      <c r="C151" s="37">
        <f>data!D396</f>
        <v>7604188</v>
      </c>
    </row>
    <row r="152" spans="1:3" ht="20.149999999999999" customHeight="1" x14ac:dyDescent="0.35">
      <c r="A152" s="30">
        <v>45</v>
      </c>
      <c r="B152" s="28" t="s">
        <v>1172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topLeftCell="A38" zoomScale="65" workbookViewId="0">
      <selection activeCell="E39" sqref="E39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1173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1174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Jefferson County Public Hospital District No 2</v>
      </c>
      <c r="G4" s="8"/>
      <c r="H4" s="55" t="str">
        <f>"FYE: "&amp;data!C82</f>
        <v>FYE: 12/31/2021</v>
      </c>
    </row>
    <row r="5" spans="1:9" ht="20.149999999999999" customHeight="1" x14ac:dyDescent="0.35">
      <c r="A5" s="10">
        <v>1</v>
      </c>
      <c r="B5" s="11" t="s">
        <v>209</v>
      </c>
      <c r="C5" s="61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</row>
    <row r="6" spans="1:9" ht="20.149999999999999" customHeight="1" x14ac:dyDescent="0.35">
      <c r="A6" s="13">
        <v>2</v>
      </c>
      <c r="B6" s="14" t="s">
        <v>1175</v>
      </c>
      <c r="C6" s="60" t="s">
        <v>92</v>
      </c>
      <c r="D6" s="15" t="s">
        <v>1176</v>
      </c>
      <c r="E6" s="15" t="s">
        <v>94</v>
      </c>
      <c r="F6" s="15" t="s">
        <v>95</v>
      </c>
      <c r="G6" s="15" t="s">
        <v>96</v>
      </c>
      <c r="H6" s="15" t="s">
        <v>97</v>
      </c>
      <c r="I6" s="15" t="s">
        <v>98</v>
      </c>
    </row>
    <row r="7" spans="1:9" ht="20.149999999999999" customHeight="1" x14ac:dyDescent="0.35">
      <c r="A7" s="13"/>
      <c r="B7" s="14"/>
      <c r="C7" s="15" t="s">
        <v>163</v>
      </c>
      <c r="D7" s="15" t="s">
        <v>1177</v>
      </c>
      <c r="E7" s="15" t="s">
        <v>163</v>
      </c>
      <c r="F7" s="15" t="s">
        <v>1178</v>
      </c>
      <c r="G7" s="15" t="s">
        <v>165</v>
      </c>
      <c r="H7" s="15" t="s">
        <v>163</v>
      </c>
      <c r="I7" s="15" t="s">
        <v>166</v>
      </c>
    </row>
    <row r="8" spans="1:9" ht="20.149999999999999" customHeight="1" x14ac:dyDescent="0.35">
      <c r="A8" s="10">
        <v>3</v>
      </c>
      <c r="B8" s="11" t="s">
        <v>1179</v>
      </c>
      <c r="C8" s="12" t="s">
        <v>215</v>
      </c>
      <c r="D8" s="12" t="s">
        <v>215</v>
      </c>
      <c r="E8" s="12" t="s">
        <v>215</v>
      </c>
      <c r="F8" s="12" t="s">
        <v>215</v>
      </c>
      <c r="G8" s="12" t="s">
        <v>215</v>
      </c>
      <c r="H8" s="12" t="s">
        <v>215</v>
      </c>
      <c r="I8" s="12" t="s">
        <v>215</v>
      </c>
    </row>
    <row r="9" spans="1:9" ht="20.149999999999999" customHeight="1" x14ac:dyDescent="0.35">
      <c r="A9" s="10">
        <v>4</v>
      </c>
      <c r="B9" s="11" t="s">
        <v>233</v>
      </c>
      <c r="C9" s="11">
        <f>data!C59</f>
        <v>320</v>
      </c>
      <c r="D9" s="11">
        <f>data!D59</f>
        <v>0</v>
      </c>
      <c r="E9" s="11">
        <f>data!E59</f>
        <v>3611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234</v>
      </c>
      <c r="C10" s="17">
        <f>data!C60</f>
        <v>8.7799999999999994</v>
      </c>
      <c r="D10" s="17">
        <f>data!D60</f>
        <v>0</v>
      </c>
      <c r="E10" s="17">
        <f>data!E60</f>
        <v>41.384213080656345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235</v>
      </c>
      <c r="C11" s="11">
        <f>data!C61</f>
        <v>1000475</v>
      </c>
      <c r="D11" s="11">
        <f>data!D61</f>
        <v>0</v>
      </c>
      <c r="E11" s="11">
        <f>data!E61</f>
        <v>5717146.0016177492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3</v>
      </c>
      <c r="C12" s="11">
        <f>data!C62</f>
        <v>225657</v>
      </c>
      <c r="D12" s="11">
        <f>data!D62</f>
        <v>0</v>
      </c>
      <c r="E12" s="11">
        <f>data!E62</f>
        <v>1289503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236</v>
      </c>
      <c r="C13" s="11">
        <f>data!C63</f>
        <v>51431</v>
      </c>
      <c r="D13" s="11">
        <f>data!D63</f>
        <v>0</v>
      </c>
      <c r="E13" s="11">
        <f>data!E63</f>
        <v>6258.9553963485096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237</v>
      </c>
      <c r="C14" s="11">
        <f>data!C64</f>
        <v>82884</v>
      </c>
      <c r="D14" s="11">
        <f>data!D64</f>
        <v>0</v>
      </c>
      <c r="E14" s="11">
        <f>data!E64</f>
        <v>339387.26646637393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444</v>
      </c>
      <c r="C15" s="11">
        <f>data!C65</f>
        <v>0</v>
      </c>
      <c r="D15" s="11">
        <f>data!D65</f>
        <v>0</v>
      </c>
      <c r="E15" s="11">
        <f>data!E65</f>
        <v>0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445</v>
      </c>
      <c r="C16" s="11">
        <f>data!C66</f>
        <v>0</v>
      </c>
      <c r="D16" s="11">
        <f>data!D66</f>
        <v>0</v>
      </c>
      <c r="E16" s="11">
        <f>data!E66</f>
        <v>8629.0131730991452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6</v>
      </c>
      <c r="C17" s="11">
        <f>data!C67</f>
        <v>81240</v>
      </c>
      <c r="D17" s="11">
        <f>data!D67</f>
        <v>0</v>
      </c>
      <c r="E17" s="11">
        <f>data!E67</f>
        <v>293244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474</v>
      </c>
      <c r="C18" s="11">
        <f>data!C68</f>
        <v>0</v>
      </c>
      <c r="D18" s="11">
        <f>data!D68</f>
        <v>0</v>
      </c>
      <c r="E18" s="11">
        <f>data!E68</f>
        <v>0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241</v>
      </c>
      <c r="C19" s="11">
        <f>data!C69</f>
        <v>3529</v>
      </c>
      <c r="D19" s="11">
        <f>data!D69</f>
        <v>0</v>
      </c>
      <c r="E19" s="11">
        <f>data!E69</f>
        <v>36794.312456667438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242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1180</v>
      </c>
      <c r="C21" s="11">
        <f>data!C71</f>
        <v>1445216</v>
      </c>
      <c r="D21" s="11">
        <f>data!D71</f>
        <v>0</v>
      </c>
      <c r="E21" s="11">
        <f>data!E71</f>
        <v>7690962.5491102384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244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1181</v>
      </c>
      <c r="C23" s="37">
        <f>+data!M668</f>
        <v>517420</v>
      </c>
      <c r="D23" s="37">
        <f>+data!M669</f>
        <v>0</v>
      </c>
      <c r="E23" s="37">
        <f>+data!M670</f>
        <v>3182484</v>
      </c>
      <c r="F23" s="37">
        <f>+data!M671</f>
        <v>0</v>
      </c>
      <c r="G23" s="37">
        <f>+data!M672</f>
        <v>0</v>
      </c>
      <c r="H23" s="37">
        <f>+data!M673</f>
        <v>0</v>
      </c>
      <c r="I23" s="37">
        <f>+data!M674</f>
        <v>0</v>
      </c>
    </row>
    <row r="24" spans="1:9" ht="20.149999999999999" customHeight="1" x14ac:dyDescent="0.35">
      <c r="A24" s="10">
        <v>19</v>
      </c>
      <c r="B24" s="37" t="s">
        <v>1182</v>
      </c>
      <c r="C24" s="11">
        <f>data!C73</f>
        <v>3388000</v>
      </c>
      <c r="D24" s="11">
        <f>data!D73</f>
        <v>0</v>
      </c>
      <c r="E24" s="11">
        <f>data!E73</f>
        <v>9327211.3309452273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1183</v>
      </c>
      <c r="C25" s="11">
        <f>data!C74</f>
        <v>22685</v>
      </c>
      <c r="D25" s="11">
        <f>data!D74</f>
        <v>0</v>
      </c>
      <c r="E25" s="11">
        <f>data!E74</f>
        <v>1971299.728449272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1184</v>
      </c>
      <c r="C26" s="11">
        <f>data!C75</f>
        <v>3410685</v>
      </c>
      <c r="D26" s="11">
        <f>data!D75</f>
        <v>0</v>
      </c>
      <c r="E26" s="11">
        <f>data!E75</f>
        <v>11298511.059394499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1185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1186</v>
      </c>
      <c r="C28" s="11">
        <f>data!C76</f>
        <v>2605</v>
      </c>
      <c r="D28" s="11">
        <f>data!D76</f>
        <v>0</v>
      </c>
      <c r="E28" s="11">
        <f>data!E76</f>
        <v>9403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1187</v>
      </c>
      <c r="C29" s="11">
        <f>data!C77</f>
        <v>1200</v>
      </c>
      <c r="D29" s="11">
        <f>data!D77</f>
        <v>0</v>
      </c>
      <c r="E29" s="11">
        <f>data!E77</f>
        <v>13544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1188</v>
      </c>
      <c r="C30" s="11">
        <f>data!C78</f>
        <v>880</v>
      </c>
      <c r="D30" s="11">
        <f>data!D78</f>
        <v>0</v>
      </c>
      <c r="E30" s="11">
        <f>data!E78</f>
        <v>3175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1189</v>
      </c>
      <c r="C31" s="11">
        <f>data!C79</f>
        <v>10328</v>
      </c>
      <c r="D31" s="11">
        <f>data!D79</f>
        <v>0</v>
      </c>
      <c r="E31" s="11">
        <f>data!E79</f>
        <v>44607.157846082737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252</v>
      </c>
      <c r="C32" s="56">
        <f>data!C80</f>
        <v>8.7799999999999994</v>
      </c>
      <c r="D32" s="56">
        <f>data!D80</f>
        <v>0</v>
      </c>
      <c r="E32" s="56">
        <f>data!E80</f>
        <v>41.384213080656345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1173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1190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Jefferson County Public Hospital District No 2</v>
      </c>
      <c r="G36" s="8"/>
      <c r="H36" s="55" t="str">
        <f>"FYE: "&amp;data!C82</f>
        <v>FYE: 12/31/2021</v>
      </c>
    </row>
    <row r="37" spans="1:9" ht="20.149999999999999" customHeight="1" x14ac:dyDescent="0.35">
      <c r="A37" s="10">
        <v>1</v>
      </c>
      <c r="B37" s="11" t="s">
        <v>209</v>
      </c>
      <c r="C37" s="12" t="s">
        <v>17</v>
      </c>
      <c r="D37" s="12" t="s">
        <v>18</v>
      </c>
      <c r="E37" s="12" t="s">
        <v>19</v>
      </c>
      <c r="F37" s="12" t="s">
        <v>20</v>
      </c>
      <c r="G37" s="12" t="s">
        <v>21</v>
      </c>
      <c r="H37" s="12" t="s">
        <v>22</v>
      </c>
      <c r="I37" s="12" t="s">
        <v>23</v>
      </c>
    </row>
    <row r="38" spans="1:9" ht="20.149999999999999" customHeight="1" x14ac:dyDescent="0.35">
      <c r="A38" s="13">
        <v>2</v>
      </c>
      <c r="B38" s="14" t="s">
        <v>1175</v>
      </c>
      <c r="C38" s="15"/>
      <c r="D38" s="15" t="s">
        <v>100</v>
      </c>
      <c r="E38" s="15" t="s">
        <v>101</v>
      </c>
      <c r="F38" s="15" t="s">
        <v>1191</v>
      </c>
      <c r="G38" s="15" t="s">
        <v>103</v>
      </c>
      <c r="H38" s="15" t="s">
        <v>1192</v>
      </c>
      <c r="I38" s="15" t="s">
        <v>105</v>
      </c>
    </row>
    <row r="39" spans="1:9" ht="20.149999999999999" customHeight="1" x14ac:dyDescent="0.35">
      <c r="A39" s="13"/>
      <c r="B39" s="14"/>
      <c r="C39" s="15" t="s">
        <v>99</v>
      </c>
      <c r="D39" s="15" t="s">
        <v>157</v>
      </c>
      <c r="E39" s="60" t="s">
        <v>167</v>
      </c>
      <c r="F39" s="15" t="s">
        <v>168</v>
      </c>
      <c r="G39" s="15" t="s">
        <v>169</v>
      </c>
      <c r="H39" s="15" t="s">
        <v>170</v>
      </c>
      <c r="I39" s="15" t="s">
        <v>169</v>
      </c>
    </row>
    <row r="40" spans="1:9" ht="20.149999999999999" customHeight="1" x14ac:dyDescent="0.35">
      <c r="A40" s="10">
        <v>3</v>
      </c>
      <c r="B40" s="11" t="s">
        <v>1179</v>
      </c>
      <c r="C40" s="12" t="s">
        <v>216</v>
      </c>
      <c r="D40" s="12" t="s">
        <v>215</v>
      </c>
      <c r="E40" s="12" t="s">
        <v>215</v>
      </c>
      <c r="F40" s="12" t="s">
        <v>215</v>
      </c>
      <c r="G40" s="12" t="s">
        <v>215</v>
      </c>
      <c r="H40" s="12" t="s">
        <v>217</v>
      </c>
      <c r="I40" s="61" t="s">
        <v>218</v>
      </c>
    </row>
    <row r="41" spans="1:9" ht="20.149999999999999" customHeight="1" x14ac:dyDescent="0.35">
      <c r="A41" s="10">
        <v>4</v>
      </c>
      <c r="B41" s="11" t="s">
        <v>233</v>
      </c>
      <c r="C41" s="11">
        <f>data!J59</f>
        <v>162</v>
      </c>
      <c r="D41" s="11">
        <f>data!K59</f>
        <v>0</v>
      </c>
      <c r="E41" s="11">
        <f>data!L59</f>
        <v>127</v>
      </c>
      <c r="F41" s="11">
        <f>data!M59</f>
        <v>16183</v>
      </c>
      <c r="G41" s="11">
        <f>data!N59</f>
        <v>0</v>
      </c>
      <c r="H41" s="11">
        <f>data!O59</f>
        <v>87</v>
      </c>
      <c r="I41" s="11">
        <f>data!P59</f>
        <v>202480</v>
      </c>
    </row>
    <row r="42" spans="1:9" ht="20.149999999999999" customHeight="1" x14ac:dyDescent="0.35">
      <c r="A42" s="10">
        <v>5</v>
      </c>
      <c r="B42" s="11" t="s">
        <v>234</v>
      </c>
      <c r="C42" s="17">
        <f>data!J60</f>
        <v>1.8566165934827823</v>
      </c>
      <c r="D42" s="17">
        <f>data!K60</f>
        <v>0</v>
      </c>
      <c r="E42" s="17">
        <f>data!L60</f>
        <v>1.4554957245204527</v>
      </c>
      <c r="F42" s="17">
        <f>data!M60</f>
        <v>9.1300000000000008</v>
      </c>
      <c r="G42" s="17">
        <f>data!N60</f>
        <v>0</v>
      </c>
      <c r="H42" s="17">
        <f>data!O60</f>
        <v>0.99707187427779054</v>
      </c>
      <c r="I42" s="17">
        <f>data!P60</f>
        <v>18.940000000000001</v>
      </c>
    </row>
    <row r="43" spans="1:9" ht="20.149999999999999" customHeight="1" x14ac:dyDescent="0.35">
      <c r="A43" s="10">
        <v>6</v>
      </c>
      <c r="B43" s="11" t="s">
        <v>235</v>
      </c>
      <c r="C43" s="11">
        <f>data!J61</f>
        <v>256487.85717587243</v>
      </c>
      <c r="D43" s="11">
        <f>data!K61</f>
        <v>0</v>
      </c>
      <c r="E43" s="11">
        <f>data!L61</f>
        <v>201073.81395886294</v>
      </c>
      <c r="F43" s="11">
        <f>data!M61</f>
        <v>1272422</v>
      </c>
      <c r="G43" s="11">
        <f>data!N61</f>
        <v>0</v>
      </c>
      <c r="H43" s="11">
        <f>data!O61</f>
        <v>137743.47885370927</v>
      </c>
      <c r="I43" s="11">
        <f>data!P61</f>
        <v>1529840</v>
      </c>
    </row>
    <row r="44" spans="1:9" ht="20.149999999999999" customHeight="1" x14ac:dyDescent="0.35">
      <c r="A44" s="10">
        <v>7</v>
      </c>
      <c r="B44" s="11" t="s">
        <v>3</v>
      </c>
      <c r="C44" s="11">
        <f>data!J62</f>
        <v>57851</v>
      </c>
      <c r="D44" s="11">
        <f>data!K62</f>
        <v>0</v>
      </c>
      <c r="E44" s="11">
        <f>data!L62</f>
        <v>45352</v>
      </c>
      <c r="F44" s="11">
        <f>data!M62</f>
        <v>286995</v>
      </c>
      <c r="G44" s="11">
        <f>data!N62</f>
        <v>0</v>
      </c>
      <c r="H44" s="11">
        <f>data!O62</f>
        <v>31068</v>
      </c>
      <c r="I44" s="11">
        <f>data!P62</f>
        <v>345056</v>
      </c>
    </row>
    <row r="45" spans="1:9" ht="20.149999999999999" customHeight="1" x14ac:dyDescent="0.35">
      <c r="A45" s="10">
        <v>8</v>
      </c>
      <c r="B45" s="11" t="s">
        <v>236</v>
      </c>
      <c r="C45" s="11">
        <f>data!J63</f>
        <v>280.79500808874508</v>
      </c>
      <c r="D45" s="11">
        <f>data!K63</f>
        <v>0</v>
      </c>
      <c r="E45" s="11">
        <f>data!L63</f>
        <v>220.12941992142362</v>
      </c>
      <c r="F45" s="11">
        <f>data!M63</f>
        <v>0</v>
      </c>
      <c r="G45" s="11">
        <f>data!N63</f>
        <v>0</v>
      </c>
      <c r="H45" s="11">
        <f>data!O63</f>
        <v>150.79731915877051</v>
      </c>
      <c r="I45" s="11">
        <f>data!P63</f>
        <v>1340</v>
      </c>
    </row>
    <row r="46" spans="1:9" ht="20.149999999999999" customHeight="1" x14ac:dyDescent="0.35">
      <c r="A46" s="10">
        <v>9</v>
      </c>
      <c r="B46" s="11" t="s">
        <v>237</v>
      </c>
      <c r="C46" s="11">
        <f>data!J64</f>
        <v>15225.903397272936</v>
      </c>
      <c r="D46" s="11">
        <f>data!K64</f>
        <v>0</v>
      </c>
      <c r="E46" s="11">
        <f>data!L64</f>
        <v>11936.356366997919</v>
      </c>
      <c r="F46" s="11">
        <f>data!M64</f>
        <v>-4915</v>
      </c>
      <c r="G46" s="11">
        <f>data!N64</f>
        <v>0</v>
      </c>
      <c r="H46" s="11">
        <f>data!O64</f>
        <v>8176.8740466836143</v>
      </c>
      <c r="I46" s="11">
        <f>data!P64</f>
        <v>629534</v>
      </c>
    </row>
    <row r="47" spans="1:9" ht="20.149999999999999" customHeight="1" x14ac:dyDescent="0.35">
      <c r="A47" s="10">
        <v>10</v>
      </c>
      <c r="B47" s="11" t="s">
        <v>444</v>
      </c>
      <c r="C47" s="11">
        <f>data!J65</f>
        <v>0</v>
      </c>
      <c r="D47" s="11">
        <f>data!K65</f>
        <v>0</v>
      </c>
      <c r="E47" s="11">
        <f>data!L65</f>
        <v>0</v>
      </c>
      <c r="F47" s="11">
        <f>data!M65</f>
        <v>2491</v>
      </c>
      <c r="G47" s="11">
        <f>data!N65</f>
        <v>0</v>
      </c>
      <c r="H47" s="11">
        <f>data!O65</f>
        <v>0</v>
      </c>
      <c r="I47" s="11">
        <f>data!P65</f>
        <v>5966</v>
      </c>
    </row>
    <row r="48" spans="1:9" ht="20.149999999999999" customHeight="1" x14ac:dyDescent="0.35">
      <c r="A48" s="10">
        <v>11</v>
      </c>
      <c r="B48" s="11" t="s">
        <v>445</v>
      </c>
      <c r="C48" s="11">
        <f>data!J66</f>
        <v>387.12271781834988</v>
      </c>
      <c r="D48" s="11">
        <f>data!K66</f>
        <v>0</v>
      </c>
      <c r="E48" s="11">
        <f>data!L66</f>
        <v>303.48509359833599</v>
      </c>
      <c r="F48" s="11">
        <f>data!M66</f>
        <v>264731</v>
      </c>
      <c r="G48" s="11">
        <f>data!N66</f>
        <v>0</v>
      </c>
      <c r="H48" s="11">
        <f>data!O66</f>
        <v>207.89923734689162</v>
      </c>
      <c r="I48" s="11">
        <f>data!P66</f>
        <v>107437</v>
      </c>
    </row>
    <row r="49" spans="1:9" ht="20.149999999999999" customHeight="1" x14ac:dyDescent="0.35">
      <c r="A49" s="10">
        <v>12</v>
      </c>
      <c r="B49" s="11" t="s">
        <v>6</v>
      </c>
      <c r="C49" s="11">
        <f>data!J67</f>
        <v>13161</v>
      </c>
      <c r="D49" s="11">
        <f>data!K67</f>
        <v>0</v>
      </c>
      <c r="E49" s="11">
        <f>data!L67</f>
        <v>10323</v>
      </c>
      <c r="F49" s="11">
        <f>data!M67</f>
        <v>0</v>
      </c>
      <c r="G49" s="11">
        <f>data!N67</f>
        <v>0</v>
      </c>
      <c r="H49" s="11">
        <f>data!O67</f>
        <v>7079</v>
      </c>
      <c r="I49" s="11">
        <f>data!P67</f>
        <v>372738</v>
      </c>
    </row>
    <row r="50" spans="1:9" ht="20.149999999999999" customHeight="1" x14ac:dyDescent="0.35">
      <c r="A50" s="10">
        <v>13</v>
      </c>
      <c r="B50" s="11" t="s">
        <v>474</v>
      </c>
      <c r="C50" s="11">
        <f>data!J68</f>
        <v>0</v>
      </c>
      <c r="D50" s="11">
        <f>data!K68</f>
        <v>0</v>
      </c>
      <c r="E50" s="11">
        <f>data!L68</f>
        <v>0</v>
      </c>
      <c r="F50" s="11">
        <f>data!M68</f>
        <v>39177</v>
      </c>
      <c r="G50" s="11">
        <f>data!N68</f>
        <v>0</v>
      </c>
      <c r="H50" s="11">
        <f>data!O68</f>
        <v>0</v>
      </c>
      <c r="I50" s="11">
        <f>data!P68</f>
        <v>256344</v>
      </c>
    </row>
    <row r="51" spans="1:9" ht="20.149999999999999" customHeight="1" x14ac:dyDescent="0.35">
      <c r="A51" s="10">
        <v>14</v>
      </c>
      <c r="B51" s="11" t="s">
        <v>241</v>
      </c>
      <c r="C51" s="11">
        <f>data!J69</f>
        <v>1650.7002542177026</v>
      </c>
      <c r="D51" s="11">
        <f>data!K69</f>
        <v>0</v>
      </c>
      <c r="E51" s="11">
        <f>data!L69</f>
        <v>1294.0674832447423</v>
      </c>
      <c r="F51" s="11">
        <f>data!M69</f>
        <v>53710</v>
      </c>
      <c r="G51" s="11">
        <f>data!N69</f>
        <v>0</v>
      </c>
      <c r="H51" s="11">
        <f>data!O69</f>
        <v>886.48717356135887</v>
      </c>
      <c r="I51" s="11">
        <f>data!P69</f>
        <v>62448</v>
      </c>
    </row>
    <row r="52" spans="1:9" ht="20.149999999999999" customHeight="1" x14ac:dyDescent="0.35">
      <c r="A52" s="10">
        <v>15</v>
      </c>
      <c r="B52" s="11" t="s">
        <v>242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1180</v>
      </c>
      <c r="C53" s="11">
        <f>data!J71</f>
        <v>345044.37855327019</v>
      </c>
      <c r="D53" s="11">
        <f>data!K71</f>
        <v>0</v>
      </c>
      <c r="E53" s="11">
        <f>data!L71</f>
        <v>270502.8523226254</v>
      </c>
      <c r="F53" s="11">
        <f>data!M71</f>
        <v>1914611</v>
      </c>
      <c r="G53" s="11">
        <f>data!N71</f>
        <v>0</v>
      </c>
      <c r="H53" s="11">
        <f>data!O71</f>
        <v>185312.53663045989</v>
      </c>
      <c r="I53" s="11">
        <f>data!P71</f>
        <v>3310703</v>
      </c>
    </row>
    <row r="54" spans="1:9" ht="20.149999999999999" customHeight="1" x14ac:dyDescent="0.35">
      <c r="A54" s="10">
        <v>17</v>
      </c>
      <c r="B54" s="11" t="s">
        <v>244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1181</v>
      </c>
      <c r="C55" s="37">
        <f>+data!M675</f>
        <v>80686</v>
      </c>
      <c r="D55" s="37">
        <f>+data!M676</f>
        <v>0</v>
      </c>
      <c r="E55" s="37">
        <f>+data!M677</f>
        <v>111903</v>
      </c>
      <c r="F55" s="37">
        <f>+data!M678</f>
        <v>268530</v>
      </c>
      <c r="G55" s="37">
        <f>+data!M679</f>
        <v>0</v>
      </c>
      <c r="H55" s="37">
        <f>+data!M680</f>
        <v>43358</v>
      </c>
      <c r="I55" s="37">
        <f>+data!M681</f>
        <v>1587808</v>
      </c>
    </row>
    <row r="56" spans="1:9" ht="20.149999999999999" customHeight="1" x14ac:dyDescent="0.35">
      <c r="A56" s="10">
        <v>19</v>
      </c>
      <c r="B56" s="37" t="s">
        <v>1182</v>
      </c>
      <c r="C56" s="11">
        <f>data!J73</f>
        <v>418445.92512133118</v>
      </c>
      <c r="D56" s="11">
        <f>data!K73</f>
        <v>0</v>
      </c>
      <c r="E56" s="11">
        <f>data!L73</f>
        <v>328040.94129882136</v>
      </c>
      <c r="F56" s="11">
        <f>data!M73</f>
        <v>0</v>
      </c>
      <c r="G56" s="11">
        <f>data!N73</f>
        <v>0</v>
      </c>
      <c r="H56" s="11">
        <f>data!O73</f>
        <v>224720.95978738155</v>
      </c>
      <c r="I56" s="11">
        <f>data!P73</f>
        <v>7047727</v>
      </c>
    </row>
    <row r="57" spans="1:9" ht="20.149999999999999" customHeight="1" x14ac:dyDescent="0.35">
      <c r="A57" s="10">
        <v>20</v>
      </c>
      <c r="B57" s="37" t="s">
        <v>1183</v>
      </c>
      <c r="C57" s="11">
        <f>data!J74</f>
        <v>88438.259764270857</v>
      </c>
      <c r="D57" s="11">
        <f>data!K74</f>
        <v>0</v>
      </c>
      <c r="E57" s="11">
        <f>data!L74</f>
        <v>69331.228333718507</v>
      </c>
      <c r="F57" s="11">
        <f>data!M74</f>
        <v>3799340</v>
      </c>
      <c r="G57" s="11">
        <f>data!N74</f>
        <v>0</v>
      </c>
      <c r="H57" s="11">
        <f>data!O74</f>
        <v>47494.62098451583</v>
      </c>
      <c r="I57" s="11">
        <f>data!P74</f>
        <v>25711638</v>
      </c>
    </row>
    <row r="58" spans="1:9" ht="20.149999999999999" customHeight="1" x14ac:dyDescent="0.35">
      <c r="A58" s="10">
        <v>21</v>
      </c>
      <c r="B58" s="37" t="s">
        <v>1184</v>
      </c>
      <c r="C58" s="11">
        <f>data!J75</f>
        <v>506884.18488560204</v>
      </c>
      <c r="D58" s="11">
        <f>data!K75</f>
        <v>0</v>
      </c>
      <c r="E58" s="11">
        <f>data!L75</f>
        <v>397372.16963253985</v>
      </c>
      <c r="F58" s="11">
        <f>data!M75</f>
        <v>3799340</v>
      </c>
      <c r="G58" s="11">
        <f>data!N75</f>
        <v>0</v>
      </c>
      <c r="H58" s="11">
        <f>data!O75</f>
        <v>272215.5807718974</v>
      </c>
      <c r="I58" s="11">
        <f>data!P75</f>
        <v>32759365</v>
      </c>
    </row>
    <row r="59" spans="1:9" ht="20.149999999999999" customHeight="1" x14ac:dyDescent="0.35">
      <c r="A59" s="10" t="s">
        <v>1185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1186</v>
      </c>
      <c r="C60" s="11">
        <f>data!J76</f>
        <v>422</v>
      </c>
      <c r="D60" s="11">
        <f>data!K76</f>
        <v>0</v>
      </c>
      <c r="E60" s="11">
        <f>data!L76</f>
        <v>331</v>
      </c>
      <c r="F60" s="11">
        <f>data!M76</f>
        <v>0</v>
      </c>
      <c r="G60" s="11">
        <f>data!N76</f>
        <v>0</v>
      </c>
      <c r="H60" s="11">
        <f>data!O76</f>
        <v>227</v>
      </c>
      <c r="I60" s="11">
        <f>data!P76</f>
        <v>11952</v>
      </c>
    </row>
    <row r="61" spans="1:9" ht="20.149999999999999" customHeight="1" x14ac:dyDescent="0.35">
      <c r="A61" s="10">
        <v>23</v>
      </c>
      <c r="B61" s="11" t="s">
        <v>1187</v>
      </c>
      <c r="C61" s="11">
        <f>data!J77</f>
        <v>0</v>
      </c>
      <c r="D61" s="11">
        <f>data!K77</f>
        <v>0</v>
      </c>
      <c r="E61" s="11">
        <f>data!L77</f>
        <v>476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1188</v>
      </c>
      <c r="C62" s="11">
        <f>data!J78</f>
        <v>142</v>
      </c>
      <c r="D62" s="11">
        <f>data!K78</f>
        <v>0</v>
      </c>
      <c r="E62" s="11">
        <f>data!L78</f>
        <v>112</v>
      </c>
      <c r="F62" s="11">
        <f>data!M78</f>
        <v>0</v>
      </c>
      <c r="G62" s="11">
        <f>data!N78</f>
        <v>0</v>
      </c>
      <c r="H62" s="11">
        <f>data!O78</f>
        <v>77</v>
      </c>
      <c r="I62" s="11">
        <f>data!P78</f>
        <v>4036</v>
      </c>
    </row>
    <row r="63" spans="1:9" ht="20.149999999999999" customHeight="1" x14ac:dyDescent="0.35">
      <c r="A63" s="10">
        <v>25</v>
      </c>
      <c r="B63" s="11" t="s">
        <v>1189</v>
      </c>
      <c r="C63" s="11">
        <f>data!J79</f>
        <v>2001.2073029812802</v>
      </c>
      <c r="D63" s="11">
        <f>data!K79</f>
        <v>0</v>
      </c>
      <c r="E63" s="11">
        <f>data!L79</f>
        <v>1568.8477004853246</v>
      </c>
      <c r="F63" s="11">
        <f>data!M79</f>
        <v>0</v>
      </c>
      <c r="G63" s="11">
        <f>data!N79</f>
        <v>0</v>
      </c>
      <c r="H63" s="11">
        <f>data!O79</f>
        <v>1074.7224404899468</v>
      </c>
      <c r="I63" s="11">
        <f>data!P79</f>
        <v>37824</v>
      </c>
    </row>
    <row r="64" spans="1:9" ht="20.149999999999999" customHeight="1" x14ac:dyDescent="0.35">
      <c r="A64" s="10">
        <v>26</v>
      </c>
      <c r="B64" s="11" t="s">
        <v>252</v>
      </c>
      <c r="C64" s="17">
        <f>data!J80</f>
        <v>1.8566165934827823</v>
      </c>
      <c r="D64" s="17">
        <f>data!K80</f>
        <v>0</v>
      </c>
      <c r="E64" s="17">
        <f>data!L80</f>
        <v>1.4554957245204527</v>
      </c>
      <c r="F64" s="17">
        <f>data!M80</f>
        <v>0</v>
      </c>
      <c r="G64" s="17">
        <f>data!N80</f>
        <v>0</v>
      </c>
      <c r="H64" s="17">
        <f>data!O80</f>
        <v>0.99707187427779054</v>
      </c>
      <c r="I64" s="17">
        <f>data!P80</f>
        <v>18.940000000000001</v>
      </c>
    </row>
    <row r="65" spans="1:9" ht="20.149999999999999" customHeight="1" x14ac:dyDescent="0.35">
      <c r="A65" s="3" t="s">
        <v>1173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1193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Jefferson County Public Hospital District No 2</v>
      </c>
      <c r="G68" s="8"/>
      <c r="H68" s="55" t="str">
        <f>"FYE: "&amp;data!C82</f>
        <v>FYE: 12/31/2021</v>
      </c>
    </row>
    <row r="69" spans="1:9" ht="20.149999999999999" customHeight="1" x14ac:dyDescent="0.35">
      <c r="A69" s="10">
        <v>1</v>
      </c>
      <c r="B69" s="11" t="s">
        <v>209</v>
      </c>
      <c r="C69" s="12" t="s">
        <v>24</v>
      </c>
      <c r="D69" s="12" t="s">
        <v>25</v>
      </c>
      <c r="E69" s="12" t="s">
        <v>26</v>
      </c>
      <c r="F69" s="12" t="s">
        <v>27</v>
      </c>
      <c r="G69" s="12" t="s">
        <v>28</v>
      </c>
      <c r="H69" s="12" t="s">
        <v>29</v>
      </c>
      <c r="I69" s="12" t="s">
        <v>30</v>
      </c>
    </row>
    <row r="70" spans="1:9" ht="20.149999999999999" customHeight="1" x14ac:dyDescent="0.35">
      <c r="A70" s="13">
        <v>2</v>
      </c>
      <c r="B70" s="14" t="s">
        <v>1175</v>
      </c>
      <c r="C70" s="15" t="s">
        <v>106</v>
      </c>
      <c r="D70" s="15"/>
      <c r="E70" s="15" t="s">
        <v>108</v>
      </c>
      <c r="F70" s="15" t="s">
        <v>1194</v>
      </c>
      <c r="G70" s="15"/>
      <c r="H70" s="15" t="s">
        <v>110</v>
      </c>
      <c r="I70" s="15" t="s">
        <v>111</v>
      </c>
    </row>
    <row r="71" spans="1:9" ht="20.149999999999999" customHeight="1" x14ac:dyDescent="0.35">
      <c r="A71" s="13"/>
      <c r="B71" s="14"/>
      <c r="C71" s="15" t="s">
        <v>171</v>
      </c>
      <c r="D71" s="15" t="s">
        <v>1195</v>
      </c>
      <c r="E71" s="15" t="s">
        <v>169</v>
      </c>
      <c r="F71" s="15" t="s">
        <v>172</v>
      </c>
      <c r="G71" s="15" t="s">
        <v>109</v>
      </c>
      <c r="H71" s="15" t="s">
        <v>173</v>
      </c>
      <c r="I71" s="15" t="s">
        <v>174</v>
      </c>
    </row>
    <row r="72" spans="1:9" ht="20.149999999999999" customHeight="1" x14ac:dyDescent="0.35">
      <c r="A72" s="10">
        <v>3</v>
      </c>
      <c r="B72" s="11" t="s">
        <v>1179</v>
      </c>
      <c r="C72" s="12" t="s">
        <v>1196</v>
      </c>
      <c r="D72" s="61" t="s">
        <v>1197</v>
      </c>
      <c r="E72" s="163"/>
      <c r="F72" s="163"/>
      <c r="G72" s="61" t="s">
        <v>1198</v>
      </c>
      <c r="H72" s="61" t="s">
        <v>1198</v>
      </c>
      <c r="I72" s="12" t="s">
        <v>223</v>
      </c>
    </row>
    <row r="73" spans="1:9" ht="20.149999999999999" customHeight="1" x14ac:dyDescent="0.35">
      <c r="A73" s="10">
        <v>4</v>
      </c>
      <c r="B73" s="11" t="s">
        <v>233</v>
      </c>
      <c r="C73" s="11">
        <f>data!Q59</f>
        <v>42396</v>
      </c>
      <c r="D73" s="37">
        <f>data!R59</f>
        <v>201254</v>
      </c>
      <c r="E73" s="163"/>
      <c r="F73" s="163"/>
      <c r="G73" s="11">
        <f>data!U59</f>
        <v>275292</v>
      </c>
      <c r="H73" s="11">
        <f>data!V59</f>
        <v>0</v>
      </c>
      <c r="I73" s="11">
        <f>data!W59</f>
        <v>2482</v>
      </c>
    </row>
    <row r="74" spans="1:9" ht="20.149999999999999" customHeight="1" x14ac:dyDescent="0.35">
      <c r="A74" s="10">
        <v>5</v>
      </c>
      <c r="B74" s="11" t="s">
        <v>234</v>
      </c>
      <c r="C74" s="17">
        <f>data!Q60</f>
        <v>2.95</v>
      </c>
      <c r="D74" s="17">
        <f>data!R60</f>
        <v>22.13</v>
      </c>
      <c r="E74" s="17">
        <f>data!S60</f>
        <v>3.78</v>
      </c>
      <c r="F74" s="17">
        <f>data!T60</f>
        <v>0</v>
      </c>
      <c r="G74" s="17">
        <f>data!U60</f>
        <v>26.64</v>
      </c>
      <c r="H74" s="17">
        <f>data!V60</f>
        <v>0</v>
      </c>
      <c r="I74" s="17">
        <f>data!W60</f>
        <v>1.65</v>
      </c>
    </row>
    <row r="75" spans="1:9" ht="20.149999999999999" customHeight="1" x14ac:dyDescent="0.35">
      <c r="A75" s="10">
        <v>6</v>
      </c>
      <c r="B75" s="11" t="s">
        <v>235</v>
      </c>
      <c r="C75" s="11">
        <f>data!Q61</f>
        <v>669501</v>
      </c>
      <c r="D75" s="11">
        <f>data!R61</f>
        <v>1251534</v>
      </c>
      <c r="E75" s="11">
        <f>data!S61</f>
        <v>142447</v>
      </c>
      <c r="F75" s="11">
        <f>data!T61</f>
        <v>0</v>
      </c>
      <c r="G75" s="11">
        <f>data!U61</f>
        <v>1820987</v>
      </c>
      <c r="H75" s="11">
        <f>data!V61</f>
        <v>0</v>
      </c>
      <c r="I75" s="11">
        <f>data!W61</f>
        <v>142747</v>
      </c>
    </row>
    <row r="76" spans="1:9" ht="20.149999999999999" customHeight="1" x14ac:dyDescent="0.35">
      <c r="A76" s="10">
        <v>7</v>
      </c>
      <c r="B76" s="11" t="s">
        <v>3</v>
      </c>
      <c r="C76" s="11">
        <f>data!Q62</f>
        <v>151006</v>
      </c>
      <c r="D76" s="11">
        <f>data!R62</f>
        <v>282284</v>
      </c>
      <c r="E76" s="11">
        <f>data!S62</f>
        <v>32129</v>
      </c>
      <c r="F76" s="11">
        <f>data!T62</f>
        <v>0</v>
      </c>
      <c r="G76" s="11">
        <f>data!U62</f>
        <v>410724</v>
      </c>
      <c r="H76" s="11">
        <f>data!V62</f>
        <v>0</v>
      </c>
      <c r="I76" s="11">
        <f>data!W62</f>
        <v>32197</v>
      </c>
    </row>
    <row r="77" spans="1:9" ht="20.149999999999999" customHeight="1" x14ac:dyDescent="0.35">
      <c r="A77" s="10">
        <v>8</v>
      </c>
      <c r="B77" s="11" t="s">
        <v>236</v>
      </c>
      <c r="C77" s="11">
        <f>data!Q63</f>
        <v>0</v>
      </c>
      <c r="D77" s="11">
        <f>data!R63</f>
        <v>0</v>
      </c>
      <c r="E77" s="11">
        <f>data!S63</f>
        <v>19912</v>
      </c>
      <c r="F77" s="11">
        <f>data!T63</f>
        <v>0</v>
      </c>
      <c r="G77" s="11">
        <f>data!U63</f>
        <v>372280</v>
      </c>
      <c r="H77" s="11">
        <f>data!V63</f>
        <v>0</v>
      </c>
      <c r="I77" s="11">
        <f>data!W63</f>
        <v>2540</v>
      </c>
    </row>
    <row r="78" spans="1:9" ht="20.149999999999999" customHeight="1" x14ac:dyDescent="0.35">
      <c r="A78" s="10">
        <v>9</v>
      </c>
      <c r="B78" s="11" t="s">
        <v>237</v>
      </c>
      <c r="C78" s="11">
        <f>data!Q64</f>
        <v>31788</v>
      </c>
      <c r="D78" s="11">
        <f>data!R64</f>
        <v>78961</v>
      </c>
      <c r="E78" s="11">
        <f>data!S64</f>
        <v>3363073</v>
      </c>
      <c r="F78" s="11">
        <f>data!T64</f>
        <v>0</v>
      </c>
      <c r="G78" s="11">
        <f>data!U64</f>
        <v>1960189</v>
      </c>
      <c r="H78" s="11">
        <f>data!V64</f>
        <v>0</v>
      </c>
      <c r="I78" s="11">
        <f>data!W64</f>
        <v>27929</v>
      </c>
    </row>
    <row r="79" spans="1:9" ht="20.149999999999999" customHeight="1" x14ac:dyDescent="0.35">
      <c r="A79" s="10">
        <v>10</v>
      </c>
      <c r="B79" s="11" t="s">
        <v>444</v>
      </c>
      <c r="C79" s="11">
        <f>data!Q65</f>
        <v>0</v>
      </c>
      <c r="D79" s="11">
        <f>data!R65</f>
        <v>0</v>
      </c>
      <c r="E79" s="11">
        <f>data!S65</f>
        <v>2965</v>
      </c>
      <c r="F79" s="11">
        <f>data!T65</f>
        <v>0</v>
      </c>
      <c r="G79" s="11">
        <f>data!U65</f>
        <v>364</v>
      </c>
      <c r="H79" s="11">
        <f>data!V65</f>
        <v>0</v>
      </c>
      <c r="I79" s="11">
        <f>data!W65</f>
        <v>0</v>
      </c>
    </row>
    <row r="80" spans="1:9" ht="20.149999999999999" customHeight="1" x14ac:dyDescent="0.35">
      <c r="A80" s="10">
        <v>11</v>
      </c>
      <c r="B80" s="11" t="s">
        <v>445</v>
      </c>
      <c r="C80" s="11">
        <f>data!Q66</f>
        <v>0</v>
      </c>
      <c r="D80" s="11">
        <f>data!R66</f>
        <v>4356</v>
      </c>
      <c r="E80" s="11">
        <f>data!S66</f>
        <v>5969</v>
      </c>
      <c r="F80" s="11">
        <f>data!T66</f>
        <v>0</v>
      </c>
      <c r="G80" s="11">
        <f>data!U66</f>
        <v>2569293</v>
      </c>
      <c r="H80" s="11">
        <f>data!V66</f>
        <v>0</v>
      </c>
      <c r="I80" s="11">
        <f>data!W66</f>
        <v>17975</v>
      </c>
    </row>
    <row r="81" spans="1:9" ht="20.149999999999999" customHeight="1" x14ac:dyDescent="0.35">
      <c r="A81" s="10">
        <v>12</v>
      </c>
      <c r="B81" s="11" t="s">
        <v>6</v>
      </c>
      <c r="C81" s="11">
        <f>data!Q67</f>
        <v>18369</v>
      </c>
      <c r="D81" s="11">
        <f>data!R67</f>
        <v>4241</v>
      </c>
      <c r="E81" s="11">
        <f>data!S67</f>
        <v>99203</v>
      </c>
      <c r="F81" s="11">
        <f>data!T67</f>
        <v>0</v>
      </c>
      <c r="G81" s="11">
        <f>data!U67</f>
        <v>122281</v>
      </c>
      <c r="H81" s="11">
        <f>data!V67</f>
        <v>0</v>
      </c>
      <c r="I81" s="11">
        <f>data!W67</f>
        <v>13566</v>
      </c>
    </row>
    <row r="82" spans="1:9" ht="20.149999999999999" customHeight="1" x14ac:dyDescent="0.35">
      <c r="A82" s="10">
        <v>13</v>
      </c>
      <c r="B82" s="11" t="s">
        <v>474</v>
      </c>
      <c r="C82" s="11">
        <f>data!Q68</f>
        <v>0</v>
      </c>
      <c r="D82" s="11">
        <f>data!R68</f>
        <v>1564</v>
      </c>
      <c r="E82" s="11">
        <f>data!S68</f>
        <v>39848</v>
      </c>
      <c r="F82" s="11">
        <f>data!T68</f>
        <v>0</v>
      </c>
      <c r="G82" s="11">
        <f>data!U68</f>
        <v>172731</v>
      </c>
      <c r="H82" s="11">
        <f>data!V68</f>
        <v>0</v>
      </c>
      <c r="I82" s="11">
        <f>data!W68</f>
        <v>17791</v>
      </c>
    </row>
    <row r="83" spans="1:9" ht="20.149999999999999" customHeight="1" x14ac:dyDescent="0.35">
      <c r="A83" s="10">
        <v>14</v>
      </c>
      <c r="B83" s="11" t="s">
        <v>241</v>
      </c>
      <c r="C83" s="11">
        <f>data!Q69</f>
        <v>0</v>
      </c>
      <c r="D83" s="11">
        <f>data!R69</f>
        <v>35672</v>
      </c>
      <c r="E83" s="11">
        <f>data!S69</f>
        <v>-105097</v>
      </c>
      <c r="F83" s="11">
        <f>data!T69</f>
        <v>0</v>
      </c>
      <c r="G83" s="11">
        <f>data!U69</f>
        <v>158620</v>
      </c>
      <c r="H83" s="11">
        <f>data!V69</f>
        <v>0</v>
      </c>
      <c r="I83" s="11">
        <f>data!W69</f>
        <v>24306</v>
      </c>
    </row>
    <row r="84" spans="1:9" ht="20.149999999999999" customHeight="1" x14ac:dyDescent="0.35">
      <c r="A84" s="10">
        <v>15</v>
      </c>
      <c r="B84" s="11" t="s">
        <v>242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1180</v>
      </c>
      <c r="C85" s="11">
        <f>data!Q71</f>
        <v>870664</v>
      </c>
      <c r="D85" s="11">
        <f>data!R71</f>
        <v>1658612</v>
      </c>
      <c r="E85" s="11">
        <f>data!S71</f>
        <v>3600449</v>
      </c>
      <c r="F85" s="11">
        <f>data!T71</f>
        <v>0</v>
      </c>
      <c r="G85" s="11">
        <f>data!U71</f>
        <v>7587469</v>
      </c>
      <c r="H85" s="11">
        <f>data!V71</f>
        <v>0</v>
      </c>
      <c r="I85" s="11">
        <f>data!W71</f>
        <v>279051</v>
      </c>
    </row>
    <row r="86" spans="1:9" ht="20.149999999999999" customHeight="1" x14ac:dyDescent="0.35">
      <c r="A86" s="10">
        <v>17</v>
      </c>
      <c r="B86" s="11" t="s">
        <v>244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1181</v>
      </c>
      <c r="C87" s="37">
        <f>+data!M682</f>
        <v>299269</v>
      </c>
      <c r="D87" s="37">
        <f>+data!M683</f>
        <v>885923</v>
      </c>
      <c r="E87" s="37">
        <f>+data!M684</f>
        <v>289743</v>
      </c>
      <c r="F87" s="37">
        <f>+data!M685</f>
        <v>0</v>
      </c>
      <c r="G87" s="37">
        <f>+data!M686</f>
        <v>1362651</v>
      </c>
      <c r="H87" s="37">
        <f>+data!M687</f>
        <v>0</v>
      </c>
      <c r="I87" s="37">
        <f>+data!M688</f>
        <v>197572</v>
      </c>
    </row>
    <row r="88" spans="1:9" ht="20.149999999999999" customHeight="1" x14ac:dyDescent="0.35">
      <c r="A88" s="10">
        <v>19</v>
      </c>
      <c r="B88" s="37" t="s">
        <v>1182</v>
      </c>
      <c r="C88" s="11">
        <f>data!Q73</f>
        <v>449290</v>
      </c>
      <c r="D88" s="11">
        <f>data!R73</f>
        <v>2332677</v>
      </c>
      <c r="E88" s="11">
        <f>data!S73</f>
        <v>10232</v>
      </c>
      <c r="F88" s="11">
        <f>data!T73</f>
        <v>0</v>
      </c>
      <c r="G88" s="11">
        <f>data!U73</f>
        <v>2130036</v>
      </c>
      <c r="H88" s="11">
        <f>data!V73</f>
        <v>0</v>
      </c>
      <c r="I88" s="11">
        <f>data!W73</f>
        <v>290978</v>
      </c>
    </row>
    <row r="89" spans="1:9" ht="20.149999999999999" customHeight="1" x14ac:dyDescent="0.35">
      <c r="A89" s="10">
        <v>20</v>
      </c>
      <c r="B89" s="37" t="s">
        <v>1183</v>
      </c>
      <c r="C89" s="11">
        <f>data!Q74</f>
        <v>5078803</v>
      </c>
      <c r="D89" s="11">
        <f>data!R74</f>
        <v>9244669</v>
      </c>
      <c r="E89" s="11">
        <f>data!S74</f>
        <v>478764</v>
      </c>
      <c r="F89" s="11">
        <f>data!T74</f>
        <v>0</v>
      </c>
      <c r="G89" s="11">
        <f>data!U74</f>
        <v>20483476</v>
      </c>
      <c r="H89" s="11">
        <f>data!V74</f>
        <v>0</v>
      </c>
      <c r="I89" s="11">
        <f>data!W74</f>
        <v>5578971</v>
      </c>
    </row>
    <row r="90" spans="1:9" ht="20.149999999999999" customHeight="1" x14ac:dyDescent="0.35">
      <c r="A90" s="10">
        <v>21</v>
      </c>
      <c r="B90" s="37" t="s">
        <v>1184</v>
      </c>
      <c r="C90" s="11">
        <f>data!Q75</f>
        <v>5528093</v>
      </c>
      <c r="D90" s="11">
        <f>data!R75</f>
        <v>11577346</v>
      </c>
      <c r="E90" s="11">
        <f>data!S75</f>
        <v>488996</v>
      </c>
      <c r="F90" s="11">
        <f>data!T75</f>
        <v>0</v>
      </c>
      <c r="G90" s="11">
        <f>data!U75</f>
        <v>22613512</v>
      </c>
      <c r="H90" s="11">
        <f>data!V75</f>
        <v>0</v>
      </c>
      <c r="I90" s="11">
        <f>data!W75</f>
        <v>5869949</v>
      </c>
    </row>
    <row r="91" spans="1:9" ht="20.149999999999999" customHeight="1" x14ac:dyDescent="0.35">
      <c r="A91" s="10" t="s">
        <v>1185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1186</v>
      </c>
      <c r="C92" s="11">
        <f>data!Q76</f>
        <v>589</v>
      </c>
      <c r="D92" s="11">
        <f>data!R76</f>
        <v>136</v>
      </c>
      <c r="E92" s="11">
        <f>data!S76</f>
        <v>3181</v>
      </c>
      <c r="F92" s="11">
        <f>data!T76</f>
        <v>0</v>
      </c>
      <c r="G92" s="11">
        <f>data!U76</f>
        <v>3921</v>
      </c>
      <c r="H92" s="11">
        <f>data!V76</f>
        <v>0</v>
      </c>
      <c r="I92" s="11">
        <f>data!W76</f>
        <v>435</v>
      </c>
    </row>
    <row r="93" spans="1:9" ht="20.149999999999999" customHeight="1" x14ac:dyDescent="0.35">
      <c r="A93" s="10">
        <v>23</v>
      </c>
      <c r="B93" s="11" t="s">
        <v>1187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1188</v>
      </c>
      <c r="C94" s="11">
        <f>data!Q78</f>
        <v>199</v>
      </c>
      <c r="D94" s="11">
        <f>data!R78</f>
        <v>46</v>
      </c>
      <c r="E94" s="11">
        <f>data!S78</f>
        <v>1074</v>
      </c>
      <c r="F94" s="11">
        <f>data!T78</f>
        <v>0</v>
      </c>
      <c r="G94" s="11">
        <f>data!U78</f>
        <v>1324</v>
      </c>
      <c r="H94" s="11">
        <f>data!V78</f>
        <v>0</v>
      </c>
      <c r="I94" s="11">
        <f>data!W78</f>
        <v>147</v>
      </c>
    </row>
    <row r="95" spans="1:9" ht="20.149999999999999" customHeight="1" x14ac:dyDescent="0.35">
      <c r="A95" s="10">
        <v>25</v>
      </c>
      <c r="B95" s="11" t="s">
        <v>1189</v>
      </c>
      <c r="C95" s="11">
        <f>data!Q79</f>
        <v>8764</v>
      </c>
      <c r="D95" s="11">
        <f>data!R79</f>
        <v>7741</v>
      </c>
      <c r="E95" s="11">
        <f>data!S79</f>
        <v>0</v>
      </c>
      <c r="F95" s="11">
        <f>data!T79</f>
        <v>0</v>
      </c>
      <c r="G95" s="11">
        <f>data!U79</f>
        <v>330</v>
      </c>
      <c r="H95" s="11">
        <f>data!V79</f>
        <v>0</v>
      </c>
      <c r="I95" s="11">
        <f>data!W79</f>
        <v>2208</v>
      </c>
    </row>
    <row r="96" spans="1:9" ht="20.149999999999999" customHeight="1" x14ac:dyDescent="0.35">
      <c r="A96" s="10">
        <v>26</v>
      </c>
      <c r="B96" s="11" t="s">
        <v>252</v>
      </c>
      <c r="C96" s="56">
        <f>data!Q80</f>
        <v>2.95</v>
      </c>
      <c r="D96" s="56">
        <f>data!R80</f>
        <v>17.27</v>
      </c>
      <c r="E96" s="56">
        <f>data!S80</f>
        <v>0</v>
      </c>
      <c r="F96" s="56">
        <f>data!T80</f>
        <v>0</v>
      </c>
      <c r="G96" s="56">
        <f>data!U80</f>
        <v>5.33</v>
      </c>
      <c r="H96" s="56">
        <f>data!V80</f>
        <v>0</v>
      </c>
      <c r="I96" s="56">
        <f>data!W80</f>
        <v>0</v>
      </c>
    </row>
    <row r="97" spans="1:9" ht="20.149999999999999" customHeight="1" x14ac:dyDescent="0.35">
      <c r="A97" s="3" t="s">
        <v>1173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1199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Jefferson County Public Hospital District No 2</v>
      </c>
      <c r="G100" s="8"/>
      <c r="H100" s="55" t="str">
        <f>"FYE: "&amp;data!C82</f>
        <v>FYE: 12/31/2021</v>
      </c>
    </row>
    <row r="101" spans="1:9" ht="20.149999999999999" customHeight="1" x14ac:dyDescent="0.35">
      <c r="A101" s="10">
        <v>1</v>
      </c>
      <c r="B101" s="11" t="s">
        <v>209</v>
      </c>
      <c r="C101" s="12" t="s">
        <v>31</v>
      </c>
      <c r="D101" s="12" t="s">
        <v>32</v>
      </c>
      <c r="E101" s="12" t="s">
        <v>33</v>
      </c>
      <c r="F101" s="12" t="s">
        <v>34</v>
      </c>
      <c r="G101" s="12" t="s">
        <v>35</v>
      </c>
      <c r="H101" s="12" t="s">
        <v>36</v>
      </c>
      <c r="I101" s="12" t="s">
        <v>37</v>
      </c>
    </row>
    <row r="102" spans="1:9" ht="20.149999999999999" customHeight="1" x14ac:dyDescent="0.35">
      <c r="A102" s="13">
        <v>2</v>
      </c>
      <c r="B102" s="14" t="s">
        <v>1175</v>
      </c>
      <c r="C102" s="15" t="s">
        <v>1200</v>
      </c>
      <c r="D102" s="15" t="s">
        <v>1201</v>
      </c>
      <c r="E102" s="15" t="s">
        <v>1201</v>
      </c>
      <c r="F102" s="15" t="s">
        <v>114</v>
      </c>
      <c r="G102" s="15"/>
      <c r="H102" s="15" t="s">
        <v>116</v>
      </c>
      <c r="I102" s="15"/>
    </row>
    <row r="103" spans="1:9" ht="20.149999999999999" customHeight="1" x14ac:dyDescent="0.35">
      <c r="A103" s="13"/>
      <c r="B103" s="14"/>
      <c r="C103" s="15" t="s">
        <v>175</v>
      </c>
      <c r="D103" s="15" t="s">
        <v>176</v>
      </c>
      <c r="E103" s="15" t="s">
        <v>177</v>
      </c>
      <c r="F103" s="15" t="s">
        <v>178</v>
      </c>
      <c r="G103" s="15" t="s">
        <v>115</v>
      </c>
      <c r="H103" s="15" t="s">
        <v>172</v>
      </c>
      <c r="I103" s="15" t="s">
        <v>117</v>
      </c>
    </row>
    <row r="104" spans="1:9" ht="20.149999999999999" customHeight="1" x14ac:dyDescent="0.35">
      <c r="A104" s="10">
        <v>3</v>
      </c>
      <c r="B104" s="11" t="s">
        <v>1179</v>
      </c>
      <c r="C104" s="61" t="s">
        <v>224</v>
      </c>
      <c r="D104" s="12" t="s">
        <v>1202</v>
      </c>
      <c r="E104" s="12" t="s">
        <v>1202</v>
      </c>
      <c r="F104" s="12" t="s">
        <v>1202</v>
      </c>
      <c r="G104" s="163"/>
      <c r="H104" s="12" t="s">
        <v>226</v>
      </c>
      <c r="I104" s="12" t="s">
        <v>227</v>
      </c>
    </row>
    <row r="105" spans="1:9" ht="20.149999999999999" customHeight="1" x14ac:dyDescent="0.35">
      <c r="A105" s="10">
        <v>4</v>
      </c>
      <c r="B105" s="11" t="s">
        <v>233</v>
      </c>
      <c r="C105" s="11">
        <f>data!X59</f>
        <v>6915</v>
      </c>
      <c r="D105" s="11">
        <f>data!Y59</f>
        <v>27682</v>
      </c>
      <c r="E105" s="11">
        <f>data!Z59</f>
        <v>0</v>
      </c>
      <c r="F105" s="11">
        <f>data!AA59</f>
        <v>580</v>
      </c>
      <c r="G105" s="163"/>
      <c r="H105" s="11">
        <f>data!AC59</f>
        <v>38682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234</v>
      </c>
      <c r="C106" s="17">
        <f>data!X60</f>
        <v>4.59</v>
      </c>
      <c r="D106" s="17">
        <f>data!Y60</f>
        <v>18.38</v>
      </c>
      <c r="E106" s="17">
        <f>data!Z60</f>
        <v>0</v>
      </c>
      <c r="F106" s="17">
        <f>data!AA60</f>
        <v>0.39</v>
      </c>
      <c r="G106" s="17">
        <f>data!AB60</f>
        <v>10.86</v>
      </c>
      <c r="H106" s="17">
        <f>data!AC60</f>
        <v>16.579999999999998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235</v>
      </c>
      <c r="C107" s="11">
        <f>data!X61</f>
        <v>397701</v>
      </c>
      <c r="D107" s="11">
        <f>data!Y61</f>
        <v>1592071</v>
      </c>
      <c r="E107" s="11">
        <f>data!Z61</f>
        <v>0</v>
      </c>
      <c r="F107" s="11">
        <f>data!AA61</f>
        <v>33357</v>
      </c>
      <c r="G107" s="11">
        <f>data!AB61</f>
        <v>1269340</v>
      </c>
      <c r="H107" s="11">
        <f>data!AC61</f>
        <v>1243103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3</v>
      </c>
      <c r="C108" s="11">
        <f>data!X62</f>
        <v>89702</v>
      </c>
      <c r="D108" s="11">
        <f>data!Y62</f>
        <v>359092</v>
      </c>
      <c r="E108" s="11">
        <f>data!Z62</f>
        <v>0</v>
      </c>
      <c r="F108" s="11">
        <f>data!AA62</f>
        <v>7524</v>
      </c>
      <c r="G108" s="11">
        <f>data!AB62</f>
        <v>286300</v>
      </c>
      <c r="H108" s="11">
        <f>data!AC62</f>
        <v>280382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236</v>
      </c>
      <c r="C109" s="11">
        <f>data!X63</f>
        <v>7077</v>
      </c>
      <c r="D109" s="11">
        <f>data!Y63</f>
        <v>28332</v>
      </c>
      <c r="E109" s="11">
        <f>data!Z63</f>
        <v>0</v>
      </c>
      <c r="F109" s="11">
        <f>data!AA63</f>
        <v>594</v>
      </c>
      <c r="G109" s="11">
        <f>data!AB63</f>
        <v>750975</v>
      </c>
      <c r="H109" s="11">
        <f>data!AC63</f>
        <v>151159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237</v>
      </c>
      <c r="C110" s="11">
        <f>data!X64</f>
        <v>77811</v>
      </c>
      <c r="D110" s="11">
        <f>data!Y64</f>
        <v>311490</v>
      </c>
      <c r="E110" s="11">
        <f>data!Z64</f>
        <v>0</v>
      </c>
      <c r="F110" s="11">
        <f>data!AA64</f>
        <v>6526</v>
      </c>
      <c r="G110" s="11">
        <f>data!AB64</f>
        <v>17540294</v>
      </c>
      <c r="H110" s="11">
        <f>data!AC64</f>
        <v>89411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444</v>
      </c>
      <c r="C111" s="11">
        <f>data!X65</f>
        <v>0</v>
      </c>
      <c r="D111" s="11">
        <f>data!Y65</f>
        <v>0</v>
      </c>
      <c r="E111" s="11">
        <f>data!Z65</f>
        <v>0</v>
      </c>
      <c r="F111" s="11">
        <f>data!AA65</f>
        <v>0</v>
      </c>
      <c r="G111" s="11">
        <f>data!AB65</f>
        <v>12274</v>
      </c>
      <c r="H111" s="11">
        <f>data!AC65</f>
        <v>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445</v>
      </c>
      <c r="C112" s="11">
        <f>data!X66</f>
        <v>50079</v>
      </c>
      <c r="D112" s="11">
        <f>data!Y66</f>
        <v>200473</v>
      </c>
      <c r="E112" s="11">
        <f>data!Z66</f>
        <v>0</v>
      </c>
      <c r="F112" s="11">
        <f>data!AA66</f>
        <v>4200</v>
      </c>
      <c r="G112" s="11">
        <f>data!AB66</f>
        <v>225053</v>
      </c>
      <c r="H112" s="11">
        <f>data!AC66</f>
        <v>12474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6</v>
      </c>
      <c r="C113" s="11">
        <f>data!X67</f>
        <v>37829</v>
      </c>
      <c r="D113" s="11">
        <f>data!Y67</f>
        <v>151409</v>
      </c>
      <c r="E113" s="11">
        <f>data!Z67</f>
        <v>0</v>
      </c>
      <c r="F113" s="11">
        <f>data!AA67</f>
        <v>3181</v>
      </c>
      <c r="G113" s="11">
        <f>data!AB67</f>
        <v>46998</v>
      </c>
      <c r="H113" s="11">
        <f>data!AC67</f>
        <v>119131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474</v>
      </c>
      <c r="C114" s="11">
        <f>data!X68</f>
        <v>49565</v>
      </c>
      <c r="D114" s="11">
        <f>data!Y68</f>
        <v>198420</v>
      </c>
      <c r="E114" s="11">
        <f>data!Z68</f>
        <v>0</v>
      </c>
      <c r="F114" s="11">
        <f>data!AA68</f>
        <v>4157</v>
      </c>
      <c r="G114" s="11">
        <f>data!AB68</f>
        <v>266989</v>
      </c>
      <c r="H114" s="11">
        <f>data!AC68</f>
        <v>32728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241</v>
      </c>
      <c r="C115" s="11">
        <f>data!X69</f>
        <v>67718</v>
      </c>
      <c r="D115" s="11">
        <f>data!Y69</f>
        <v>271087</v>
      </c>
      <c r="E115" s="11">
        <f>data!Z69</f>
        <v>0</v>
      </c>
      <c r="F115" s="11">
        <f>data!AA69</f>
        <v>5680</v>
      </c>
      <c r="G115" s="11">
        <f>data!AB69</f>
        <v>100293</v>
      </c>
      <c r="H115" s="11">
        <f>data!AC69</f>
        <v>20936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242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0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1180</v>
      </c>
      <c r="C117" s="11">
        <f>data!X71</f>
        <v>777482</v>
      </c>
      <c r="D117" s="11">
        <f>data!Y71</f>
        <v>3112374</v>
      </c>
      <c r="E117" s="11">
        <f>data!Z71</f>
        <v>0</v>
      </c>
      <c r="F117" s="11">
        <f>data!AA71</f>
        <v>65219</v>
      </c>
      <c r="G117" s="11">
        <f>data!AB71</f>
        <v>20498516</v>
      </c>
      <c r="H117" s="11">
        <f>data!AC71</f>
        <v>1949324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244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1181</v>
      </c>
      <c r="C119" s="37">
        <f>+data!M689</f>
        <v>582354</v>
      </c>
      <c r="D119" s="37">
        <f>+data!M690</f>
        <v>689934</v>
      </c>
      <c r="E119" s="37">
        <f>+data!M691</f>
        <v>0</v>
      </c>
      <c r="F119" s="37">
        <f>+data!M692</f>
        <v>90998</v>
      </c>
      <c r="G119" s="37">
        <f>+data!M693</f>
        <v>3472587</v>
      </c>
      <c r="H119" s="37">
        <f>+data!M694</f>
        <v>442682</v>
      </c>
      <c r="I119" s="37">
        <f>+data!M695</f>
        <v>0</v>
      </c>
    </row>
    <row r="120" spans="1:9" ht="20.149999999999999" customHeight="1" x14ac:dyDescent="0.35">
      <c r="A120" s="10">
        <v>19</v>
      </c>
      <c r="B120" s="37" t="s">
        <v>1182</v>
      </c>
      <c r="C120" s="11">
        <f>data!X73</f>
        <v>1301388</v>
      </c>
      <c r="D120" s="11">
        <f>data!Y73</f>
        <v>1248110</v>
      </c>
      <c r="E120" s="11">
        <f>data!Z73</f>
        <v>0</v>
      </c>
      <c r="F120" s="11">
        <f>data!AA73</f>
        <v>5422</v>
      </c>
      <c r="G120" s="11">
        <f>data!AB73</f>
        <v>4289660</v>
      </c>
      <c r="H120" s="11">
        <f>data!AC73</f>
        <v>2082986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1183</v>
      </c>
      <c r="C121" s="11">
        <f>data!X74</f>
        <v>16128524</v>
      </c>
      <c r="D121" s="11">
        <f>data!Y74</f>
        <v>13301452</v>
      </c>
      <c r="E121" s="11">
        <f>data!Z74</f>
        <v>0</v>
      </c>
      <c r="F121" s="11">
        <f>data!AA74</f>
        <v>2874903</v>
      </c>
      <c r="G121" s="11">
        <f>data!AB74</f>
        <v>48870726</v>
      </c>
      <c r="H121" s="11">
        <f>data!AC74</f>
        <v>5151797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1184</v>
      </c>
      <c r="C122" s="11">
        <f>data!X75</f>
        <v>17429912</v>
      </c>
      <c r="D122" s="11">
        <f>data!Y75</f>
        <v>14549562</v>
      </c>
      <c r="E122" s="11">
        <f>data!Z75</f>
        <v>0</v>
      </c>
      <c r="F122" s="11">
        <f>data!AA75</f>
        <v>2880325</v>
      </c>
      <c r="G122" s="11">
        <f>data!AB75</f>
        <v>53160386</v>
      </c>
      <c r="H122" s="11">
        <f>data!AC75</f>
        <v>7234783</v>
      </c>
      <c r="I122" s="11">
        <f>data!AD75</f>
        <v>0</v>
      </c>
    </row>
    <row r="123" spans="1:9" ht="20.149999999999999" customHeight="1" x14ac:dyDescent="0.35">
      <c r="A123" s="10" t="s">
        <v>1185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1186</v>
      </c>
      <c r="C124" s="11">
        <f>data!X76</f>
        <v>1213</v>
      </c>
      <c r="D124" s="11">
        <f>data!Y76</f>
        <v>4855</v>
      </c>
      <c r="E124" s="11">
        <f>data!Z76</f>
        <v>0</v>
      </c>
      <c r="F124" s="11">
        <f>data!AA76</f>
        <v>102</v>
      </c>
      <c r="G124" s="11">
        <f>data!AB76</f>
        <v>1507</v>
      </c>
      <c r="H124" s="11">
        <f>data!AC76</f>
        <v>3820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1187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1188</v>
      </c>
      <c r="C126" s="11">
        <f>data!X78</f>
        <v>409</v>
      </c>
      <c r="D126" s="11">
        <f>data!Y78</f>
        <v>1639</v>
      </c>
      <c r="E126" s="11">
        <f>data!Z78</f>
        <v>0</v>
      </c>
      <c r="F126" s="11">
        <f>data!AA78</f>
        <v>34</v>
      </c>
      <c r="G126" s="11">
        <f>data!AB78</f>
        <v>509</v>
      </c>
      <c r="H126" s="11">
        <f>data!AC78</f>
        <v>1290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1189</v>
      </c>
      <c r="C127" s="11">
        <f>data!X79</f>
        <v>6153</v>
      </c>
      <c r="D127" s="11">
        <f>data!Y79</f>
        <v>24631</v>
      </c>
      <c r="E127" s="11">
        <f>data!Z79</f>
        <v>0</v>
      </c>
      <c r="F127" s="11">
        <f>data!AA79</f>
        <v>516</v>
      </c>
      <c r="G127" s="11">
        <f>data!AB79</f>
        <v>0</v>
      </c>
      <c r="H127" s="11">
        <f>data!AC79</f>
        <v>5597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252</v>
      </c>
      <c r="C128" s="17">
        <f>data!X80</f>
        <v>0</v>
      </c>
      <c r="D128" s="17">
        <f>data!Y80</f>
        <v>0</v>
      </c>
      <c r="E128" s="17">
        <f>data!Z80</f>
        <v>0</v>
      </c>
      <c r="F128" s="17">
        <f>data!AA80</f>
        <v>0</v>
      </c>
      <c r="G128" s="17">
        <f>data!AB80</f>
        <v>10.86</v>
      </c>
      <c r="H128" s="17">
        <f>data!AC80</f>
        <v>3.66</v>
      </c>
      <c r="I128" s="17">
        <f>data!AD80</f>
        <v>0</v>
      </c>
    </row>
    <row r="129" spans="1:9" ht="20.149999999999999" customHeight="1" x14ac:dyDescent="0.35">
      <c r="A129" s="3" t="s">
        <v>1173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1203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Jefferson County Public Hospital District No 2</v>
      </c>
      <c r="G132" s="8"/>
      <c r="H132" s="55" t="str">
        <f>"FYE: "&amp;data!C82</f>
        <v>FYE: 12/31/2021</v>
      </c>
    </row>
    <row r="133" spans="1:9" ht="20.149999999999999" customHeight="1" x14ac:dyDescent="0.35">
      <c r="A133" s="10">
        <v>1</v>
      </c>
      <c r="B133" s="11" t="s">
        <v>209</v>
      </c>
      <c r="C133" s="12" t="s">
        <v>38</v>
      </c>
      <c r="D133" s="12" t="s">
        <v>39</v>
      </c>
      <c r="E133" s="12" t="s">
        <v>40</v>
      </c>
      <c r="F133" s="12" t="s">
        <v>41</v>
      </c>
      <c r="G133" s="12" t="s">
        <v>42</v>
      </c>
      <c r="H133" s="12" t="s">
        <v>43</v>
      </c>
      <c r="I133" s="12" t="s">
        <v>44</v>
      </c>
    </row>
    <row r="134" spans="1:9" ht="20.149999999999999" customHeight="1" x14ac:dyDescent="0.35">
      <c r="A134" s="13">
        <v>2</v>
      </c>
      <c r="B134" s="14" t="s">
        <v>1175</v>
      </c>
      <c r="C134" s="15" t="s">
        <v>96</v>
      </c>
      <c r="D134" s="15" t="s">
        <v>97</v>
      </c>
      <c r="E134" s="15" t="s">
        <v>118</v>
      </c>
      <c r="F134" s="15"/>
      <c r="G134" s="15" t="s">
        <v>1204</v>
      </c>
      <c r="H134" s="15"/>
      <c r="I134" s="15" t="s">
        <v>122</v>
      </c>
    </row>
    <row r="135" spans="1:9" ht="20.149999999999999" customHeight="1" x14ac:dyDescent="0.35">
      <c r="A135" s="13"/>
      <c r="B135" s="14"/>
      <c r="C135" s="15" t="s">
        <v>172</v>
      </c>
      <c r="D135" s="15" t="s">
        <v>179</v>
      </c>
      <c r="E135" s="15" t="s">
        <v>171</v>
      </c>
      <c r="F135" s="15" t="s">
        <v>119</v>
      </c>
      <c r="G135" s="15" t="s">
        <v>180</v>
      </c>
      <c r="H135" s="15" t="s">
        <v>121</v>
      </c>
      <c r="I135" s="15" t="s">
        <v>172</v>
      </c>
    </row>
    <row r="136" spans="1:9" ht="20.149999999999999" customHeight="1" x14ac:dyDescent="0.35">
      <c r="A136" s="10">
        <v>3</v>
      </c>
      <c r="B136" s="11" t="s">
        <v>1179</v>
      </c>
      <c r="C136" s="12" t="s">
        <v>226</v>
      </c>
      <c r="D136" s="12" t="s">
        <v>228</v>
      </c>
      <c r="E136" s="12" t="s">
        <v>228</v>
      </c>
      <c r="F136" s="12" t="s">
        <v>229</v>
      </c>
      <c r="G136" s="61" t="s">
        <v>1205</v>
      </c>
      <c r="H136" s="12" t="s">
        <v>228</v>
      </c>
      <c r="I136" s="12" t="s">
        <v>226</v>
      </c>
    </row>
    <row r="137" spans="1:9" ht="20.149999999999999" customHeight="1" x14ac:dyDescent="0.35">
      <c r="A137" s="10">
        <v>4</v>
      </c>
      <c r="B137" s="11" t="s">
        <v>233</v>
      </c>
      <c r="C137" s="11">
        <f>data!AE59</f>
        <v>102140</v>
      </c>
      <c r="D137" s="11">
        <f>data!AF59</f>
        <v>0</v>
      </c>
      <c r="E137" s="11">
        <f>data!AG59</f>
        <v>12074</v>
      </c>
      <c r="F137" s="11">
        <f>data!AH59</f>
        <v>0</v>
      </c>
      <c r="G137" s="11">
        <f>data!AI59</f>
        <v>0</v>
      </c>
      <c r="H137" s="11">
        <f>data!AJ59</f>
        <v>96734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234</v>
      </c>
      <c r="C138" s="17">
        <f>data!AE60</f>
        <v>33.4</v>
      </c>
      <c r="D138" s="17">
        <f>data!AF60</f>
        <v>0</v>
      </c>
      <c r="E138" s="17">
        <f>data!AG60</f>
        <v>29.81</v>
      </c>
      <c r="F138" s="17">
        <f>data!AH60</f>
        <v>0</v>
      </c>
      <c r="G138" s="17">
        <f>data!AI60</f>
        <v>0</v>
      </c>
      <c r="H138" s="17">
        <f>data!AJ60</f>
        <v>171.77</v>
      </c>
      <c r="I138" s="17">
        <f>data!AK60</f>
        <v>0</v>
      </c>
    </row>
    <row r="139" spans="1:9" ht="20.149999999999999" customHeight="1" x14ac:dyDescent="0.35">
      <c r="A139" s="10">
        <v>6</v>
      </c>
      <c r="B139" s="11" t="s">
        <v>235</v>
      </c>
      <c r="C139" s="11">
        <f>data!AE61</f>
        <v>3001390</v>
      </c>
      <c r="D139" s="11">
        <f>data!AF61</f>
        <v>0</v>
      </c>
      <c r="E139" s="11">
        <f>data!AG61</f>
        <v>4685867</v>
      </c>
      <c r="F139" s="11">
        <f>data!AH61</f>
        <v>0</v>
      </c>
      <c r="G139" s="11">
        <f>data!AI61</f>
        <v>0</v>
      </c>
      <c r="H139" s="11">
        <f>data!AJ61</f>
        <v>24197638</v>
      </c>
      <c r="I139" s="11">
        <f>data!AK61</f>
        <v>0</v>
      </c>
    </row>
    <row r="140" spans="1:9" ht="20.149999999999999" customHeight="1" x14ac:dyDescent="0.35">
      <c r="A140" s="10">
        <v>7</v>
      </c>
      <c r="B140" s="11" t="s">
        <v>3</v>
      </c>
      <c r="C140" s="11">
        <f>data!AE62</f>
        <v>676964</v>
      </c>
      <c r="D140" s="11">
        <f>data!AF62</f>
        <v>0</v>
      </c>
      <c r="E140" s="11">
        <f>data!AG62</f>
        <v>1056898</v>
      </c>
      <c r="F140" s="11">
        <f>data!AH62</f>
        <v>0</v>
      </c>
      <c r="G140" s="11">
        <f>data!AI62</f>
        <v>0</v>
      </c>
      <c r="H140" s="11">
        <f>data!AJ62</f>
        <v>5457781</v>
      </c>
      <c r="I140" s="11">
        <f>data!AK62</f>
        <v>0</v>
      </c>
    </row>
    <row r="141" spans="1:9" ht="20.149999999999999" customHeight="1" x14ac:dyDescent="0.35">
      <c r="A141" s="10">
        <v>8</v>
      </c>
      <c r="B141" s="11" t="s">
        <v>236</v>
      </c>
      <c r="C141" s="11">
        <f>data!AE63</f>
        <v>9250</v>
      </c>
      <c r="D141" s="11">
        <f>data!AF63</f>
        <v>0</v>
      </c>
      <c r="E141" s="11">
        <f>data!AG63</f>
        <v>194554</v>
      </c>
      <c r="F141" s="11">
        <f>data!AH63</f>
        <v>0</v>
      </c>
      <c r="G141" s="11">
        <f>data!AI63</f>
        <v>0</v>
      </c>
      <c r="H141" s="11">
        <f>data!AJ63</f>
        <v>460885</v>
      </c>
      <c r="I141" s="11">
        <f>data!AK63</f>
        <v>0</v>
      </c>
    </row>
    <row r="142" spans="1:9" ht="20.149999999999999" customHeight="1" x14ac:dyDescent="0.35">
      <c r="A142" s="10">
        <v>9</v>
      </c>
      <c r="B142" s="11" t="s">
        <v>237</v>
      </c>
      <c r="C142" s="11">
        <f>data!AE64</f>
        <v>82985</v>
      </c>
      <c r="D142" s="11">
        <f>data!AF64</f>
        <v>0</v>
      </c>
      <c r="E142" s="11">
        <f>data!AG64</f>
        <v>260617</v>
      </c>
      <c r="F142" s="11">
        <f>data!AH64</f>
        <v>0</v>
      </c>
      <c r="G142" s="11">
        <f>data!AI64</f>
        <v>0</v>
      </c>
      <c r="H142" s="11">
        <f>data!AJ64</f>
        <v>1676171</v>
      </c>
      <c r="I142" s="11">
        <f>data!AK64</f>
        <v>0</v>
      </c>
    </row>
    <row r="143" spans="1:9" ht="20.149999999999999" customHeight="1" x14ac:dyDescent="0.35">
      <c r="A143" s="10">
        <v>10</v>
      </c>
      <c r="B143" s="11" t="s">
        <v>444</v>
      </c>
      <c r="C143" s="11">
        <f>data!AE65</f>
        <v>0</v>
      </c>
      <c r="D143" s="11">
        <f>data!AF65</f>
        <v>0</v>
      </c>
      <c r="E143" s="11">
        <f>data!AG65</f>
        <v>0</v>
      </c>
      <c r="F143" s="11">
        <f>data!AH65</f>
        <v>0</v>
      </c>
      <c r="G143" s="11">
        <f>data!AI65</f>
        <v>0</v>
      </c>
      <c r="H143" s="11">
        <f>data!AJ65</f>
        <v>129237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445</v>
      </c>
      <c r="C144" s="11">
        <f>data!AE66</f>
        <v>1589</v>
      </c>
      <c r="D144" s="11">
        <f>data!AF66</f>
        <v>0</v>
      </c>
      <c r="E144" s="11">
        <f>data!AG66</f>
        <v>91270</v>
      </c>
      <c r="F144" s="11">
        <f>data!AH66</f>
        <v>0</v>
      </c>
      <c r="G144" s="11">
        <f>data!AI66</f>
        <v>0</v>
      </c>
      <c r="H144" s="11">
        <f>data!AJ66</f>
        <v>420403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6</v>
      </c>
      <c r="C145" s="11">
        <f>data!AE67</f>
        <v>202336</v>
      </c>
      <c r="D145" s="11">
        <f>data!AF67</f>
        <v>0</v>
      </c>
      <c r="E145" s="11">
        <f>data!AG67</f>
        <v>198033</v>
      </c>
      <c r="F145" s="11">
        <f>data!AH67</f>
        <v>0</v>
      </c>
      <c r="G145" s="11">
        <f>data!AI67</f>
        <v>0</v>
      </c>
      <c r="H145" s="11">
        <f>data!AJ67</f>
        <v>973135</v>
      </c>
      <c r="I145" s="11">
        <f>data!AK67</f>
        <v>0</v>
      </c>
    </row>
    <row r="146" spans="1:9" ht="20.149999999999999" customHeight="1" x14ac:dyDescent="0.35">
      <c r="A146" s="10">
        <v>13</v>
      </c>
      <c r="B146" s="11" t="s">
        <v>474</v>
      </c>
      <c r="C146" s="11">
        <f>data!AE68</f>
        <v>0</v>
      </c>
      <c r="D146" s="11">
        <f>data!AF68</f>
        <v>0</v>
      </c>
      <c r="E146" s="11">
        <f>data!AG68</f>
        <v>683</v>
      </c>
      <c r="F146" s="11">
        <f>data!AH68</f>
        <v>0</v>
      </c>
      <c r="G146" s="11">
        <f>data!AI68</f>
        <v>0</v>
      </c>
      <c r="H146" s="11">
        <f>data!AJ68</f>
        <v>250063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241</v>
      </c>
      <c r="C147" s="11">
        <f>data!AE69</f>
        <v>25669</v>
      </c>
      <c r="D147" s="11">
        <f>data!AF69</f>
        <v>0</v>
      </c>
      <c r="E147" s="11">
        <f>data!AG69</f>
        <v>34935</v>
      </c>
      <c r="F147" s="11">
        <f>data!AH69</f>
        <v>0</v>
      </c>
      <c r="G147" s="11">
        <f>data!AI69</f>
        <v>0</v>
      </c>
      <c r="H147" s="11">
        <f>data!AJ69</f>
        <v>212071</v>
      </c>
      <c r="I147" s="11">
        <f>data!AK69</f>
        <v>0</v>
      </c>
    </row>
    <row r="148" spans="1:9" ht="20.149999999999999" customHeight="1" x14ac:dyDescent="0.35">
      <c r="A148" s="10">
        <v>15</v>
      </c>
      <c r="B148" s="11" t="s">
        <v>242</v>
      </c>
      <c r="C148" s="11">
        <f>-data!AE70</f>
        <v>0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1180</v>
      </c>
      <c r="C149" s="11">
        <f>data!AE71</f>
        <v>4000183</v>
      </c>
      <c r="D149" s="11">
        <f>data!AF71</f>
        <v>0</v>
      </c>
      <c r="E149" s="11">
        <f>data!AG71</f>
        <v>6522857</v>
      </c>
      <c r="F149" s="11">
        <f>data!AH71</f>
        <v>0</v>
      </c>
      <c r="G149" s="11">
        <f>data!AI71</f>
        <v>0</v>
      </c>
      <c r="H149" s="11">
        <f>data!AJ71</f>
        <v>33777384</v>
      </c>
      <c r="I149" s="11">
        <f>data!AK71</f>
        <v>0</v>
      </c>
    </row>
    <row r="150" spans="1:9" ht="20.149999999999999" customHeight="1" x14ac:dyDescent="0.35">
      <c r="A150" s="10">
        <v>17</v>
      </c>
      <c r="B150" s="11" t="s">
        <v>244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1181</v>
      </c>
      <c r="C151" s="37">
        <f>+data!M696</f>
        <v>681715</v>
      </c>
      <c r="D151" s="37">
        <f>+data!M697</f>
        <v>0</v>
      </c>
      <c r="E151" s="37">
        <f>+data!M698</f>
        <v>2084280</v>
      </c>
      <c r="F151" s="37">
        <f>+data!M699</f>
        <v>0</v>
      </c>
      <c r="G151" s="37">
        <f>+data!M700</f>
        <v>0</v>
      </c>
      <c r="H151" s="37">
        <f>+data!M701</f>
        <v>4181187</v>
      </c>
      <c r="I151" s="37">
        <f>+data!M702</f>
        <v>0</v>
      </c>
    </row>
    <row r="152" spans="1:9" ht="20.149999999999999" customHeight="1" x14ac:dyDescent="0.35">
      <c r="A152" s="10">
        <v>19</v>
      </c>
      <c r="B152" s="37" t="s">
        <v>1182</v>
      </c>
      <c r="C152" s="11">
        <f>data!AE73</f>
        <v>737246</v>
      </c>
      <c r="D152" s="11">
        <f>data!AF73</f>
        <v>0</v>
      </c>
      <c r="E152" s="11">
        <f>data!AG73</f>
        <v>1613812</v>
      </c>
      <c r="F152" s="11">
        <f>data!AH73</f>
        <v>0</v>
      </c>
      <c r="G152" s="11">
        <f>data!AI73</f>
        <v>0</v>
      </c>
      <c r="H152" s="11">
        <f>data!AJ73</f>
        <v>1629119</v>
      </c>
      <c r="I152" s="11">
        <f>data!AK73</f>
        <v>0</v>
      </c>
    </row>
    <row r="153" spans="1:9" ht="20.149999999999999" customHeight="1" x14ac:dyDescent="0.35">
      <c r="A153" s="10">
        <v>20</v>
      </c>
      <c r="B153" s="37" t="s">
        <v>1183</v>
      </c>
      <c r="C153" s="11">
        <f>data!AE74</f>
        <v>10547972</v>
      </c>
      <c r="D153" s="11">
        <f>data!AF74</f>
        <v>0</v>
      </c>
      <c r="E153" s="11">
        <f>data!AG74</f>
        <v>32647744</v>
      </c>
      <c r="F153" s="11">
        <f>data!AH74</f>
        <v>0</v>
      </c>
      <c r="G153" s="11">
        <f>data!AI74</f>
        <v>0</v>
      </c>
      <c r="H153" s="11">
        <f>data!AJ74</f>
        <v>44788442</v>
      </c>
      <c r="I153" s="11">
        <f>data!AK74</f>
        <v>0</v>
      </c>
    </row>
    <row r="154" spans="1:9" ht="20.149999999999999" customHeight="1" x14ac:dyDescent="0.35">
      <c r="A154" s="10">
        <v>21</v>
      </c>
      <c r="B154" s="37" t="s">
        <v>1184</v>
      </c>
      <c r="C154" s="11">
        <f>data!AE75</f>
        <v>11285218</v>
      </c>
      <c r="D154" s="11">
        <f>data!AF75</f>
        <v>0</v>
      </c>
      <c r="E154" s="11">
        <f>data!AG75</f>
        <v>34261556</v>
      </c>
      <c r="F154" s="11">
        <f>data!AH75</f>
        <v>0</v>
      </c>
      <c r="G154" s="11">
        <f>data!AI75</f>
        <v>0</v>
      </c>
      <c r="H154" s="11">
        <f>data!AJ75</f>
        <v>46417561</v>
      </c>
      <c r="I154" s="11">
        <f>data!AK75</f>
        <v>0</v>
      </c>
    </row>
    <row r="155" spans="1:9" ht="20.149999999999999" customHeight="1" x14ac:dyDescent="0.35">
      <c r="A155" s="10" t="s">
        <v>1185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1186</v>
      </c>
      <c r="C156" s="11">
        <f>data!AE76</f>
        <v>6488</v>
      </c>
      <c r="D156" s="11">
        <f>data!AF76</f>
        <v>0</v>
      </c>
      <c r="E156" s="11">
        <f>data!AG76</f>
        <v>6350</v>
      </c>
      <c r="F156" s="11">
        <f>data!AH76</f>
        <v>0</v>
      </c>
      <c r="G156" s="11">
        <f>data!AI76</f>
        <v>0</v>
      </c>
      <c r="H156" s="11">
        <f>data!AJ76</f>
        <v>31204</v>
      </c>
      <c r="I156" s="11">
        <f>data!AK76</f>
        <v>0</v>
      </c>
    </row>
    <row r="157" spans="1:9" ht="20.149999999999999" customHeight="1" x14ac:dyDescent="0.35">
      <c r="A157" s="10">
        <v>23</v>
      </c>
      <c r="B157" s="11" t="s">
        <v>1187</v>
      </c>
      <c r="C157" s="11">
        <f>data!AE77</f>
        <v>0</v>
      </c>
      <c r="D157" s="11">
        <f>data!AF77</f>
        <v>0</v>
      </c>
      <c r="E157" s="11">
        <f>data!AG77</f>
        <v>0</v>
      </c>
      <c r="F157" s="11">
        <f>data!AH77</f>
        <v>0</v>
      </c>
      <c r="G157" s="11">
        <f>data!AI77</f>
        <v>0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1188</v>
      </c>
      <c r="C158" s="11">
        <f>data!AE78</f>
        <v>2191</v>
      </c>
      <c r="D158" s="11">
        <f>data!AF78</f>
        <v>0</v>
      </c>
      <c r="E158" s="11">
        <f>data!AG78</f>
        <v>2144</v>
      </c>
      <c r="F158" s="11">
        <f>data!AH78</f>
        <v>0</v>
      </c>
      <c r="G158" s="11">
        <f>data!AI78</f>
        <v>0</v>
      </c>
      <c r="H158" s="11">
        <f>data!AJ78</f>
        <v>10537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1189</v>
      </c>
      <c r="C159" s="11">
        <f>data!AE79</f>
        <v>26997</v>
      </c>
      <c r="D159" s="11">
        <f>data!AF79</f>
        <v>0</v>
      </c>
      <c r="E159" s="11">
        <f>data!AG79</f>
        <v>67792</v>
      </c>
      <c r="F159" s="11">
        <f>data!AH79</f>
        <v>0</v>
      </c>
      <c r="G159" s="11">
        <f>data!AI79</f>
        <v>0</v>
      </c>
      <c r="H159" s="11">
        <f>data!AJ79</f>
        <v>26732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252</v>
      </c>
      <c r="C160" s="17">
        <f>data!AE80</f>
        <v>0</v>
      </c>
      <c r="D160" s="17">
        <f>data!AF80</f>
        <v>0</v>
      </c>
      <c r="E160" s="17">
        <f>data!AG80</f>
        <v>24.4</v>
      </c>
      <c r="F160" s="17">
        <f>data!AH80</f>
        <v>0</v>
      </c>
      <c r="G160" s="17">
        <f>data!AI80</f>
        <v>0</v>
      </c>
      <c r="H160" s="17">
        <f>data!AJ80</f>
        <v>12.8</v>
      </c>
      <c r="I160" s="17">
        <f>data!AK80</f>
        <v>0</v>
      </c>
    </row>
    <row r="161" spans="1:9" ht="20.149999999999999" customHeight="1" x14ac:dyDescent="0.35">
      <c r="A161" s="3" t="s">
        <v>1173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1206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Jefferson County Public Hospital District No 2</v>
      </c>
      <c r="G164" s="8"/>
      <c r="H164" s="55" t="str">
        <f>"FYE: "&amp;data!C82</f>
        <v>FYE: 12/31/2021</v>
      </c>
    </row>
    <row r="165" spans="1:9" ht="20.149999999999999" customHeight="1" x14ac:dyDescent="0.35">
      <c r="A165" s="10">
        <v>1</v>
      </c>
      <c r="B165" s="11" t="s">
        <v>209</v>
      </c>
      <c r="C165" s="12" t="s">
        <v>45</v>
      </c>
      <c r="D165" s="12" t="s">
        <v>46</v>
      </c>
      <c r="E165" s="12" t="s">
        <v>47</v>
      </c>
      <c r="F165" s="12" t="s">
        <v>48</v>
      </c>
      <c r="G165" s="12" t="s">
        <v>49</v>
      </c>
      <c r="H165" s="12" t="s">
        <v>50</v>
      </c>
      <c r="I165" s="12" t="s">
        <v>51</v>
      </c>
    </row>
    <row r="166" spans="1:9" ht="20.149999999999999" customHeight="1" x14ac:dyDescent="0.35">
      <c r="A166" s="13">
        <v>2</v>
      </c>
      <c r="B166" s="14" t="s">
        <v>1175</v>
      </c>
      <c r="C166" s="15" t="s">
        <v>123</v>
      </c>
      <c r="D166" s="15" t="s">
        <v>124</v>
      </c>
      <c r="E166" s="15" t="s">
        <v>110</v>
      </c>
      <c r="F166" s="15" t="s">
        <v>125</v>
      </c>
      <c r="G166" s="15" t="s">
        <v>1207</v>
      </c>
      <c r="H166" s="15" t="s">
        <v>127</v>
      </c>
      <c r="I166" s="15" t="s">
        <v>128</v>
      </c>
    </row>
    <row r="167" spans="1:9" ht="20.149999999999999" customHeight="1" x14ac:dyDescent="0.35">
      <c r="A167" s="13"/>
      <c r="B167" s="14"/>
      <c r="C167" s="15" t="s">
        <v>172</v>
      </c>
      <c r="D167" s="15" t="s">
        <v>172</v>
      </c>
      <c r="E167" s="15" t="s">
        <v>1208</v>
      </c>
      <c r="F167" s="15" t="s">
        <v>182</v>
      </c>
      <c r="G167" s="15" t="s">
        <v>121</v>
      </c>
      <c r="H167" s="60" t="s">
        <v>1209</v>
      </c>
      <c r="I167" s="15" t="s">
        <v>169</v>
      </c>
    </row>
    <row r="168" spans="1:9" ht="20.149999999999999" customHeight="1" x14ac:dyDescent="0.35">
      <c r="A168" s="10">
        <v>3</v>
      </c>
      <c r="B168" s="11" t="s">
        <v>1179</v>
      </c>
      <c r="C168" s="12" t="s">
        <v>226</v>
      </c>
      <c r="D168" s="12" t="s">
        <v>226</v>
      </c>
      <c r="E168" s="12" t="s">
        <v>217</v>
      </c>
      <c r="F168" s="12" t="s">
        <v>227</v>
      </c>
      <c r="G168" s="12" t="s">
        <v>228</v>
      </c>
      <c r="H168" s="12" t="s">
        <v>229</v>
      </c>
      <c r="I168" s="12" t="s">
        <v>228</v>
      </c>
    </row>
    <row r="169" spans="1:9" ht="20.149999999999999" customHeight="1" x14ac:dyDescent="0.35">
      <c r="A169" s="10">
        <v>4</v>
      </c>
      <c r="B169" s="11" t="s">
        <v>233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8160</v>
      </c>
      <c r="G169" s="11">
        <f>data!AP59</f>
        <v>2051</v>
      </c>
      <c r="H169" s="11">
        <f>data!AQ59</f>
        <v>0</v>
      </c>
      <c r="I169" s="11">
        <f>data!AR59</f>
        <v>7790</v>
      </c>
    </row>
    <row r="170" spans="1:9" ht="20.149999999999999" customHeight="1" x14ac:dyDescent="0.35">
      <c r="A170" s="10">
        <v>5</v>
      </c>
      <c r="B170" s="11" t="s">
        <v>234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3.8966027270626293</v>
      </c>
      <c r="G170" s="17">
        <f>data!AP60</f>
        <v>2.98</v>
      </c>
      <c r="H170" s="17">
        <f>data!AQ60</f>
        <v>0</v>
      </c>
      <c r="I170" s="17">
        <f>data!AR60</f>
        <v>25.23</v>
      </c>
    </row>
    <row r="171" spans="1:9" ht="20.149999999999999" customHeight="1" x14ac:dyDescent="0.35">
      <c r="A171" s="10">
        <v>6</v>
      </c>
      <c r="B171" s="11" t="s">
        <v>235</v>
      </c>
      <c r="C171" s="11">
        <f>data!AL61</f>
        <v>0</v>
      </c>
      <c r="D171" s="11">
        <f>data!AM61</f>
        <v>0</v>
      </c>
      <c r="E171" s="11">
        <f>data!AN61</f>
        <v>0</v>
      </c>
      <c r="F171" s="11">
        <f>data!AO61</f>
        <v>538307.84839380626</v>
      </c>
      <c r="G171" s="11">
        <f>data!AP61</f>
        <v>271236</v>
      </c>
      <c r="H171" s="11">
        <f>data!AQ61</f>
        <v>0</v>
      </c>
      <c r="I171" s="11">
        <f>data!AR61</f>
        <v>2033262</v>
      </c>
    </row>
    <row r="172" spans="1:9" ht="20.149999999999999" customHeight="1" x14ac:dyDescent="0.35">
      <c r="A172" s="10">
        <v>7</v>
      </c>
      <c r="B172" s="11" t="s">
        <v>3</v>
      </c>
      <c r="C172" s="11">
        <f>data!AL62</f>
        <v>0</v>
      </c>
      <c r="D172" s="11">
        <f>data!AM62</f>
        <v>0</v>
      </c>
      <c r="E172" s="11">
        <f>data!AN62</f>
        <v>0</v>
      </c>
      <c r="F172" s="11">
        <f>data!AO62</f>
        <v>121415</v>
      </c>
      <c r="G172" s="11">
        <f>data!AP62</f>
        <v>61177</v>
      </c>
      <c r="H172" s="11">
        <f>data!AQ62</f>
        <v>0</v>
      </c>
      <c r="I172" s="11">
        <f>data!AR62</f>
        <v>458603</v>
      </c>
    </row>
    <row r="173" spans="1:9" ht="20.149999999999999" customHeight="1" x14ac:dyDescent="0.35">
      <c r="A173" s="10">
        <v>8</v>
      </c>
      <c r="B173" s="11" t="s">
        <v>236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589.3228564825514</v>
      </c>
      <c r="G173" s="11">
        <f>data!AP63</f>
        <v>507700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237</v>
      </c>
      <c r="C174" s="11">
        <f>data!AL64</f>
        <v>0</v>
      </c>
      <c r="D174" s="11">
        <f>data!AM64</f>
        <v>0</v>
      </c>
      <c r="E174" s="11">
        <f>data!AN64</f>
        <v>0</v>
      </c>
      <c r="F174" s="11">
        <f>data!AO64</f>
        <v>31955.599722671595</v>
      </c>
      <c r="G174" s="11">
        <f>data!AP64</f>
        <v>982</v>
      </c>
      <c r="H174" s="11">
        <f>data!AQ64</f>
        <v>0</v>
      </c>
      <c r="I174" s="11">
        <f>data!AR64</f>
        <v>118870</v>
      </c>
    </row>
    <row r="175" spans="1:9" ht="20.149999999999999" customHeight="1" x14ac:dyDescent="0.35">
      <c r="A175" s="10">
        <v>10</v>
      </c>
      <c r="B175" s="11" t="s">
        <v>444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8670</v>
      </c>
      <c r="H175" s="11">
        <f>data!AQ65</f>
        <v>0</v>
      </c>
      <c r="I175" s="11">
        <f>data!AR65</f>
        <v>2421</v>
      </c>
    </row>
    <row r="176" spans="1:9" ht="20.149999999999999" customHeight="1" x14ac:dyDescent="0.35">
      <c r="A176" s="10">
        <v>11</v>
      </c>
      <c r="B176" s="11" t="s">
        <v>445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812.47977813727755</v>
      </c>
      <c r="G176" s="11">
        <f>data!AP66</f>
        <v>451788</v>
      </c>
      <c r="H176" s="11">
        <f>data!AQ66</f>
        <v>0</v>
      </c>
      <c r="I176" s="11">
        <f>data!AR66</f>
        <v>38906</v>
      </c>
    </row>
    <row r="177" spans="1:9" ht="20.149999999999999" customHeight="1" x14ac:dyDescent="0.35">
      <c r="A177" s="10">
        <v>12</v>
      </c>
      <c r="B177" s="11" t="s">
        <v>6</v>
      </c>
      <c r="C177" s="11">
        <f>data!AL67</f>
        <v>0</v>
      </c>
      <c r="D177" s="11">
        <f>data!AM67</f>
        <v>0</v>
      </c>
      <c r="E177" s="11">
        <f>data!AN67</f>
        <v>0</v>
      </c>
      <c r="F177" s="11">
        <f>data!AO67</f>
        <v>27600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474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100365</v>
      </c>
      <c r="H178" s="11">
        <f>data!AQ68</f>
        <v>0</v>
      </c>
      <c r="I178" s="11">
        <f>data!AR68</f>
        <v>39485</v>
      </c>
    </row>
    <row r="179" spans="1:9" ht="20.149999999999999" customHeight="1" x14ac:dyDescent="0.35">
      <c r="A179" s="10">
        <v>14</v>
      </c>
      <c r="B179" s="11" t="s">
        <v>241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3464.4326323087589</v>
      </c>
      <c r="G179" s="11">
        <f>data!AP69</f>
        <v>3796</v>
      </c>
      <c r="H179" s="11">
        <f>data!AQ69</f>
        <v>0</v>
      </c>
      <c r="I179" s="11">
        <f>data!AR69</f>
        <v>92692</v>
      </c>
    </row>
    <row r="180" spans="1:9" ht="20.149999999999999" customHeight="1" x14ac:dyDescent="0.35">
      <c r="A180" s="10">
        <v>15</v>
      </c>
      <c r="B180" s="11" t="s">
        <v>242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1180</v>
      </c>
      <c r="C181" s="11">
        <f>data!AL71</f>
        <v>0</v>
      </c>
      <c r="D181" s="11">
        <f>data!AM71</f>
        <v>0</v>
      </c>
      <c r="E181" s="11">
        <f>data!AN71</f>
        <v>0</v>
      </c>
      <c r="F181" s="11">
        <f>data!AO71</f>
        <v>724144.68338340649</v>
      </c>
      <c r="G181" s="11">
        <f>data!AP71</f>
        <v>1405714</v>
      </c>
      <c r="H181" s="11">
        <f>data!AQ71</f>
        <v>0</v>
      </c>
      <c r="I181" s="11">
        <f>data!AR71</f>
        <v>2784239</v>
      </c>
    </row>
    <row r="182" spans="1:9" ht="20.149999999999999" customHeight="1" x14ac:dyDescent="0.35">
      <c r="A182" s="10">
        <v>17</v>
      </c>
      <c r="B182" s="11" t="s">
        <v>244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1181</v>
      </c>
      <c r="C183" s="37">
        <f>+data!M703</f>
        <v>0</v>
      </c>
      <c r="D183" s="37">
        <f>+data!M704</f>
        <v>0</v>
      </c>
      <c r="E183" s="37">
        <f>+data!M705</f>
        <v>0</v>
      </c>
      <c r="F183" s="37">
        <f>+data!M706</f>
        <v>169404</v>
      </c>
      <c r="G183" s="37">
        <f>+data!M707</f>
        <v>156137</v>
      </c>
      <c r="H183" s="37">
        <f>+data!M708</f>
        <v>0</v>
      </c>
      <c r="I183" s="37">
        <f>+data!M709</f>
        <v>334599</v>
      </c>
    </row>
    <row r="184" spans="1:9" ht="20.149999999999999" customHeight="1" x14ac:dyDescent="0.35">
      <c r="A184" s="10">
        <v>19</v>
      </c>
      <c r="B184" s="37" t="s">
        <v>1182</v>
      </c>
      <c r="C184" s="11">
        <f>data!AL73</f>
        <v>0</v>
      </c>
      <c r="D184" s="11">
        <f>data!AM73</f>
        <v>0</v>
      </c>
      <c r="E184" s="11">
        <f>data!AN73</f>
        <v>0</v>
      </c>
      <c r="F184" s="11">
        <f>data!AO73</f>
        <v>878219.84284723818</v>
      </c>
      <c r="G184" s="11">
        <f>data!AP73</f>
        <v>51453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1183</v>
      </c>
      <c r="C185" s="11">
        <f>data!AL74</f>
        <v>0</v>
      </c>
      <c r="D185" s="11">
        <f>data!AM74</f>
        <v>0</v>
      </c>
      <c r="E185" s="11">
        <f>data!AN74</f>
        <v>0</v>
      </c>
      <c r="F185" s="11">
        <f>data!AO74</f>
        <v>185611.16246822278</v>
      </c>
      <c r="G185" s="11">
        <f>data!AP74</f>
        <v>1735985</v>
      </c>
      <c r="H185" s="11">
        <f>data!AQ74</f>
        <v>0</v>
      </c>
      <c r="I185" s="11">
        <f>data!AR74</f>
        <v>2354517</v>
      </c>
    </row>
    <row r="186" spans="1:9" ht="20.149999999999999" customHeight="1" x14ac:dyDescent="0.35">
      <c r="A186" s="10">
        <v>21</v>
      </c>
      <c r="B186" s="37" t="s">
        <v>1184</v>
      </c>
      <c r="C186" s="11">
        <f>data!AL75</f>
        <v>0</v>
      </c>
      <c r="D186" s="11">
        <f>data!AM75</f>
        <v>0</v>
      </c>
      <c r="E186" s="11">
        <f>data!AN75</f>
        <v>0</v>
      </c>
      <c r="F186" s="11">
        <f>data!AO75</f>
        <v>1063831.005315461</v>
      </c>
      <c r="G186" s="11">
        <f>data!AP75</f>
        <v>1787438</v>
      </c>
      <c r="H186" s="11">
        <f>data!AQ75</f>
        <v>0</v>
      </c>
      <c r="I186" s="11">
        <f>data!AR75</f>
        <v>2354517</v>
      </c>
    </row>
    <row r="187" spans="1:9" ht="20.149999999999999" customHeight="1" x14ac:dyDescent="0.35">
      <c r="A187" s="10" t="s">
        <v>1185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1186</v>
      </c>
      <c r="C188" s="11">
        <f>data!AL76</f>
        <v>0</v>
      </c>
      <c r="D188" s="11">
        <f>data!AM76</f>
        <v>0</v>
      </c>
      <c r="E188" s="11">
        <f>data!AN76</f>
        <v>0</v>
      </c>
      <c r="F188" s="11">
        <f>data!AO76</f>
        <v>885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1187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1188</v>
      </c>
      <c r="C190" s="11">
        <f>data!AL78</f>
        <v>0</v>
      </c>
      <c r="D190" s="11">
        <f>data!AM78</f>
        <v>0</v>
      </c>
      <c r="E190" s="11">
        <f>data!AN78</f>
        <v>0</v>
      </c>
      <c r="F190" s="11">
        <f>data!AO78</f>
        <v>299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1189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4200.0647099607113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252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3.8966027270626293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1173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1210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Jefferson County Public Hospital District No 2</v>
      </c>
      <c r="G196" s="8"/>
      <c r="H196" s="55" t="str">
        <f>"FYE: "&amp;data!C82</f>
        <v>FYE: 12/31/2021</v>
      </c>
    </row>
    <row r="197" spans="1:9" ht="20.149999999999999" customHeight="1" x14ac:dyDescent="0.35">
      <c r="A197" s="10">
        <v>1</v>
      </c>
      <c r="B197" s="11" t="s">
        <v>209</v>
      </c>
      <c r="C197" s="12" t="s">
        <v>52</v>
      </c>
      <c r="D197" s="12" t="s">
        <v>53</v>
      </c>
      <c r="E197" s="12" t="s">
        <v>54</v>
      </c>
      <c r="F197" s="12" t="s">
        <v>55</v>
      </c>
      <c r="G197" s="12" t="s">
        <v>56</v>
      </c>
      <c r="H197" s="12" t="s">
        <v>57</v>
      </c>
      <c r="I197" s="12" t="s">
        <v>58</v>
      </c>
    </row>
    <row r="198" spans="1:9" ht="20.149999999999999" customHeight="1" x14ac:dyDescent="0.35">
      <c r="A198" s="13">
        <v>2</v>
      </c>
      <c r="B198" s="14" t="s">
        <v>1175</v>
      </c>
      <c r="C198" s="15"/>
      <c r="D198" s="15" t="s">
        <v>130</v>
      </c>
      <c r="E198" s="15" t="s">
        <v>131</v>
      </c>
      <c r="F198" s="15" t="s">
        <v>132</v>
      </c>
      <c r="G198" s="15" t="s">
        <v>1211</v>
      </c>
      <c r="H198" s="15" t="s">
        <v>134</v>
      </c>
      <c r="I198" s="15"/>
    </row>
    <row r="199" spans="1:9" ht="20.149999999999999" customHeight="1" x14ac:dyDescent="0.35">
      <c r="A199" s="13"/>
      <c r="B199" s="14"/>
      <c r="C199" s="15" t="s">
        <v>129</v>
      </c>
      <c r="D199" s="15" t="s">
        <v>1212</v>
      </c>
      <c r="E199" s="15" t="s">
        <v>1213</v>
      </c>
      <c r="F199" s="15" t="s">
        <v>186</v>
      </c>
      <c r="G199" s="15" t="s">
        <v>201</v>
      </c>
      <c r="H199" s="15" t="s">
        <v>188</v>
      </c>
      <c r="I199" s="15" t="s">
        <v>135</v>
      </c>
    </row>
    <row r="200" spans="1:9" ht="20.149999999999999" customHeight="1" x14ac:dyDescent="0.35">
      <c r="A200" s="10">
        <v>3</v>
      </c>
      <c r="B200" s="11" t="s">
        <v>1179</v>
      </c>
      <c r="C200" s="12" t="s">
        <v>226</v>
      </c>
      <c r="D200" s="12" t="s">
        <v>1212</v>
      </c>
      <c r="E200" s="12" t="s">
        <v>228</v>
      </c>
      <c r="F200" s="163"/>
      <c r="G200" s="163"/>
      <c r="H200" s="163"/>
      <c r="I200" s="12" t="s">
        <v>231</v>
      </c>
    </row>
    <row r="201" spans="1:9" ht="20.149999999999999" customHeight="1" x14ac:dyDescent="0.35">
      <c r="A201" s="10">
        <v>4</v>
      </c>
      <c r="B201" s="11" t="s">
        <v>233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15221</v>
      </c>
    </row>
    <row r="202" spans="1:9" ht="20.149999999999999" customHeight="1" x14ac:dyDescent="0.35">
      <c r="A202" s="10">
        <v>5</v>
      </c>
      <c r="B202" s="11" t="s">
        <v>234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3.27</v>
      </c>
      <c r="G202" s="17">
        <f>data!AW60</f>
        <v>0</v>
      </c>
      <c r="H202" s="17">
        <f>data!AX60</f>
        <v>0</v>
      </c>
      <c r="I202" s="17">
        <f>data!AY60</f>
        <v>15.94</v>
      </c>
    </row>
    <row r="203" spans="1:9" ht="20.149999999999999" customHeight="1" x14ac:dyDescent="0.35">
      <c r="A203" s="10">
        <v>6</v>
      </c>
      <c r="B203" s="11" t="s">
        <v>235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2113818</v>
      </c>
      <c r="G203" s="11">
        <f>data!AW61</f>
        <v>0</v>
      </c>
      <c r="H203" s="11">
        <f>data!AX61</f>
        <v>0</v>
      </c>
      <c r="I203" s="11">
        <f>data!AY61</f>
        <v>809747</v>
      </c>
    </row>
    <row r="204" spans="1:9" ht="20.149999999999999" customHeight="1" x14ac:dyDescent="0.35">
      <c r="A204" s="10">
        <v>7</v>
      </c>
      <c r="B204" s="11" t="s">
        <v>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476772</v>
      </c>
      <c r="G204" s="11">
        <f>data!AW62</f>
        <v>0</v>
      </c>
      <c r="H204" s="11">
        <f>data!AX62</f>
        <v>0</v>
      </c>
      <c r="I204" s="11">
        <f>data!AY62</f>
        <v>182639</v>
      </c>
    </row>
    <row r="205" spans="1:9" ht="20.149999999999999" customHeight="1" x14ac:dyDescent="0.35">
      <c r="A205" s="10">
        <v>8</v>
      </c>
      <c r="B205" s="11" t="s">
        <v>236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0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237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296728</v>
      </c>
      <c r="G206" s="11">
        <f>data!AW64</f>
        <v>0</v>
      </c>
      <c r="H206" s="11">
        <f>data!AX64</f>
        <v>0</v>
      </c>
      <c r="I206" s="11">
        <f>data!AY64</f>
        <v>387710</v>
      </c>
    </row>
    <row r="207" spans="1:9" ht="20.149999999999999" customHeight="1" x14ac:dyDescent="0.35">
      <c r="A207" s="10">
        <v>10</v>
      </c>
      <c r="B207" s="11" t="s">
        <v>444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0</v>
      </c>
      <c r="G207" s="11">
        <f>data!AW65</f>
        <v>0</v>
      </c>
      <c r="H207" s="11">
        <f>data!AX65</f>
        <v>0</v>
      </c>
      <c r="I207" s="11">
        <f>data!AY65</f>
        <v>1676</v>
      </c>
    </row>
    <row r="208" spans="1:9" ht="20.149999999999999" customHeight="1" x14ac:dyDescent="0.35">
      <c r="A208" s="10">
        <v>11</v>
      </c>
      <c r="B208" s="11" t="s">
        <v>445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99555</v>
      </c>
      <c r="G208" s="11">
        <f>data!AW66</f>
        <v>0</v>
      </c>
      <c r="H208" s="11">
        <f>data!AX66</f>
        <v>0</v>
      </c>
      <c r="I208" s="11">
        <f>data!AY66</f>
        <v>23571</v>
      </c>
    </row>
    <row r="209" spans="1:9" ht="20.149999999999999" customHeight="1" x14ac:dyDescent="0.35">
      <c r="A209" s="10">
        <v>12</v>
      </c>
      <c r="B209" s="11" t="s">
        <v>6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121190</v>
      </c>
      <c r="G209" s="11">
        <f>data!AW67</f>
        <v>0</v>
      </c>
      <c r="H209" s="11">
        <f>data!AX67</f>
        <v>0</v>
      </c>
      <c r="I209" s="11">
        <f>data!AY67</f>
        <v>121252</v>
      </c>
    </row>
    <row r="210" spans="1:9" ht="20.149999999999999" customHeight="1" x14ac:dyDescent="0.35">
      <c r="A210" s="10">
        <v>13</v>
      </c>
      <c r="B210" s="11" t="s">
        <v>474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0</v>
      </c>
      <c r="H210" s="11">
        <f>data!AX68</f>
        <v>0</v>
      </c>
      <c r="I210" s="11">
        <f>data!AY68</f>
        <v>11369</v>
      </c>
    </row>
    <row r="211" spans="1:9" ht="20.149999999999999" customHeight="1" x14ac:dyDescent="0.35">
      <c r="A211" s="10">
        <v>14</v>
      </c>
      <c r="B211" s="11" t="s">
        <v>241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2713</v>
      </c>
      <c r="G211" s="11">
        <f>data!AW69</f>
        <v>0</v>
      </c>
      <c r="H211" s="11">
        <f>data!AX69</f>
        <v>0</v>
      </c>
      <c r="I211" s="11">
        <f>data!AY69</f>
        <v>7660</v>
      </c>
    </row>
    <row r="212" spans="1:9" ht="20.149999999999999" customHeight="1" x14ac:dyDescent="0.35">
      <c r="A212" s="10">
        <v>15</v>
      </c>
      <c r="B212" s="11" t="s">
        <v>242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0</v>
      </c>
    </row>
    <row r="213" spans="1:9" ht="20.149999999999999" customHeight="1" x14ac:dyDescent="0.35">
      <c r="A213" s="10">
        <v>16</v>
      </c>
      <c r="B213" s="37" t="s">
        <v>1180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3110776</v>
      </c>
      <c r="G213" s="11">
        <f>data!AW71</f>
        <v>0</v>
      </c>
      <c r="H213" s="11">
        <f>data!AX71</f>
        <v>0</v>
      </c>
      <c r="I213" s="11">
        <f>data!AY71</f>
        <v>1545624</v>
      </c>
    </row>
    <row r="214" spans="1:9" ht="20.149999999999999" customHeight="1" x14ac:dyDescent="0.35">
      <c r="A214" s="10">
        <v>17</v>
      </c>
      <c r="B214" s="11" t="s">
        <v>244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1181</v>
      </c>
      <c r="C215" s="37">
        <f>+data!M710</f>
        <v>0</v>
      </c>
      <c r="D215" s="37">
        <f>+data!M711</f>
        <v>0</v>
      </c>
      <c r="E215" s="37">
        <f>+data!M712</f>
        <v>0</v>
      </c>
      <c r="F215" s="37">
        <f>+data!M713</f>
        <v>460848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1182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13459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1183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7034765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1184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7048224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1185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1186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3886</v>
      </c>
      <c r="G220" s="11">
        <f>data!AW76</f>
        <v>0</v>
      </c>
      <c r="H220" s="11">
        <f>data!AX76</f>
        <v>0</v>
      </c>
      <c r="I220" s="57">
        <f>data!AY76</f>
        <v>3888</v>
      </c>
    </row>
    <row r="221" spans="1:9" ht="20.149999999999999" customHeight="1" x14ac:dyDescent="0.35">
      <c r="A221" s="10">
        <v>23</v>
      </c>
      <c r="B221" s="11" t="s">
        <v>1187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1188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1312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1189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252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3.27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1173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1214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Jefferson County Public Hospital District No 2</v>
      </c>
      <c r="G228" s="8"/>
      <c r="H228" s="55" t="str">
        <f>"FYE: "&amp;data!C82</f>
        <v>FYE: 12/31/2021</v>
      </c>
    </row>
    <row r="229" spans="1:9" ht="20.149999999999999" customHeight="1" x14ac:dyDescent="0.35">
      <c r="A229" s="10">
        <v>1</v>
      </c>
      <c r="B229" s="11" t="s">
        <v>209</v>
      </c>
      <c r="C229" s="12" t="s">
        <v>59</v>
      </c>
      <c r="D229" s="12" t="s">
        <v>60</v>
      </c>
      <c r="E229" s="12" t="s">
        <v>61</v>
      </c>
      <c r="F229" s="12" t="s">
        <v>62</v>
      </c>
      <c r="G229" s="12" t="s">
        <v>63</v>
      </c>
      <c r="H229" s="12" t="s">
        <v>64</v>
      </c>
      <c r="I229" s="12" t="s">
        <v>65</v>
      </c>
    </row>
    <row r="230" spans="1:9" ht="20.149999999999999" customHeight="1" x14ac:dyDescent="0.35">
      <c r="A230" s="13">
        <v>2</v>
      </c>
      <c r="B230" s="14" t="s">
        <v>1175</v>
      </c>
      <c r="C230" s="15"/>
      <c r="D230" s="15" t="s">
        <v>137</v>
      </c>
      <c r="E230" s="15" t="s">
        <v>138</v>
      </c>
      <c r="F230" s="15" t="s">
        <v>108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136</v>
      </c>
      <c r="D231" s="15" t="s">
        <v>189</v>
      </c>
      <c r="E231" s="15" t="s">
        <v>1215</v>
      </c>
      <c r="F231" s="15" t="s">
        <v>1216</v>
      </c>
      <c r="G231" s="15" t="s">
        <v>139</v>
      </c>
      <c r="H231" s="15" t="s">
        <v>140</v>
      </c>
      <c r="I231" s="15" t="s">
        <v>141</v>
      </c>
    </row>
    <row r="232" spans="1:9" ht="20.149999999999999" customHeight="1" x14ac:dyDescent="0.35">
      <c r="A232" s="10">
        <v>3</v>
      </c>
      <c r="B232" s="11" t="s">
        <v>1179</v>
      </c>
      <c r="C232" s="12" t="s">
        <v>1217</v>
      </c>
      <c r="D232" s="12" t="s">
        <v>1218</v>
      </c>
      <c r="E232" s="163"/>
      <c r="F232" s="163"/>
      <c r="G232" s="163"/>
      <c r="H232" s="12" t="s">
        <v>232</v>
      </c>
      <c r="I232" s="163"/>
    </row>
    <row r="233" spans="1:9" ht="20.149999999999999" customHeight="1" x14ac:dyDescent="0.35">
      <c r="A233" s="10">
        <v>4</v>
      </c>
      <c r="B233" s="11" t="s">
        <v>233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140333</v>
      </c>
      <c r="I233" s="163"/>
    </row>
    <row r="234" spans="1:9" ht="20.149999999999999" customHeight="1" x14ac:dyDescent="0.35">
      <c r="A234" s="10">
        <v>5</v>
      </c>
      <c r="B234" s="11" t="s">
        <v>234</v>
      </c>
      <c r="C234" s="17">
        <f>data!AZ60</f>
        <v>0</v>
      </c>
      <c r="D234" s="17">
        <f>data!BA60</f>
        <v>0</v>
      </c>
      <c r="E234" s="17">
        <f>data!BB60</f>
        <v>0</v>
      </c>
      <c r="F234" s="17">
        <f>data!BC60</f>
        <v>0</v>
      </c>
      <c r="G234" s="17">
        <f>data!BD60</f>
        <v>7.23</v>
      </c>
      <c r="H234" s="17">
        <f>data!BE60</f>
        <v>15.47</v>
      </c>
      <c r="I234" s="17">
        <f>data!BF60</f>
        <v>22.78</v>
      </c>
    </row>
    <row r="235" spans="1:9" ht="20.149999999999999" customHeight="1" x14ac:dyDescent="0.35">
      <c r="A235" s="10">
        <v>6</v>
      </c>
      <c r="B235" s="11" t="s">
        <v>235</v>
      </c>
      <c r="C235" s="11">
        <f>data!AZ61</f>
        <v>0</v>
      </c>
      <c r="D235" s="11">
        <f>data!BA61</f>
        <v>0</v>
      </c>
      <c r="E235" s="11">
        <f>data!BB61</f>
        <v>0</v>
      </c>
      <c r="F235" s="11">
        <f>data!BC61</f>
        <v>0</v>
      </c>
      <c r="G235" s="11">
        <f>data!BD61</f>
        <v>348439</v>
      </c>
      <c r="H235" s="11">
        <f>data!BE61</f>
        <v>1092142</v>
      </c>
      <c r="I235" s="11">
        <f>data!BF61</f>
        <v>1042365</v>
      </c>
    </row>
    <row r="236" spans="1:9" ht="20.149999999999999" customHeight="1" x14ac:dyDescent="0.35">
      <c r="A236" s="10">
        <v>7</v>
      </c>
      <c r="B236" s="11" t="s">
        <v>3</v>
      </c>
      <c r="C236" s="11">
        <f>data!AZ62</f>
        <v>0</v>
      </c>
      <c r="D236" s="11">
        <f>data!BA62</f>
        <v>0</v>
      </c>
      <c r="E236" s="11">
        <f>data!BB62</f>
        <v>0</v>
      </c>
      <c r="F236" s="11">
        <f>data!BC62</f>
        <v>0</v>
      </c>
      <c r="G236" s="11">
        <f>data!BD62</f>
        <v>78590</v>
      </c>
      <c r="H236" s="11">
        <f>data!BE62</f>
        <v>246333</v>
      </c>
      <c r="I236" s="11">
        <f>data!BF62</f>
        <v>235106</v>
      </c>
    </row>
    <row r="237" spans="1:9" ht="20.149999999999999" customHeight="1" x14ac:dyDescent="0.35">
      <c r="A237" s="10">
        <v>8</v>
      </c>
      <c r="B237" s="11" t="s">
        <v>236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1216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237</v>
      </c>
      <c r="C238" s="11">
        <f>data!AZ64</f>
        <v>0</v>
      </c>
      <c r="D238" s="11">
        <f>data!BA64</f>
        <v>44620</v>
      </c>
      <c r="E238" s="11">
        <f>data!BB64</f>
        <v>0</v>
      </c>
      <c r="F238" s="11">
        <f>data!BC64</f>
        <v>0</v>
      </c>
      <c r="G238" s="11">
        <f>data!BD64</f>
        <v>0</v>
      </c>
      <c r="H238" s="11">
        <f>data!BE64</f>
        <v>88989</v>
      </c>
      <c r="I238" s="11">
        <f>data!BF64</f>
        <v>195691</v>
      </c>
    </row>
    <row r="239" spans="1:9" ht="20.149999999999999" customHeight="1" x14ac:dyDescent="0.35">
      <c r="A239" s="10">
        <v>10</v>
      </c>
      <c r="B239" s="11" t="s">
        <v>444</v>
      </c>
      <c r="C239" s="11">
        <f>data!AZ65</f>
        <v>0</v>
      </c>
      <c r="D239" s="11">
        <f>data!BA65</f>
        <v>0</v>
      </c>
      <c r="E239" s="11">
        <f>data!BB65</f>
        <v>0</v>
      </c>
      <c r="F239" s="11">
        <f>data!BC65</f>
        <v>0</v>
      </c>
      <c r="G239" s="11">
        <f>data!BD65</f>
        <v>0</v>
      </c>
      <c r="H239" s="11">
        <f>data!BE65</f>
        <v>803985</v>
      </c>
      <c r="I239" s="11">
        <f>data!BF65</f>
        <v>56</v>
      </c>
    </row>
    <row r="240" spans="1:9" ht="20.149999999999999" customHeight="1" x14ac:dyDescent="0.35">
      <c r="A240" s="10">
        <v>11</v>
      </c>
      <c r="B240" s="11" t="s">
        <v>445</v>
      </c>
      <c r="C240" s="11">
        <f>data!AZ66</f>
        <v>0</v>
      </c>
      <c r="D240" s="11">
        <f>data!BA66</f>
        <v>341475</v>
      </c>
      <c r="E240" s="11">
        <f>data!BB66</f>
        <v>0</v>
      </c>
      <c r="F240" s="11">
        <f>data!BC66</f>
        <v>0</v>
      </c>
      <c r="G240" s="11">
        <f>data!BD66</f>
        <v>0</v>
      </c>
      <c r="H240" s="11">
        <f>data!BE66</f>
        <v>379694</v>
      </c>
      <c r="I240" s="11">
        <f>data!BF66</f>
        <v>19883</v>
      </c>
    </row>
    <row r="241" spans="1:9" ht="20.149999999999999" customHeight="1" x14ac:dyDescent="0.35">
      <c r="A241" s="10">
        <v>12</v>
      </c>
      <c r="B241" s="11" t="s">
        <v>6</v>
      </c>
      <c r="C241" s="11">
        <f>data!AZ67</f>
        <v>0</v>
      </c>
      <c r="D241" s="11">
        <f>data!BA67</f>
        <v>0</v>
      </c>
      <c r="E241" s="11">
        <f>data!BB67</f>
        <v>0</v>
      </c>
      <c r="F241" s="11">
        <f>data!BC67</f>
        <v>0</v>
      </c>
      <c r="G241" s="11">
        <f>data!BD67</f>
        <v>0</v>
      </c>
      <c r="H241" s="11">
        <f>data!BE67</f>
        <v>356209</v>
      </c>
      <c r="I241" s="11">
        <f>data!BF67</f>
        <v>97270</v>
      </c>
    </row>
    <row r="242" spans="1:9" ht="20.149999999999999" customHeight="1" x14ac:dyDescent="0.35">
      <c r="A242" s="10">
        <v>13</v>
      </c>
      <c r="B242" s="11" t="s">
        <v>474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0</v>
      </c>
      <c r="H242" s="11">
        <f>data!BE68</f>
        <v>220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241</v>
      </c>
      <c r="C243" s="11">
        <f>data!AZ69</f>
        <v>0</v>
      </c>
      <c r="D243" s="11">
        <f>data!BA69</f>
        <v>0</v>
      </c>
      <c r="E243" s="11">
        <f>data!BB69</f>
        <v>0</v>
      </c>
      <c r="F243" s="11">
        <f>data!BC69</f>
        <v>0</v>
      </c>
      <c r="G243" s="11">
        <f>data!BD69</f>
        <v>0</v>
      </c>
      <c r="H243" s="11">
        <f>data!BE69</f>
        <v>84341</v>
      </c>
      <c r="I243" s="11">
        <f>data!BF69</f>
        <v>6806</v>
      </c>
    </row>
    <row r="244" spans="1:9" ht="20.149999999999999" customHeight="1" x14ac:dyDescent="0.35">
      <c r="A244" s="10">
        <v>15</v>
      </c>
      <c r="B244" s="11" t="s">
        <v>242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1180</v>
      </c>
      <c r="C245" s="11">
        <f>data!AZ71</f>
        <v>0</v>
      </c>
      <c r="D245" s="11">
        <f>data!BA71</f>
        <v>386095</v>
      </c>
      <c r="E245" s="11">
        <f>data!BB71</f>
        <v>0</v>
      </c>
      <c r="F245" s="11">
        <f>data!BC71</f>
        <v>0</v>
      </c>
      <c r="G245" s="11">
        <f>data!BD71</f>
        <v>427029</v>
      </c>
      <c r="H245" s="11">
        <f>data!BE71</f>
        <v>3053129</v>
      </c>
      <c r="I245" s="11">
        <f>data!BF71</f>
        <v>1597177</v>
      </c>
    </row>
    <row r="246" spans="1:9" ht="20.149999999999999" customHeight="1" x14ac:dyDescent="0.35">
      <c r="A246" s="10">
        <v>17</v>
      </c>
      <c r="B246" s="11" t="s">
        <v>244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1181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1182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1183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1184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1185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1186</v>
      </c>
      <c r="C252" s="57">
        <f>data!AZ76</f>
        <v>0</v>
      </c>
      <c r="D252" s="57">
        <f>data!BA76</f>
        <v>0</v>
      </c>
      <c r="E252" s="57">
        <f>data!BB76</f>
        <v>0</v>
      </c>
      <c r="F252" s="57">
        <f>data!BC76</f>
        <v>0</v>
      </c>
      <c r="G252" s="57">
        <f>data!BD76</f>
        <v>0</v>
      </c>
      <c r="H252" s="57">
        <f>data!BE76</f>
        <v>11422</v>
      </c>
      <c r="I252" s="57">
        <f>data!BF76</f>
        <v>3119</v>
      </c>
    </row>
    <row r="253" spans="1:9" ht="20.149999999999999" customHeight="1" x14ac:dyDescent="0.35">
      <c r="A253" s="10">
        <v>23</v>
      </c>
      <c r="B253" s="11" t="s">
        <v>1187</v>
      </c>
      <c r="C253" s="57">
        <f>data!AZ77</f>
        <v>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1188</v>
      </c>
      <c r="C254" s="164" t="str">
        <f>IF(data!AZ78&gt;0,data!AZ78,"")</f>
        <v>x</v>
      </c>
      <c r="D254" s="57">
        <f>data!BA78</f>
        <v>0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1189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252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1173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1219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Jefferson County Public Hospital District No 2</v>
      </c>
      <c r="G260" s="8"/>
      <c r="H260" s="55" t="str">
        <f>"FYE: "&amp;data!C82</f>
        <v>FYE: 12/31/2021</v>
      </c>
    </row>
    <row r="261" spans="1:9" ht="20.149999999999999" customHeight="1" x14ac:dyDescent="0.35">
      <c r="A261" s="10">
        <v>1</v>
      </c>
      <c r="B261" s="11" t="s">
        <v>209</v>
      </c>
      <c r="C261" s="12" t="s">
        <v>66</v>
      </c>
      <c r="D261" s="12" t="s">
        <v>67</v>
      </c>
      <c r="E261" s="12" t="s">
        <v>68</v>
      </c>
      <c r="F261" s="12" t="s">
        <v>69</v>
      </c>
      <c r="G261" s="12" t="s">
        <v>70</v>
      </c>
      <c r="H261" s="12" t="s">
        <v>71</v>
      </c>
      <c r="I261" s="12" t="s">
        <v>72</v>
      </c>
    </row>
    <row r="262" spans="1:9" ht="20.149999999999999" customHeight="1" x14ac:dyDescent="0.35">
      <c r="A262" s="13">
        <v>2</v>
      </c>
      <c r="B262" s="14" t="s">
        <v>1175</v>
      </c>
      <c r="C262" s="15" t="s">
        <v>1220</v>
      </c>
      <c r="D262" s="15" t="s">
        <v>143</v>
      </c>
      <c r="E262" s="15" t="s">
        <v>144</v>
      </c>
      <c r="F262" s="15"/>
      <c r="G262" s="15" t="s">
        <v>146</v>
      </c>
      <c r="H262" s="15"/>
      <c r="I262" s="15" t="s">
        <v>132</v>
      </c>
    </row>
    <row r="263" spans="1:9" ht="20.149999999999999" customHeight="1" x14ac:dyDescent="0.35">
      <c r="A263" s="13"/>
      <c r="B263" s="14"/>
      <c r="C263" s="15" t="s">
        <v>1221</v>
      </c>
      <c r="D263" s="15" t="s">
        <v>190</v>
      </c>
      <c r="E263" s="15" t="s">
        <v>169</v>
      </c>
      <c r="F263" s="15" t="s">
        <v>145</v>
      </c>
      <c r="G263" s="15" t="s">
        <v>191</v>
      </c>
      <c r="H263" s="15" t="s">
        <v>147</v>
      </c>
      <c r="I263" s="15" t="s">
        <v>1222</v>
      </c>
    </row>
    <row r="264" spans="1:9" ht="20.149999999999999" customHeight="1" x14ac:dyDescent="0.35">
      <c r="A264" s="10">
        <v>3</v>
      </c>
      <c r="B264" s="11" t="s">
        <v>1179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233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234</v>
      </c>
      <c r="C266" s="17">
        <f>data!BG60</f>
        <v>0</v>
      </c>
      <c r="D266" s="17">
        <f>data!BH60</f>
        <v>15.23</v>
      </c>
      <c r="E266" s="17">
        <f>data!BI60</f>
        <v>0</v>
      </c>
      <c r="F266" s="17">
        <f>data!BJ60</f>
        <v>0</v>
      </c>
      <c r="G266" s="17">
        <f>data!BK60</f>
        <v>27.15</v>
      </c>
      <c r="H266" s="17">
        <f>data!BL60</f>
        <v>14.41</v>
      </c>
      <c r="I266" s="17">
        <f>data!BM60</f>
        <v>0</v>
      </c>
    </row>
    <row r="267" spans="1:9" ht="20.149999999999999" customHeight="1" x14ac:dyDescent="0.35">
      <c r="A267" s="10">
        <v>6</v>
      </c>
      <c r="B267" s="11" t="s">
        <v>235</v>
      </c>
      <c r="C267" s="11">
        <f>data!BG61</f>
        <v>0</v>
      </c>
      <c r="D267" s="11">
        <f>data!BH61</f>
        <v>1371642</v>
      </c>
      <c r="E267" s="11">
        <f>data!BI61</f>
        <v>0</v>
      </c>
      <c r="F267" s="11">
        <f>data!BJ61</f>
        <v>0</v>
      </c>
      <c r="G267" s="11">
        <f>data!BK61</f>
        <v>1184640</v>
      </c>
      <c r="H267" s="11">
        <f>data!BL61</f>
        <v>724464</v>
      </c>
      <c r="I267" s="11">
        <f>data!BM61</f>
        <v>0</v>
      </c>
    </row>
    <row r="268" spans="1:9" ht="20.149999999999999" customHeight="1" x14ac:dyDescent="0.35">
      <c r="A268" s="10">
        <v>7</v>
      </c>
      <c r="B268" s="11" t="s">
        <v>3</v>
      </c>
      <c r="C268" s="11">
        <f>data!BG62</f>
        <v>0</v>
      </c>
      <c r="D268" s="11">
        <f>data!BH62</f>
        <v>309374</v>
      </c>
      <c r="E268" s="11">
        <f>data!BI62</f>
        <v>0</v>
      </c>
      <c r="F268" s="11">
        <f>data!BJ62</f>
        <v>0</v>
      </c>
      <c r="G268" s="11">
        <f>data!BK62</f>
        <v>267196</v>
      </c>
      <c r="H268" s="11">
        <f>data!BL62</f>
        <v>163403</v>
      </c>
      <c r="I268" s="11">
        <f>data!BM62</f>
        <v>0</v>
      </c>
    </row>
    <row r="269" spans="1:9" ht="20.149999999999999" customHeight="1" x14ac:dyDescent="0.35">
      <c r="A269" s="10">
        <v>8</v>
      </c>
      <c r="B269" s="11" t="s">
        <v>236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0</v>
      </c>
      <c r="G269" s="11">
        <f>data!BK63</f>
        <v>35361</v>
      </c>
      <c r="H269" s="11">
        <f>data!BL63</f>
        <v>0</v>
      </c>
      <c r="I269" s="11">
        <f>data!BM63</f>
        <v>0</v>
      </c>
    </row>
    <row r="270" spans="1:9" ht="20.149999999999999" customHeight="1" x14ac:dyDescent="0.35">
      <c r="A270" s="10">
        <v>9</v>
      </c>
      <c r="B270" s="11" t="s">
        <v>237</v>
      </c>
      <c r="C270" s="11">
        <f>data!BG64</f>
        <v>12569</v>
      </c>
      <c r="D270" s="11">
        <f>data!BH64</f>
        <v>254656</v>
      </c>
      <c r="E270" s="11">
        <f>data!BI64</f>
        <v>0</v>
      </c>
      <c r="F270" s="11">
        <f>data!BJ64</f>
        <v>0</v>
      </c>
      <c r="G270" s="11">
        <f>data!BK64</f>
        <v>31090</v>
      </c>
      <c r="H270" s="11">
        <f>data!BL64</f>
        <v>16667</v>
      </c>
      <c r="I270" s="11">
        <f>data!BM64</f>
        <v>0</v>
      </c>
    </row>
    <row r="271" spans="1:9" ht="20.149999999999999" customHeight="1" x14ac:dyDescent="0.35">
      <c r="A271" s="10">
        <v>10</v>
      </c>
      <c r="B271" s="11" t="s">
        <v>444</v>
      </c>
      <c r="C271" s="11">
        <f>data!BG65</f>
        <v>196890</v>
      </c>
      <c r="D271" s="11">
        <f>data!BH65</f>
        <v>0</v>
      </c>
      <c r="E271" s="11">
        <f>data!BI65</f>
        <v>0</v>
      </c>
      <c r="F271" s="11">
        <f>data!BJ65</f>
        <v>0</v>
      </c>
      <c r="G271" s="11">
        <f>data!BK65</f>
        <v>3684</v>
      </c>
      <c r="H271" s="11">
        <f>data!BL65</f>
        <v>0</v>
      </c>
      <c r="I271" s="11">
        <f>data!BM65</f>
        <v>0</v>
      </c>
    </row>
    <row r="272" spans="1:9" ht="20.149999999999999" customHeight="1" x14ac:dyDescent="0.35">
      <c r="A272" s="10">
        <v>11</v>
      </c>
      <c r="B272" s="11" t="s">
        <v>445</v>
      </c>
      <c r="C272" s="11">
        <f>data!BG66</f>
        <v>51524</v>
      </c>
      <c r="D272" s="11">
        <f>data!BH66</f>
        <v>1865132</v>
      </c>
      <c r="E272" s="11">
        <f>data!BI66</f>
        <v>0</v>
      </c>
      <c r="F272" s="11">
        <f>data!BJ66</f>
        <v>0</v>
      </c>
      <c r="G272" s="11">
        <f>data!BK66</f>
        <v>493938</v>
      </c>
      <c r="H272" s="11">
        <f>data!BL66</f>
        <v>2249</v>
      </c>
      <c r="I272" s="11">
        <f>data!BM66</f>
        <v>0</v>
      </c>
    </row>
    <row r="273" spans="1:9" ht="20.149999999999999" customHeight="1" x14ac:dyDescent="0.35">
      <c r="A273" s="10">
        <v>12</v>
      </c>
      <c r="B273" s="11" t="s">
        <v>6</v>
      </c>
      <c r="C273" s="11">
        <f>data!BG67</f>
        <v>0</v>
      </c>
      <c r="D273" s="11">
        <f>data!BH67</f>
        <v>203677</v>
      </c>
      <c r="E273" s="11">
        <f>data!BI67</f>
        <v>0</v>
      </c>
      <c r="F273" s="11">
        <f>data!BJ67</f>
        <v>0</v>
      </c>
      <c r="G273" s="11">
        <f>data!BK67</f>
        <v>51270</v>
      </c>
      <c r="H273" s="11">
        <f>data!BL67</f>
        <v>61780</v>
      </c>
      <c r="I273" s="11">
        <f>data!BM67</f>
        <v>0</v>
      </c>
    </row>
    <row r="274" spans="1:9" ht="20.149999999999999" customHeight="1" x14ac:dyDescent="0.35">
      <c r="A274" s="10">
        <v>13</v>
      </c>
      <c r="B274" s="11" t="s">
        <v>474</v>
      </c>
      <c r="C274" s="11">
        <f>data!BG68</f>
        <v>0</v>
      </c>
      <c r="D274" s="11">
        <f>data!BH68</f>
        <v>0</v>
      </c>
      <c r="E274" s="11">
        <f>data!BI68</f>
        <v>0</v>
      </c>
      <c r="F274" s="11">
        <f>data!BJ68</f>
        <v>0</v>
      </c>
      <c r="G274" s="11">
        <f>data!BK68</f>
        <v>25138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241</v>
      </c>
      <c r="C275" s="11">
        <f>data!BG69</f>
        <v>-8764</v>
      </c>
      <c r="D275" s="11">
        <f>data!BH69</f>
        <v>38717</v>
      </c>
      <c r="E275" s="11">
        <f>data!BI69</f>
        <v>0</v>
      </c>
      <c r="F275" s="11">
        <f>data!BJ69</f>
        <v>0</v>
      </c>
      <c r="G275" s="11">
        <f>data!BK69</f>
        <v>258756</v>
      </c>
      <c r="H275" s="11">
        <f>data!BL69</f>
        <v>0</v>
      </c>
      <c r="I275" s="11">
        <f>data!BM69</f>
        <v>0</v>
      </c>
    </row>
    <row r="276" spans="1:9" ht="20.149999999999999" customHeight="1" x14ac:dyDescent="0.35">
      <c r="A276" s="10">
        <v>15</v>
      </c>
      <c r="B276" s="11" t="s">
        <v>242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1180</v>
      </c>
      <c r="C277" s="11">
        <f>data!BG71</f>
        <v>252219</v>
      </c>
      <c r="D277" s="11">
        <f>data!BH71</f>
        <v>4043198</v>
      </c>
      <c r="E277" s="11">
        <f>data!BI71</f>
        <v>0</v>
      </c>
      <c r="F277" s="11">
        <f>data!BJ71</f>
        <v>0</v>
      </c>
      <c r="G277" s="11">
        <f>data!BK71</f>
        <v>2351073</v>
      </c>
      <c r="H277" s="11">
        <f>data!BL71</f>
        <v>968563</v>
      </c>
      <c r="I277" s="11">
        <f>data!BM71</f>
        <v>0</v>
      </c>
    </row>
    <row r="278" spans="1:9" ht="20.149999999999999" customHeight="1" x14ac:dyDescent="0.35">
      <c r="A278" s="10">
        <v>17</v>
      </c>
      <c r="B278" s="11" t="s">
        <v>244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1181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1182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1183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1184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1185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1186</v>
      </c>
      <c r="C284" s="57">
        <f>data!BG76</f>
        <v>0</v>
      </c>
      <c r="D284" s="57">
        <f>data!BH76</f>
        <v>6531</v>
      </c>
      <c r="E284" s="57">
        <f>data!BI76</f>
        <v>0</v>
      </c>
      <c r="F284" s="57">
        <f>data!BJ76</f>
        <v>0</v>
      </c>
      <c r="G284" s="57">
        <f>data!BK76</f>
        <v>1644</v>
      </c>
      <c r="H284" s="57">
        <f>data!BL76</f>
        <v>1981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1187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1188</v>
      </c>
      <c r="C286" s="164" t="str">
        <f>IF(data!BG78&gt;0,data!BG78,"")</f>
        <v>x</v>
      </c>
      <c r="D286" s="57">
        <f>data!BH78</f>
        <v>2206</v>
      </c>
      <c r="E286" s="57">
        <f>data!BI78</f>
        <v>0</v>
      </c>
      <c r="F286" s="164" t="str">
        <f>IF(data!BJ78&gt;0,data!BJ78,"")</f>
        <v>x</v>
      </c>
      <c r="G286" s="57">
        <f>data!BK78</f>
        <v>555</v>
      </c>
      <c r="H286" s="57">
        <f>data!BL78</f>
        <v>669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1189</v>
      </c>
      <c r="C287" s="164" t="str">
        <f>IF(data!BG79&gt;0,data!BG79,"")</f>
        <v>x</v>
      </c>
      <c r="D287" s="57">
        <f>data!BH79</f>
        <v>2440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252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1173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1223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Jefferson County Public Hospital District No 2</v>
      </c>
      <c r="G292" s="8"/>
      <c r="H292" s="55" t="str">
        <f>"FYE: "&amp;data!C82</f>
        <v>FYE: 12/31/2021</v>
      </c>
    </row>
    <row r="293" spans="1:9" ht="20.149999999999999" customHeight="1" x14ac:dyDescent="0.35">
      <c r="A293" s="10">
        <v>1</v>
      </c>
      <c r="B293" s="11" t="s">
        <v>209</v>
      </c>
      <c r="C293" s="12" t="s">
        <v>73</v>
      </c>
      <c r="D293" s="12" t="s">
        <v>74</v>
      </c>
      <c r="E293" s="12" t="s">
        <v>75</v>
      </c>
      <c r="F293" s="12" t="s">
        <v>76</v>
      </c>
      <c r="G293" s="12" t="s">
        <v>77</v>
      </c>
      <c r="H293" s="12" t="s">
        <v>78</v>
      </c>
      <c r="I293" s="12" t="s">
        <v>79</v>
      </c>
    </row>
    <row r="294" spans="1:9" ht="20.149999999999999" customHeight="1" x14ac:dyDescent="0.35">
      <c r="A294" s="13">
        <v>2</v>
      </c>
      <c r="B294" s="14" t="s">
        <v>1175</v>
      </c>
      <c r="C294" s="15" t="s">
        <v>148</v>
      </c>
      <c r="D294" s="15" t="s">
        <v>149</v>
      </c>
      <c r="E294" s="15" t="s">
        <v>150</v>
      </c>
      <c r="F294" s="15" t="s">
        <v>151</v>
      </c>
      <c r="G294" s="15"/>
      <c r="H294" s="15" t="s">
        <v>153</v>
      </c>
      <c r="I294" s="15" t="s">
        <v>154</v>
      </c>
    </row>
    <row r="295" spans="1:9" ht="20.149999999999999" customHeight="1" x14ac:dyDescent="0.35">
      <c r="A295" s="13"/>
      <c r="B295" s="14"/>
      <c r="C295" s="15" t="s">
        <v>1224</v>
      </c>
      <c r="D295" s="15" t="s">
        <v>194</v>
      </c>
      <c r="E295" s="15" t="s">
        <v>195</v>
      </c>
      <c r="F295" s="15" t="s">
        <v>196</v>
      </c>
      <c r="G295" s="15" t="s">
        <v>152</v>
      </c>
      <c r="H295" s="15" t="s">
        <v>197</v>
      </c>
      <c r="I295" s="15" t="s">
        <v>169</v>
      </c>
    </row>
    <row r="296" spans="1:9" ht="20.149999999999999" customHeight="1" x14ac:dyDescent="0.35">
      <c r="A296" s="10">
        <v>3</v>
      </c>
      <c r="B296" s="11" t="s">
        <v>1179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233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234</v>
      </c>
      <c r="C298" s="17">
        <f>data!BN60</f>
        <v>0</v>
      </c>
      <c r="D298" s="17">
        <f>data!BO60</f>
        <v>0.3</v>
      </c>
      <c r="E298" s="17">
        <f>data!BP60</f>
        <v>0</v>
      </c>
      <c r="F298" s="17">
        <f>data!BQ60</f>
        <v>0</v>
      </c>
      <c r="G298" s="17">
        <f>data!BR60</f>
        <v>9.3800000000000008</v>
      </c>
      <c r="H298" s="17">
        <f>data!BS60</f>
        <v>0</v>
      </c>
      <c r="I298" s="17">
        <f>data!BT60</f>
        <v>0</v>
      </c>
    </row>
    <row r="299" spans="1:9" ht="20.149999999999999" customHeight="1" x14ac:dyDescent="0.35">
      <c r="A299" s="10">
        <v>6</v>
      </c>
      <c r="B299" s="11" t="s">
        <v>235</v>
      </c>
      <c r="C299" s="11">
        <f>data!BN61</f>
        <v>0</v>
      </c>
      <c r="D299" s="11">
        <f>data!BO61</f>
        <v>21920</v>
      </c>
      <c r="E299" s="11">
        <f>data!BP61</f>
        <v>0</v>
      </c>
      <c r="F299" s="11">
        <f>data!BQ61</f>
        <v>0</v>
      </c>
      <c r="G299" s="11">
        <f>data!BR61</f>
        <v>977336</v>
      </c>
      <c r="H299" s="11">
        <f>data!BS61</f>
        <v>0</v>
      </c>
      <c r="I299" s="11">
        <f>data!BT61</f>
        <v>0</v>
      </c>
    </row>
    <row r="300" spans="1:9" ht="20.149999999999999" customHeight="1" x14ac:dyDescent="0.35">
      <c r="A300" s="10">
        <v>7</v>
      </c>
      <c r="B300" s="11" t="s">
        <v>3</v>
      </c>
      <c r="C300" s="11">
        <f>data!BN62</f>
        <v>0</v>
      </c>
      <c r="D300" s="11">
        <f>data!BO62</f>
        <v>4944</v>
      </c>
      <c r="E300" s="11">
        <f>data!BP62</f>
        <v>0</v>
      </c>
      <c r="F300" s="11">
        <f>data!BQ62</f>
        <v>0</v>
      </c>
      <c r="G300" s="11">
        <f>data!BR62</f>
        <v>220438</v>
      </c>
      <c r="H300" s="11">
        <f>data!BS62</f>
        <v>0</v>
      </c>
      <c r="I300" s="11">
        <f>data!BT62</f>
        <v>0</v>
      </c>
    </row>
    <row r="301" spans="1:9" ht="20.149999999999999" customHeight="1" x14ac:dyDescent="0.35">
      <c r="A301" s="10">
        <v>8</v>
      </c>
      <c r="B301" s="11" t="s">
        <v>236</v>
      </c>
      <c r="C301" s="11">
        <f>data!BN63</f>
        <v>0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203090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237</v>
      </c>
      <c r="C302" s="11">
        <f>data!BN64</f>
        <v>0</v>
      </c>
      <c r="D302" s="11">
        <f>data!BO64</f>
        <v>29874</v>
      </c>
      <c r="E302" s="11">
        <f>data!BP64</f>
        <v>0</v>
      </c>
      <c r="F302" s="11">
        <f>data!BQ64</f>
        <v>0</v>
      </c>
      <c r="G302" s="11">
        <f>data!BR64</f>
        <v>20203</v>
      </c>
      <c r="H302" s="11">
        <f>data!BS64</f>
        <v>0</v>
      </c>
      <c r="I302" s="11">
        <f>data!BT64</f>
        <v>0</v>
      </c>
    </row>
    <row r="303" spans="1:9" ht="20.149999999999999" customHeight="1" x14ac:dyDescent="0.35">
      <c r="A303" s="10">
        <v>10</v>
      </c>
      <c r="B303" s="11" t="s">
        <v>444</v>
      </c>
      <c r="C303" s="11">
        <f>data!BN65</f>
        <v>0</v>
      </c>
      <c r="D303" s="11">
        <f>data!BO65</f>
        <v>0</v>
      </c>
      <c r="E303" s="11">
        <f>data!BP65</f>
        <v>0</v>
      </c>
      <c r="F303" s="11">
        <f>data!BQ65</f>
        <v>0</v>
      </c>
      <c r="G303" s="11">
        <f>data!BR65</f>
        <v>3697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445</v>
      </c>
      <c r="C304" s="11">
        <f>data!BN66</f>
        <v>0</v>
      </c>
      <c r="D304" s="11">
        <f>data!BO66</f>
        <v>3777</v>
      </c>
      <c r="E304" s="11">
        <f>data!BP66</f>
        <v>0</v>
      </c>
      <c r="F304" s="11">
        <f>data!BQ66</f>
        <v>0</v>
      </c>
      <c r="G304" s="11">
        <f>data!BR66</f>
        <v>49894</v>
      </c>
      <c r="H304" s="11">
        <f>data!BS66</f>
        <v>0</v>
      </c>
      <c r="I304" s="11">
        <f>data!BT66</f>
        <v>0</v>
      </c>
    </row>
    <row r="305" spans="1:9" ht="20.149999999999999" customHeight="1" x14ac:dyDescent="0.35">
      <c r="A305" s="10">
        <v>12</v>
      </c>
      <c r="B305" s="11" t="s">
        <v>6</v>
      </c>
      <c r="C305" s="11">
        <f>data!BN67</f>
        <v>0</v>
      </c>
      <c r="D305" s="11">
        <f>data!BO67</f>
        <v>7578</v>
      </c>
      <c r="E305" s="11">
        <f>data!BP67</f>
        <v>0</v>
      </c>
      <c r="F305" s="11">
        <f>data!BQ67</f>
        <v>0</v>
      </c>
      <c r="G305" s="11">
        <f>data!BR67</f>
        <v>49867</v>
      </c>
      <c r="H305" s="11">
        <f>data!BS67</f>
        <v>0</v>
      </c>
      <c r="I305" s="11">
        <f>data!BT67</f>
        <v>0</v>
      </c>
    </row>
    <row r="306" spans="1:9" ht="20.149999999999999" customHeight="1" x14ac:dyDescent="0.35">
      <c r="A306" s="10">
        <v>13</v>
      </c>
      <c r="B306" s="11" t="s">
        <v>474</v>
      </c>
      <c r="C306" s="11">
        <f>data!BN68</f>
        <v>0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241</v>
      </c>
      <c r="C307" s="11">
        <f>data!BN69</f>
        <v>0</v>
      </c>
      <c r="D307" s="11">
        <f>data!BO69</f>
        <v>3057</v>
      </c>
      <c r="E307" s="11">
        <f>data!BP69</f>
        <v>0</v>
      </c>
      <c r="F307" s="11">
        <f>data!BQ69</f>
        <v>0</v>
      </c>
      <c r="G307" s="11">
        <f>data!BR69</f>
        <v>78255</v>
      </c>
      <c r="H307" s="11">
        <f>data!BS69</f>
        <v>0</v>
      </c>
      <c r="I307" s="11">
        <f>data!BT69</f>
        <v>0</v>
      </c>
    </row>
    <row r="308" spans="1:9" ht="20.149999999999999" customHeight="1" x14ac:dyDescent="0.35">
      <c r="A308" s="10">
        <v>15</v>
      </c>
      <c r="B308" s="11" t="s">
        <v>242</v>
      </c>
      <c r="C308" s="11">
        <f>-data!BN70</f>
        <v>0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1180</v>
      </c>
      <c r="C309" s="11">
        <f>data!BN71</f>
        <v>0</v>
      </c>
      <c r="D309" s="11">
        <f>data!BO71</f>
        <v>71150</v>
      </c>
      <c r="E309" s="11">
        <f>data!BP71</f>
        <v>0</v>
      </c>
      <c r="F309" s="11">
        <f>data!BQ71</f>
        <v>0</v>
      </c>
      <c r="G309" s="11">
        <f>data!BR71</f>
        <v>1602780</v>
      </c>
      <c r="H309" s="11">
        <f>data!BS71</f>
        <v>0</v>
      </c>
      <c r="I309" s="11">
        <f>data!BT71</f>
        <v>0</v>
      </c>
    </row>
    <row r="310" spans="1:9" ht="20.149999999999999" customHeight="1" x14ac:dyDescent="0.35">
      <c r="A310" s="10">
        <v>17</v>
      </c>
      <c r="B310" s="11" t="s">
        <v>244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1181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1182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1183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1184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1185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1186</v>
      </c>
      <c r="C316" s="57">
        <f>data!BN76</f>
        <v>0</v>
      </c>
      <c r="D316" s="57">
        <f>data!BO76</f>
        <v>243</v>
      </c>
      <c r="E316" s="57">
        <f>data!BP76</f>
        <v>0</v>
      </c>
      <c r="F316" s="57">
        <f>data!BQ76</f>
        <v>0</v>
      </c>
      <c r="G316" s="57">
        <f>data!BR76</f>
        <v>1599</v>
      </c>
      <c r="H316" s="57">
        <f>data!BS76</f>
        <v>0</v>
      </c>
      <c r="I316" s="57">
        <f>data!BT76</f>
        <v>0</v>
      </c>
    </row>
    <row r="317" spans="1:9" ht="20.149999999999999" customHeight="1" x14ac:dyDescent="0.35">
      <c r="A317" s="10">
        <v>23</v>
      </c>
      <c r="B317" s="11" t="s">
        <v>1187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1188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49999999999999" customHeight="1" x14ac:dyDescent="0.35">
      <c r="A319" s="10">
        <v>25</v>
      </c>
      <c r="B319" s="11" t="s">
        <v>1189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252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1173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1225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Jefferson County Public Hospital District No 2</v>
      </c>
      <c r="G324" s="8"/>
      <c r="H324" s="55" t="str">
        <f>"FYE: "&amp;data!C82</f>
        <v>FYE: 12/31/2021</v>
      </c>
    </row>
    <row r="325" spans="1:9" ht="20.149999999999999" customHeight="1" x14ac:dyDescent="0.35">
      <c r="A325" s="10">
        <v>1</v>
      </c>
      <c r="B325" s="11" t="s">
        <v>209</v>
      </c>
      <c r="C325" s="12" t="s">
        <v>80</v>
      </c>
      <c r="D325" s="12" t="s">
        <v>81</v>
      </c>
      <c r="E325" s="12" t="s">
        <v>82</v>
      </c>
      <c r="F325" s="12" t="s">
        <v>83</v>
      </c>
      <c r="G325" s="12" t="s">
        <v>84</v>
      </c>
      <c r="H325" s="12" t="s">
        <v>85</v>
      </c>
      <c r="I325" s="12" t="s">
        <v>86</v>
      </c>
    </row>
    <row r="326" spans="1:9" ht="20.149999999999999" customHeight="1" x14ac:dyDescent="0.35">
      <c r="A326" s="13">
        <v>2</v>
      </c>
      <c r="B326" s="14" t="s">
        <v>1175</v>
      </c>
      <c r="C326" s="15" t="s">
        <v>155</v>
      </c>
      <c r="D326" s="15" t="s">
        <v>155</v>
      </c>
      <c r="E326" s="15" t="s">
        <v>155</v>
      </c>
      <c r="F326" s="15" t="s">
        <v>156</v>
      </c>
      <c r="G326" s="15" t="s">
        <v>157</v>
      </c>
      <c r="H326" s="15" t="s">
        <v>158</v>
      </c>
      <c r="I326" s="15" t="s">
        <v>159</v>
      </c>
    </row>
    <row r="327" spans="1:9" ht="20.149999999999999" customHeight="1" x14ac:dyDescent="0.35">
      <c r="A327" s="13"/>
      <c r="B327" s="14"/>
      <c r="C327" s="15" t="s">
        <v>198</v>
      </c>
      <c r="D327" s="15" t="s">
        <v>199</v>
      </c>
      <c r="E327" s="15" t="s">
        <v>200</v>
      </c>
      <c r="F327" s="15" t="s">
        <v>151</v>
      </c>
      <c r="G327" s="15" t="s">
        <v>1224</v>
      </c>
      <c r="H327" s="15" t="s">
        <v>152</v>
      </c>
      <c r="I327" s="15" t="s">
        <v>201</v>
      </c>
    </row>
    <row r="328" spans="1:9" ht="20.149999999999999" customHeight="1" x14ac:dyDescent="0.35">
      <c r="A328" s="10">
        <v>3</v>
      </c>
      <c r="B328" s="11" t="s">
        <v>1179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233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234</v>
      </c>
      <c r="C330" s="17">
        <f>data!BU60</f>
        <v>0</v>
      </c>
      <c r="D330" s="17">
        <f>data!BV60</f>
        <v>11.14</v>
      </c>
      <c r="E330" s="17">
        <f>data!BW60</f>
        <v>0</v>
      </c>
      <c r="F330" s="17">
        <f>data!BX60</f>
        <v>0</v>
      </c>
      <c r="G330" s="17">
        <f>data!BY60</f>
        <v>20.97</v>
      </c>
      <c r="H330" s="17">
        <f>data!BZ60</f>
        <v>0</v>
      </c>
      <c r="I330" s="17">
        <f>data!CA60</f>
        <v>0</v>
      </c>
    </row>
    <row r="331" spans="1:9" ht="20.149999999999999" customHeight="1" x14ac:dyDescent="0.35">
      <c r="A331" s="10">
        <v>6</v>
      </c>
      <c r="B331" s="11" t="s">
        <v>235</v>
      </c>
      <c r="C331" s="58">
        <f>data!BU61</f>
        <v>0</v>
      </c>
      <c r="D331" s="58">
        <f>data!BV61</f>
        <v>554055</v>
      </c>
      <c r="E331" s="58">
        <f>data!BW61</f>
        <v>0</v>
      </c>
      <c r="F331" s="58">
        <f>data!BX61</f>
        <v>0</v>
      </c>
      <c r="G331" s="58">
        <f>data!BY61</f>
        <v>1947570</v>
      </c>
      <c r="H331" s="58">
        <f>data!BZ61</f>
        <v>0</v>
      </c>
      <c r="I331" s="58">
        <f>data!CA61</f>
        <v>0</v>
      </c>
    </row>
    <row r="332" spans="1:9" ht="20.149999999999999" customHeight="1" x14ac:dyDescent="0.35">
      <c r="A332" s="10">
        <v>7</v>
      </c>
      <c r="B332" s="11" t="s">
        <v>3</v>
      </c>
      <c r="C332" s="58">
        <f>data!BU62</f>
        <v>0</v>
      </c>
      <c r="D332" s="58">
        <f>data!BV62</f>
        <v>124967</v>
      </c>
      <c r="E332" s="58">
        <f>data!BW62</f>
        <v>0</v>
      </c>
      <c r="F332" s="58">
        <f>data!BX62</f>
        <v>0</v>
      </c>
      <c r="G332" s="58">
        <f>data!BY62</f>
        <v>439275</v>
      </c>
      <c r="H332" s="58">
        <f>data!BZ62</f>
        <v>0</v>
      </c>
      <c r="I332" s="58">
        <f>data!CA62</f>
        <v>0</v>
      </c>
    </row>
    <row r="333" spans="1:9" ht="20.149999999999999" customHeight="1" x14ac:dyDescent="0.35">
      <c r="A333" s="10">
        <v>8</v>
      </c>
      <c r="B333" s="11" t="s">
        <v>236</v>
      </c>
      <c r="C333" s="58">
        <f>data!BU63</f>
        <v>0</v>
      </c>
      <c r="D333" s="58">
        <f>data!BV63</f>
        <v>0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0</v>
      </c>
    </row>
    <row r="334" spans="1:9" ht="20.149999999999999" customHeight="1" x14ac:dyDescent="0.35">
      <c r="A334" s="10">
        <v>9</v>
      </c>
      <c r="B334" s="11" t="s">
        <v>237</v>
      </c>
      <c r="C334" s="58">
        <f>data!BU64</f>
        <v>0</v>
      </c>
      <c r="D334" s="58">
        <f>data!BV64</f>
        <v>7975</v>
      </c>
      <c r="E334" s="58">
        <f>data!BW64</f>
        <v>0</v>
      </c>
      <c r="F334" s="58">
        <f>data!BX64</f>
        <v>0</v>
      </c>
      <c r="G334" s="58">
        <f>data!BY64</f>
        <v>237686</v>
      </c>
      <c r="H334" s="58">
        <f>data!BZ64</f>
        <v>0</v>
      </c>
      <c r="I334" s="58">
        <f>data!CA64</f>
        <v>0</v>
      </c>
    </row>
    <row r="335" spans="1:9" ht="20.149999999999999" customHeight="1" x14ac:dyDescent="0.35">
      <c r="A335" s="10">
        <v>10</v>
      </c>
      <c r="B335" s="11" t="s">
        <v>444</v>
      </c>
      <c r="C335" s="58">
        <f>data!BU65</f>
        <v>0</v>
      </c>
      <c r="D335" s="58">
        <f>data!BV65</f>
        <v>6459</v>
      </c>
      <c r="E335" s="58">
        <f>data!BW65</f>
        <v>0</v>
      </c>
      <c r="F335" s="58">
        <f>data!BX65</f>
        <v>0</v>
      </c>
      <c r="G335" s="58">
        <f>data!BY65</f>
        <v>1671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445</v>
      </c>
      <c r="C336" s="58">
        <f>data!BU66</f>
        <v>0</v>
      </c>
      <c r="D336" s="58">
        <f>data!BV66</f>
        <v>114549</v>
      </c>
      <c r="E336" s="58">
        <f>data!BW66</f>
        <v>0</v>
      </c>
      <c r="F336" s="58">
        <f>data!BX66</f>
        <v>0</v>
      </c>
      <c r="G336" s="58">
        <f>data!BY66</f>
        <v>223370</v>
      </c>
      <c r="H336" s="58">
        <f>data!BZ66</f>
        <v>0</v>
      </c>
      <c r="I336" s="58">
        <f>data!CA66</f>
        <v>0</v>
      </c>
    </row>
    <row r="337" spans="1:9" ht="20.149999999999999" customHeight="1" x14ac:dyDescent="0.35">
      <c r="A337" s="10">
        <v>12</v>
      </c>
      <c r="B337" s="11" t="s">
        <v>6</v>
      </c>
      <c r="C337" s="58">
        <f>data!BU67</f>
        <v>0</v>
      </c>
      <c r="D337" s="58">
        <f>data!BV67</f>
        <v>0</v>
      </c>
      <c r="E337" s="58">
        <f>data!BW67</f>
        <v>0</v>
      </c>
      <c r="F337" s="58">
        <f>data!BX67</f>
        <v>0</v>
      </c>
      <c r="G337" s="58">
        <f>data!BY67</f>
        <v>53983</v>
      </c>
      <c r="H337" s="58">
        <f>data!BZ67</f>
        <v>0</v>
      </c>
      <c r="I337" s="58">
        <f>data!CA67</f>
        <v>0</v>
      </c>
    </row>
    <row r="338" spans="1:9" ht="20.149999999999999" customHeight="1" x14ac:dyDescent="0.35">
      <c r="A338" s="10">
        <v>13</v>
      </c>
      <c r="B338" s="11" t="s">
        <v>474</v>
      </c>
      <c r="C338" s="58">
        <f>data!BU68</f>
        <v>0</v>
      </c>
      <c r="D338" s="58">
        <f>data!BV68</f>
        <v>23086</v>
      </c>
      <c r="E338" s="58">
        <f>data!BW68</f>
        <v>0</v>
      </c>
      <c r="F338" s="58">
        <f>data!BX68</f>
        <v>0</v>
      </c>
      <c r="G338" s="58">
        <f>data!BY68</f>
        <v>0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241</v>
      </c>
      <c r="C339" s="58">
        <f>data!BU69</f>
        <v>0</v>
      </c>
      <c r="D339" s="58">
        <f>data!BV69</f>
        <v>31</v>
      </c>
      <c r="E339" s="58">
        <f>data!BW69</f>
        <v>0</v>
      </c>
      <c r="F339" s="58">
        <f>data!BX69</f>
        <v>0</v>
      </c>
      <c r="G339" s="58">
        <f>data!BY69</f>
        <v>68752</v>
      </c>
      <c r="H339" s="58">
        <f>data!BZ69</f>
        <v>0</v>
      </c>
      <c r="I339" s="58">
        <f>data!CA69</f>
        <v>0</v>
      </c>
    </row>
    <row r="340" spans="1:9" ht="20.149999999999999" customHeight="1" x14ac:dyDescent="0.35">
      <c r="A340" s="10">
        <v>15</v>
      </c>
      <c r="B340" s="11" t="s">
        <v>242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0</v>
      </c>
    </row>
    <row r="341" spans="1:9" ht="20.149999999999999" customHeight="1" x14ac:dyDescent="0.35">
      <c r="A341" s="10">
        <v>16</v>
      </c>
      <c r="B341" s="37" t="s">
        <v>1180</v>
      </c>
      <c r="C341" s="11">
        <f>data!BU71</f>
        <v>0</v>
      </c>
      <c r="D341" s="11">
        <f>data!BV71</f>
        <v>831122</v>
      </c>
      <c r="E341" s="11">
        <f>data!BW71</f>
        <v>0</v>
      </c>
      <c r="F341" s="11">
        <f>data!BX71</f>
        <v>0</v>
      </c>
      <c r="G341" s="11">
        <f>data!BY71</f>
        <v>2972307</v>
      </c>
      <c r="H341" s="11">
        <f>data!BZ71</f>
        <v>0</v>
      </c>
      <c r="I341" s="11">
        <f>data!CA71</f>
        <v>0</v>
      </c>
    </row>
    <row r="342" spans="1:9" ht="20.149999999999999" customHeight="1" x14ac:dyDescent="0.35">
      <c r="A342" s="10">
        <v>17</v>
      </c>
      <c r="B342" s="11" t="s">
        <v>244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1181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1182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1183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1184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1185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1186</v>
      </c>
      <c r="C348" s="57">
        <f>data!BU76</f>
        <v>0</v>
      </c>
      <c r="D348" s="57">
        <f>data!BV76</f>
        <v>0</v>
      </c>
      <c r="E348" s="57">
        <f>data!BW76</f>
        <v>0</v>
      </c>
      <c r="F348" s="57">
        <f>data!BX76</f>
        <v>0</v>
      </c>
      <c r="G348" s="57">
        <f>data!BY76</f>
        <v>1731</v>
      </c>
      <c r="H348" s="57">
        <f>data!BZ76</f>
        <v>0</v>
      </c>
      <c r="I348" s="57">
        <f>data!CA76</f>
        <v>0</v>
      </c>
    </row>
    <row r="349" spans="1:9" ht="20.149999999999999" customHeight="1" x14ac:dyDescent="0.35">
      <c r="A349" s="10">
        <v>23</v>
      </c>
      <c r="B349" s="11" t="s">
        <v>1187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1188</v>
      </c>
      <c r="C350" s="57">
        <f>data!BU78</f>
        <v>0</v>
      </c>
      <c r="D350" s="57">
        <f>data!BV78</f>
        <v>0</v>
      </c>
      <c r="E350" s="57">
        <f>data!BW78</f>
        <v>0</v>
      </c>
      <c r="F350" s="57">
        <f>data!BX78</f>
        <v>0</v>
      </c>
      <c r="G350" s="57">
        <f>data!BY78</f>
        <v>584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1189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252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1173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1226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Jefferson County Public Hospital District No 2</v>
      </c>
      <c r="G356" s="8"/>
      <c r="H356" s="55" t="str">
        <f>"FYE: "&amp;data!C82</f>
        <v>FYE: 12/31/2021</v>
      </c>
    </row>
    <row r="357" spans="1:9" ht="20.149999999999999" customHeight="1" x14ac:dyDescent="0.35">
      <c r="A357" s="10">
        <v>1</v>
      </c>
      <c r="B357" s="11" t="s">
        <v>209</v>
      </c>
      <c r="C357" s="12" t="s">
        <v>87</v>
      </c>
      <c r="D357" s="12" t="s">
        <v>88</v>
      </c>
      <c r="E357" s="12" t="s">
        <v>89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1175</v>
      </c>
      <c r="C358" s="15" t="s">
        <v>160</v>
      </c>
      <c r="D358" s="15" t="s">
        <v>132</v>
      </c>
      <c r="E358" s="15" t="s">
        <v>211</v>
      </c>
      <c r="F358" s="63"/>
      <c r="G358" s="63"/>
      <c r="H358" s="63"/>
      <c r="I358" s="15" t="s">
        <v>161</v>
      </c>
    </row>
    <row r="359" spans="1:9" ht="20.149999999999999" customHeight="1" x14ac:dyDescent="0.35">
      <c r="A359" s="13"/>
      <c r="B359" s="14"/>
      <c r="C359" s="15" t="s">
        <v>201</v>
      </c>
      <c r="D359" s="15" t="s">
        <v>1227</v>
      </c>
      <c r="E359" s="15" t="s">
        <v>213</v>
      </c>
      <c r="F359" s="63"/>
      <c r="G359" s="63"/>
      <c r="H359" s="63"/>
      <c r="I359" s="15" t="s">
        <v>203</v>
      </c>
    </row>
    <row r="360" spans="1:9" ht="20.149999999999999" customHeight="1" x14ac:dyDescent="0.35">
      <c r="A360" s="10">
        <v>3</v>
      </c>
      <c r="B360" s="11" t="s">
        <v>1179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233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234</v>
      </c>
      <c r="C362" s="17">
        <f>data!CB60</f>
        <v>0</v>
      </c>
      <c r="D362" s="17">
        <f>data!CC60</f>
        <v>31.44</v>
      </c>
      <c r="E362" s="167"/>
      <c r="F362" s="162"/>
      <c r="G362" s="162"/>
      <c r="H362" s="162"/>
      <c r="I362" s="59">
        <f>data!CE60</f>
        <v>652.29000000000008</v>
      </c>
    </row>
    <row r="363" spans="1:9" ht="20.149999999999999" customHeight="1" x14ac:dyDescent="0.35">
      <c r="A363" s="10">
        <v>6</v>
      </c>
      <c r="B363" s="11" t="s">
        <v>235</v>
      </c>
      <c r="C363" s="58">
        <f>data!CB61</f>
        <v>0</v>
      </c>
      <c r="D363" s="58">
        <f>data!CC61</f>
        <v>4977218</v>
      </c>
      <c r="E363" s="168"/>
      <c r="F363" s="168"/>
      <c r="G363" s="168"/>
      <c r="H363" s="168"/>
      <c r="I363" s="58">
        <f>data!CE61</f>
        <v>70571033</v>
      </c>
    </row>
    <row r="364" spans="1:9" ht="20.149999999999999" customHeight="1" x14ac:dyDescent="0.35">
      <c r="A364" s="10">
        <v>7</v>
      </c>
      <c r="B364" s="11" t="s">
        <v>3</v>
      </c>
      <c r="C364" s="58">
        <f>data!CB62</f>
        <v>0</v>
      </c>
      <c r="D364" s="58">
        <f>data!CC62</f>
        <v>1122612</v>
      </c>
      <c r="E364" s="168"/>
      <c r="F364" s="168"/>
      <c r="G364" s="168"/>
      <c r="H364" s="168"/>
      <c r="I364" s="58">
        <f>data!CE62</f>
        <v>15917309</v>
      </c>
    </row>
    <row r="365" spans="1:9" ht="20.149999999999999" customHeight="1" x14ac:dyDescent="0.35">
      <c r="A365" s="10">
        <v>8</v>
      </c>
      <c r="B365" s="11" t="s">
        <v>236</v>
      </c>
      <c r="C365" s="58">
        <f>data!CB63</f>
        <v>0</v>
      </c>
      <c r="D365" s="58">
        <f>data!CC63</f>
        <v>264390</v>
      </c>
      <c r="E365" s="168"/>
      <c r="F365" s="168"/>
      <c r="G365" s="168"/>
      <c r="H365" s="168"/>
      <c r="I365" s="58">
        <f>data!CE63</f>
        <v>3069586</v>
      </c>
    </row>
    <row r="366" spans="1:9" ht="20.149999999999999" customHeight="1" x14ac:dyDescent="0.35">
      <c r="A366" s="10">
        <v>9</v>
      </c>
      <c r="B366" s="11" t="s">
        <v>237</v>
      </c>
      <c r="C366" s="58">
        <f>data!CB64</f>
        <v>0</v>
      </c>
      <c r="D366" s="58">
        <f>data!CC64</f>
        <v>73898</v>
      </c>
      <c r="E366" s="168"/>
      <c r="F366" s="168"/>
      <c r="G366" s="168"/>
      <c r="H366" s="168"/>
      <c r="I366" s="58">
        <f>data!CE64</f>
        <v>28439638</v>
      </c>
    </row>
    <row r="367" spans="1:9" ht="20.149999999999999" customHeight="1" x14ac:dyDescent="0.35">
      <c r="A367" s="10">
        <v>10</v>
      </c>
      <c r="B367" s="11" t="s">
        <v>444</v>
      </c>
      <c r="C367" s="58">
        <f>data!CB65</f>
        <v>0</v>
      </c>
      <c r="D367" s="58">
        <f>data!CC65</f>
        <v>9849</v>
      </c>
      <c r="E367" s="168"/>
      <c r="F367" s="168"/>
      <c r="G367" s="168"/>
      <c r="H367" s="168"/>
      <c r="I367" s="58">
        <f>data!CE65</f>
        <v>1192355</v>
      </c>
    </row>
    <row r="368" spans="1:9" ht="20.149999999999999" customHeight="1" x14ac:dyDescent="0.35">
      <c r="A368" s="10">
        <v>11</v>
      </c>
      <c r="B368" s="11" t="s">
        <v>445</v>
      </c>
      <c r="C368" s="58">
        <f>data!CB66</f>
        <v>0</v>
      </c>
      <c r="D368" s="58">
        <f>data!CC66</f>
        <v>476492</v>
      </c>
      <c r="E368" s="168"/>
      <c r="F368" s="168"/>
      <c r="G368" s="168"/>
      <c r="H368" s="168"/>
      <c r="I368" s="58">
        <f>data!CE66</f>
        <v>8621439</v>
      </c>
    </row>
    <row r="369" spans="1:9" ht="20.149999999999999" customHeight="1" x14ac:dyDescent="0.35">
      <c r="A369" s="10">
        <v>12</v>
      </c>
      <c r="B369" s="11" t="s">
        <v>6</v>
      </c>
      <c r="C369" s="58">
        <f>data!CB67</f>
        <v>0</v>
      </c>
      <c r="D369" s="58">
        <f>data!CC67</f>
        <v>457409</v>
      </c>
      <c r="E369" s="168"/>
      <c r="F369" s="168"/>
      <c r="G369" s="168"/>
      <c r="H369" s="168"/>
      <c r="I369" s="58">
        <f>data!CE67</f>
        <v>4376582</v>
      </c>
    </row>
    <row r="370" spans="1:9" ht="20.149999999999999" customHeight="1" x14ac:dyDescent="0.35">
      <c r="A370" s="10">
        <v>13</v>
      </c>
      <c r="B370" s="11" t="s">
        <v>474</v>
      </c>
      <c r="C370" s="58">
        <f>data!CB68</f>
        <v>0</v>
      </c>
      <c r="D370" s="58">
        <f>data!CC68</f>
        <v>151769</v>
      </c>
      <c r="E370" s="168"/>
      <c r="F370" s="168"/>
      <c r="G370" s="168"/>
      <c r="H370" s="168"/>
      <c r="I370" s="58">
        <f>data!CE68</f>
        <v>1681492</v>
      </c>
    </row>
    <row r="371" spans="1:9" ht="20.149999999999999" customHeight="1" x14ac:dyDescent="0.35">
      <c r="A371" s="10">
        <v>14</v>
      </c>
      <c r="B371" s="11" t="s">
        <v>241</v>
      </c>
      <c r="C371" s="58">
        <f>data!CB69</f>
        <v>0</v>
      </c>
      <c r="D371" s="58">
        <f>data!CC69</f>
        <v>717041</v>
      </c>
      <c r="E371" s="58">
        <f>data!CD69</f>
        <v>3048547</v>
      </c>
      <c r="F371" s="168"/>
      <c r="G371" s="168"/>
      <c r="H371" s="168"/>
      <c r="I371" s="58">
        <f>data!CE69</f>
        <v>5418067</v>
      </c>
    </row>
    <row r="372" spans="1:9" ht="20.149999999999999" customHeight="1" x14ac:dyDescent="0.35">
      <c r="A372" s="10">
        <v>15</v>
      </c>
      <c r="B372" s="11" t="s">
        <v>242</v>
      </c>
      <c r="C372" s="11">
        <f>-data!CB70</f>
        <v>0</v>
      </c>
      <c r="D372" s="11">
        <f>-data!CC70</f>
        <v>0</v>
      </c>
      <c r="E372" s="176">
        <f>data!CD70</f>
        <v>9226620</v>
      </c>
      <c r="F372" s="162"/>
      <c r="G372" s="162"/>
      <c r="H372" s="162"/>
      <c r="I372" s="11">
        <f>-data!CE70</f>
        <v>-9226620</v>
      </c>
    </row>
    <row r="373" spans="1:9" ht="20.149999999999999" customHeight="1" x14ac:dyDescent="0.35">
      <c r="A373" s="10">
        <v>16</v>
      </c>
      <c r="B373" s="37" t="s">
        <v>1180</v>
      </c>
      <c r="C373" s="58">
        <f>data!CB71</f>
        <v>0</v>
      </c>
      <c r="D373" s="58">
        <f>data!CC71</f>
        <v>8250678</v>
      </c>
      <c r="E373" s="58">
        <f>data!CD71</f>
        <v>-6178073</v>
      </c>
      <c r="F373" s="168"/>
      <c r="G373" s="168"/>
      <c r="H373" s="168"/>
      <c r="I373" s="11">
        <f>data!CE71</f>
        <v>130060881</v>
      </c>
    </row>
    <row r="374" spans="1:9" ht="20.149999999999999" customHeight="1" x14ac:dyDescent="0.35">
      <c r="A374" s="10">
        <v>17</v>
      </c>
      <c r="B374" s="11" t="s">
        <v>244</v>
      </c>
      <c r="C374" s="168"/>
      <c r="D374" s="168"/>
      <c r="E374" s="168"/>
      <c r="F374" s="168"/>
      <c r="G374" s="168"/>
      <c r="H374" s="168"/>
      <c r="I374" s="11">
        <f>-data!CE72</f>
        <v>-503708</v>
      </c>
    </row>
    <row r="375" spans="1:9" ht="20.149999999999999" customHeight="1" x14ac:dyDescent="0.35">
      <c r="A375" s="10">
        <v>18</v>
      </c>
      <c r="B375" s="11" t="s">
        <v>1181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1182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39798234</v>
      </c>
    </row>
    <row r="377" spans="1:9" ht="20.149999999999999" customHeight="1" x14ac:dyDescent="0.35">
      <c r="A377" s="10">
        <v>20</v>
      </c>
      <c r="B377" s="37" t="s">
        <v>1183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258197348</v>
      </c>
    </row>
    <row r="378" spans="1:9" ht="20.149999999999999" customHeight="1" x14ac:dyDescent="0.35">
      <c r="A378" s="10">
        <v>21</v>
      </c>
      <c r="B378" s="37" t="s">
        <v>1184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297995582</v>
      </c>
    </row>
    <row r="379" spans="1:9" ht="20.149999999999999" customHeight="1" x14ac:dyDescent="0.35">
      <c r="A379" s="10" t="s">
        <v>1185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1186</v>
      </c>
      <c r="C380" s="57">
        <f>data!CB76</f>
        <v>0</v>
      </c>
      <c r="D380" s="57">
        <f>data!CC76</f>
        <v>14667</v>
      </c>
      <c r="E380" s="162"/>
      <c r="F380" s="162"/>
      <c r="G380" s="162"/>
      <c r="H380" s="162"/>
      <c r="I380" s="11">
        <f>data!CE76</f>
        <v>140337</v>
      </c>
    </row>
    <row r="381" spans="1:9" ht="20.149999999999999" customHeight="1" x14ac:dyDescent="0.35">
      <c r="A381" s="10">
        <v>23</v>
      </c>
      <c r="B381" s="11" t="s">
        <v>1187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15220</v>
      </c>
    </row>
    <row r="382" spans="1:9" ht="20.149999999999999" customHeight="1" x14ac:dyDescent="0.35">
      <c r="A382" s="10">
        <v>24</v>
      </c>
      <c r="B382" s="11" t="s">
        <v>1188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35590</v>
      </c>
    </row>
    <row r="383" spans="1:9" ht="20.149999999999999" customHeight="1" x14ac:dyDescent="0.35">
      <c r="A383" s="10">
        <v>25</v>
      </c>
      <c r="B383" s="11" t="s">
        <v>1189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281505</v>
      </c>
    </row>
    <row r="384" spans="1:9" ht="20.149999999999999" customHeight="1" x14ac:dyDescent="0.35">
      <c r="A384" s="10">
        <v>26</v>
      </c>
      <c r="B384" s="11" t="s">
        <v>252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157.85000000000002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carrie.baranowski@DOH.WA.GOV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2022-10-17T20:00:58Z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2022-06-01T15:49:07Z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2756e8ed-0364-4b45-9db8-e30fa0358745</vt:lpwstr>
  </property>
  <property fmtid="{D5CDD505-2E9C-101B-9397-08002B2CF9AE}" pid="8" name="MSIP_Label_1520fa42-cf58-4c22-8b93-58cf1d3bd1cb_ContentBits">
    <vt:lpwstr>0</vt:lpwstr>
  </property>
  <property fmtid="{D5CDD505-2E9C-101B-9397-08002B2CF9AE}" pid="9" name="DeleteTemporaryFile">
    <vt:lpwstr>000000CSZM20220908223655.xlsx</vt:lpwstr>
  </property>
  <property fmtid="{D5CDD505-2E9C-101B-9397-08002B2CF9AE}" pid="10" name="GFRDocument">
    <vt:lpwstr>1</vt:lpwstr>
  </property>
  <property fmtid="{D5CDD505-2E9C-101B-9397-08002B2CF9AE}" pid="11" name="WebDocument">
    <vt:lpwstr>True</vt:lpwstr>
  </property>
</Properties>
</file>