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"/>
    </mc:Choice>
  </mc:AlternateContent>
  <xr:revisionPtr revIDLastSave="0" documentId="8_{816A14BC-5C34-49EF-9A59-63D2A5884C21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<sst xmlns="http://schemas.openxmlformats.org/spreadsheetml/2006/main" count="1376" uniqueCount="1376">
  <si>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</si>
  <si>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</si>
  <si>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</si>
  <si>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</si>
  <si>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</si>
  <si>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</si>
  <si>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</si>
  <si>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</si>
  <si>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</si>
  <si>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</si>
  <si>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</si>
  <si>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</si>
  <si>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</si>
  <si>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</si>
  <si>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</si>
  <si>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</si>
  <si>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</si>
  <si>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</si>
  <si>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</si>
  <si>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</si>
  <si>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</si>
  <si>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</si>
  <si>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</si>
  <si>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</si>
  <si>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</si>
  <si>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</si>
  <si>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</si>
  <si>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</si>
  <si>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</si>
  <si>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</si>
  <si>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</si>
  <si>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</si>
  <si>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</si>
  <si>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</si>
  <si>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</si>
  <si>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</si>
  <si>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</si>
  <si>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</si>
  <si>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</si>
  <si>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</si>
  <si>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</si>
  <si>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</si>
  <si>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</si>
  <si>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</si>
  <si>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</si>
  <si>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</si>
  <si>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</si>
  <si>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</si>
  <si>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</si>
  <si>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</si>
  <si>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</si>
  <si>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</si>
  <si>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</si>
  <si>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</si>
  <si>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</si>
  <si>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</si>
  <si>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</si>
  <si>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</si>
  <si>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</si>
  <si>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</si>
  <si>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</si>
  <si>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</si>
  <si>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</si>
  <si>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</si>
  <si>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</si>
  <si>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</si>
  <si>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</si>
  <si>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</si>
  <si>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</si>
  <si>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</si>
  <si>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</si>
  <si>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</si>
  <si>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</si>
  <si>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</si>
  <si>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</si>
  <si>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</si>
  <si>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</si>
  <si>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</si>
  <si>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</si>
  <si>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</si>
  <si>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</si>
  <si>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</si>
  <si>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</si>
  <si>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</si>
  <si>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</si>
  <si>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</si>
  <si>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</si>
  <si>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</si>
  <si>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</si>
  <si>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</si>
  <si>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</si>
  <si>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</si>
  <si>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</si>
  <si>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</si>
  <si>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</si>
  <si>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</si>
  <si>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</si>
  <si>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</si>
  <si>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</si>
  <si>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</si>
  <si>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</si>
  <si>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</si>
  <si>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</si>
  <si>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</si>
  <si>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</si>
  <si>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</si>
  <si>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</si>
  <si>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</si>
  <si>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</si>
  <si>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</si>
  <si>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</si>
  <si>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</si>
  <si>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</si>
  <si>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</si>
  <si>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</si>
  <si>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</si>
  <si>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</si>
  <si>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</si>
  <si>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</si>
  <si>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</si>
  <si>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</si>
  <si>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</si>
  <si>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</si>
  <si>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</si>
  <si>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</si>
  <si>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</si>
  <si>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</si>
  <si>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</si>
  <si>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</si>
  <si>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</si>
  <si>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</si>
  <si>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</si>
  <si>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</si>
  <si>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</si>
  <si>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</si>
  <si>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</si>
  <si>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</si>
  <si>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</si>
  <si>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</si>
  <si>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</si>
  <si>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</si>
  <si>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</si>
  <si>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</si>
  <si>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</si>
  <si>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</si>
  <si>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</si>
  <si>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</si>
  <si>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</si>
  <si>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</si>
  <si>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</si>
  <si>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</si>
  <si>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</si>
  <si>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</si>
  <si>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</si>
  <si>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</si>
  <si>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</si>
  <si>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</si>
  <si>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</si>
  <si>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</si>
  <si>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</si>
  <si>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</si>
  <si>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</si>
  <si>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</si>
  <si>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</si>
  <si>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</si>
  <si>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</si>
  <si>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</si>
  <si>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</si>
  <si>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</si>
  <si>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</si>
  <si>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</si>
  <si>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</si>
  <si>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</si>
  <si>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</si>
  <si>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</si>
  <si>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</si>
  <si>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</si>
  <si>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</si>
  <si>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</si>
  <si>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</si>
  <si>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</si>
  <si>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</si>
  <si>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</si>
  <si>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</si>
  <si>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</si>
  <si>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</si>
  <si>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</si>
  <si>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</si>
  <si>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</si>
  <si>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</si>
  <si>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</si>
  <si>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</si>
  <si>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</si>
  <si>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</si>
  <si>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</si>
  <si>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</si>
  <si>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</si>
  <si>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</si>
  <si>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</si>
  <si>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</si>
  <si>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</si>
  <si>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</si>
  <si>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</si>
  <si>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</si>
  <si>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</si>
  <si>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</si>
  <si>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</si>
  <si>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</si>
  <si>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</si>
  <si>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</si>
  <si>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</si>
  <si>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</si>
  <si>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</si>
  <si>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</si>
  <si>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</si>
  <si>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</si>
  <si>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</si>
  <si>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</si>
  <si>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</si>
  <si>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</si>
  <si>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</si>
  <si>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</si>
  <si>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</si>
  <si>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</si>
  <si>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</si>
  <si>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</si>
  <si>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</si>
  <si>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</si>
  <si>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</si>
  <si>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</si>
  <si>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</si>
  <si>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</si>
  <si>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</si>
  <si>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</si>
  <si>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</si>
  <si>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</si>
  <si>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</si>
  <si>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</si>
  <si>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</si>
  <si>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</si>
  <si>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</si>
  <si>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</si>
  <si>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</si>
  <si>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</si>
  <si>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</si>
  <si>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</si>
  <si>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</si>
  <si>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</si>
  <si>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</si>
  <si>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</si>
  <si>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</si>
  <si>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</si>
  <si>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</si>
  <si>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</si>
  <si>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</si>
  <si>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</si>
  <si>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</si>
  <si>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</si>
  <si>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</si>
  <si>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</si>
  <si>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</si>
  <si>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</si>
  <si>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</si>
  <si>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</si>
  <si>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</si>
  <si>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</si>
  <si>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</si>
  <si>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</si>
  <si>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</si>
  <si>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</si>
  <si>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</si>
  <si>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</si>
  <si>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</si>
  <si>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</si>
  <si>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</si>
  <si>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</si>
  <si>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</si>
  <si>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</si>
  <si>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</si>
  <si>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</si>
  <si>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</si>
  <si>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</si>
  <si>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</si>
  <si>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</si>
  <si>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</si>
  <si>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</si>
  <si>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</si>
  <si>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</si>
  <si>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</si>
  <si>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</si>
  <si>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</si>
  <si>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</si>
  <si>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</si>
  <si>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</si>
  <si>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</si>
  <si>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</si>
  <si>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</si>
  <si>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</si>
  <si>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</si>
  <si>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</si>
  <si>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026</t>
  </si>
  <si>
    <t>Hospital Name</t>
  </si>
  <si>
    <t>PeaceHealth St John Medical Center</t>
  </si>
  <si>
    <t>Mailing Address</t>
  </si>
  <si>
    <t>Box 3002</t>
  </si>
  <si>
    <t>City</t>
  </si>
  <si>
    <t>Longview</t>
  </si>
  <si>
    <t>State</t>
  </si>
  <si>
    <t>WA</t>
  </si>
  <si>
    <t>Zip</t>
  </si>
  <si>
    <t>County</t>
  </si>
  <si>
    <t>Cowlitz</t>
  </si>
  <si>
    <t>Chief Executive Officer</t>
  </si>
  <si>
    <t>Sean Gregory, CEO</t>
  </si>
  <si>
    <t>Chief Financial Officer</t>
  </si>
  <si>
    <t>Tracey Fernandez, CFO</t>
  </si>
  <si>
    <t>Chair of Governing Board</t>
  </si>
  <si>
    <t>Steve Vincent, Community Health Board Chair</t>
  </si>
  <si>
    <t>Telephone Number</t>
  </si>
  <si>
    <t>(360) 514-2002</t>
  </si>
  <si>
    <t>Facsimile Number</t>
  </si>
  <si>
    <t>(360) 514-6670</t>
  </si>
  <si>
    <t>Name of Submitter</t>
  </si>
  <si>
    <t>Email of Submitter</t>
  </si>
  <si>
    <t>bmarsden@peacehealth.org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</si>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</sst>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2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6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0" fontId="30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1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4" transitionEvaluation="1" transitionEntry="1" codeName="Sheet1">
    <tabColor rgb="FF92D050"/>
    <pageSetUpPr autoPageBreaks="0" fitToPage="1"/>
  </sheetPr>
  <dimension ref="A1:CF716"/>
  <sheetViews>
    <sheetView tabSelected="1" topLeftCell="A394" zoomScaleNormal="100" workbookViewId="0">
      <selection activeCell="J424" sqref="J42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4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5" t="s">
        <v>28</v>
      </c>
      <c r="B36" s="336"/>
      <c r="C36" s="337"/>
      <c r="D36" s="336"/>
      <c r="E36" s="336"/>
      <c r="F36" s="336"/>
      <c r="G36" s="336"/>
    </row>
    <row r="37">
      <c r="A37" s="338" t="s">
        <v>29</v>
      </c>
      <c r="B37" s="339"/>
      <c r="C37" s="337"/>
      <c r="D37" s="336"/>
      <c r="E37" s="336"/>
      <c r="F37" s="336"/>
      <c r="G37" s="336"/>
    </row>
    <row r="38">
      <c r="A38" s="342" t="s">
        <v>30</v>
      </c>
      <c r="B38" s="339"/>
      <c r="C38" s="337"/>
      <c r="D38" s="336"/>
      <c r="E38" s="336"/>
      <c r="F38" s="336"/>
      <c r="G38" s="336"/>
    </row>
    <row r="39">
      <c r="A39" s="341" t="s">
        <v>31</v>
      </c>
      <c r="B39" s="336"/>
      <c r="C39" s="337"/>
      <c r="D39" s="336"/>
      <c r="E39" s="336"/>
      <c r="F39" s="336"/>
      <c r="G39" s="336"/>
    </row>
    <row r="40">
      <c r="A40" s="342" t="s">
        <v>32</v>
      </c>
      <c r="B40" s="336"/>
      <c r="C40" s="337"/>
      <c r="D40" s="336"/>
      <c r="E40" s="336"/>
      <c r="F40" s="336"/>
      <c r="G40" s="336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34043327</v>
      </c>
      <c r="C47" s="24">
        <v>1095404.21</v>
      </c>
      <c r="D47" s="24">
        <v>0</v>
      </c>
      <c r="E47" s="24">
        <v>4314184.66</v>
      </c>
      <c r="F47" s="24">
        <v>909192.26838</v>
      </c>
      <c r="G47" s="24">
        <v>0</v>
      </c>
      <c r="H47" s="24">
        <v>993126.15</v>
      </c>
      <c r="I47" s="24">
        <v>0</v>
      </c>
      <c r="J47" s="24">
        <v>177838.18161999996</v>
      </c>
      <c r="K47" s="24">
        <v>0</v>
      </c>
      <c r="L47" s="24">
        <v>0</v>
      </c>
      <c r="M47" s="24">
        <v>0</v>
      </c>
      <c r="N47" s="24">
        <v>678773.79</v>
      </c>
      <c r="O47" s="24">
        <v>0</v>
      </c>
      <c r="P47" s="24">
        <v>1273790.07</v>
      </c>
      <c r="Q47" s="24">
        <v>281522.02</v>
      </c>
      <c r="R47" s="24">
        <v>775956.4</v>
      </c>
      <c r="S47" s="24">
        <v>140822.3</v>
      </c>
      <c r="T47" s="24">
        <v>374004.09</v>
      </c>
      <c r="U47" s="24">
        <v>671771.37</v>
      </c>
      <c r="V47" s="24">
        <v>0</v>
      </c>
      <c r="W47" s="24">
        <v>126502.5</v>
      </c>
      <c r="X47" s="24">
        <v>302773.3</v>
      </c>
      <c r="Y47" s="24">
        <v>1468856.61</v>
      </c>
      <c r="Z47" s="24">
        <v>240280.21</v>
      </c>
      <c r="AA47" s="24">
        <v>195129.08</v>
      </c>
      <c r="AB47" s="24">
        <v>1197902.7</v>
      </c>
      <c r="AC47" s="24">
        <v>351685.82</v>
      </c>
      <c r="AD47" s="24">
        <v>1437.49</v>
      </c>
      <c r="AE47" s="24">
        <v>290832.98</v>
      </c>
      <c r="AF47" s="24">
        <v>661474.49</v>
      </c>
      <c r="AG47" s="24">
        <v>1987084.46</v>
      </c>
      <c r="AH47" s="24">
        <v>0</v>
      </c>
      <c r="AI47" s="24">
        <v>792462.34</v>
      </c>
      <c r="AJ47" s="24">
        <v>8226571.73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953850.01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78242.24</v>
      </c>
      <c r="AW47" s="24">
        <v>0</v>
      </c>
      <c r="AX47" s="24">
        <v>0</v>
      </c>
      <c r="AY47" s="24">
        <v>628934.85</v>
      </c>
      <c r="AZ47" s="24">
        <v>0</v>
      </c>
      <c r="BA47" s="24">
        <v>0</v>
      </c>
      <c r="BB47" s="24">
        <v>521434.46</v>
      </c>
      <c r="BC47" s="24">
        <v>109344.66</v>
      </c>
      <c r="BD47" s="24">
        <v>0</v>
      </c>
      <c r="BE47" s="24">
        <v>697420.97</v>
      </c>
      <c r="BF47" s="24">
        <v>1018192.46</v>
      </c>
      <c r="BG47" s="24">
        <v>236469.89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384743.41</v>
      </c>
      <c r="BO47" s="24">
        <v>37158.26</v>
      </c>
      <c r="BP47" s="24">
        <v>0</v>
      </c>
      <c r="BQ47" s="24">
        <v>0</v>
      </c>
      <c r="BR47" s="24">
        <v>0</v>
      </c>
      <c r="BS47" s="24">
        <v>173326.95</v>
      </c>
      <c r="BT47" s="24">
        <v>101551.33</v>
      </c>
      <c r="BU47" s="24">
        <v>18591.47</v>
      </c>
      <c r="BV47" s="24">
        <v>0</v>
      </c>
      <c r="BW47" s="24">
        <v>109053.38</v>
      </c>
      <c r="BX47" s="24">
        <v>151493.74</v>
      </c>
      <c r="BY47" s="24">
        <v>721211.99</v>
      </c>
      <c r="BZ47" s="24">
        <v>133152.77</v>
      </c>
      <c r="CA47" s="24">
        <v>0</v>
      </c>
      <c r="CB47" s="24">
        <v>0</v>
      </c>
      <c r="CC47" s="24">
        <v>439774.94</v>
      </c>
      <c r="CD47" s="20"/>
      <c r="CE47" s="32">
        <f>SUM(C47:CC47)</f>
        <v>34043327</v>
      </c>
    </row>
    <row r="48">
      <c r="A48" s="32" t="s">
        <v>232</v>
      </c>
      <c r="B48" s="312">
        <v>1020265.44</v>
      </c>
      <c r="C48" s="32">
        <f>IF($B$48,(ROUND((($B$48/$CE$61)*C61),0)))</f>
        <v>47271</v>
      </c>
      <c r="D48" s="32">
        <f ref="D48:BO48" t="shared" si="0">IF($B$48,(ROUND((($B$48/$CE$61)*D61),0)))</f>
        <v>0</v>
      </c>
      <c r="E48" s="32">
        <f t="shared" si="0"/>
        <v>125602</v>
      </c>
      <c r="F48" s="32">
        <f t="shared" si="0"/>
        <v>24007</v>
      </c>
      <c r="G48" s="32">
        <f t="shared" si="0"/>
        <v>0</v>
      </c>
      <c r="H48" s="32">
        <f t="shared" si="0"/>
        <v>23542</v>
      </c>
      <c r="I48" s="32">
        <f t="shared" si="0"/>
        <v>0</v>
      </c>
      <c r="J48" s="32">
        <f t="shared" si="0"/>
        <v>4696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32891</v>
      </c>
      <c r="O48" s="32">
        <f t="shared" si="0"/>
        <v>0</v>
      </c>
      <c r="P48" s="32">
        <f t="shared" si="0"/>
        <v>35043</v>
      </c>
      <c r="Q48" s="32">
        <f t="shared" si="0"/>
        <v>7397</v>
      </c>
      <c r="R48" s="32">
        <f t="shared" si="0"/>
        <v>32842</v>
      </c>
      <c r="S48" s="32">
        <f t="shared" si="0"/>
        <v>2558</v>
      </c>
      <c r="T48" s="32">
        <f t="shared" si="0"/>
        <v>9001</v>
      </c>
      <c r="U48" s="32">
        <f t="shared" si="0"/>
        <v>19595</v>
      </c>
      <c r="V48" s="32">
        <f t="shared" si="0"/>
        <v>0</v>
      </c>
      <c r="W48" s="32">
        <f t="shared" si="0"/>
        <v>4066</v>
      </c>
      <c r="X48" s="32">
        <f t="shared" si="0"/>
        <v>7992</v>
      </c>
      <c r="Y48" s="32">
        <f t="shared" si="0"/>
        <v>36514</v>
      </c>
      <c r="Z48" s="32">
        <f t="shared" si="0"/>
        <v>5744</v>
      </c>
      <c r="AA48" s="32">
        <f t="shared" si="0"/>
        <v>5467</v>
      </c>
      <c r="AB48" s="32">
        <f t="shared" si="0"/>
        <v>32731</v>
      </c>
      <c r="AC48" s="32">
        <f t="shared" si="0"/>
        <v>15487</v>
      </c>
      <c r="AD48" s="32">
        <f t="shared" si="0"/>
        <v>115</v>
      </c>
      <c r="AE48" s="32">
        <f t="shared" si="0"/>
        <v>7756</v>
      </c>
      <c r="AF48" s="32">
        <f t="shared" si="0"/>
        <v>21049</v>
      </c>
      <c r="AG48" s="32">
        <f t="shared" si="0"/>
        <v>84193</v>
      </c>
      <c r="AH48" s="32">
        <f t="shared" si="0"/>
        <v>0</v>
      </c>
      <c r="AI48" s="32">
        <f t="shared" si="0"/>
        <v>17475</v>
      </c>
      <c r="AJ48" s="32">
        <f t="shared" si="0"/>
        <v>263260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25279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1602</v>
      </c>
      <c r="AW48" s="32">
        <f t="shared" si="0"/>
        <v>0</v>
      </c>
      <c r="AX48" s="32">
        <f t="shared" si="0"/>
        <v>0</v>
      </c>
      <c r="AY48" s="32">
        <f t="shared" si="0"/>
        <v>11514</v>
      </c>
      <c r="AZ48" s="32">
        <f t="shared" si="0"/>
        <v>0</v>
      </c>
      <c r="BA48" s="32">
        <f t="shared" si="0"/>
        <v>0</v>
      </c>
      <c r="BB48" s="32">
        <f t="shared" si="0"/>
        <v>14361</v>
      </c>
      <c r="BC48" s="32">
        <f t="shared" si="0"/>
        <v>1748</v>
      </c>
      <c r="BD48" s="32">
        <f t="shared" si="0"/>
        <v>0</v>
      </c>
      <c r="BE48" s="32">
        <f t="shared" si="0"/>
        <v>15822</v>
      </c>
      <c r="BF48" s="32">
        <f t="shared" si="0"/>
        <v>16464</v>
      </c>
      <c r="BG48" s="32">
        <f t="shared" si="0"/>
        <v>3446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15386</v>
      </c>
      <c r="BO48" s="32">
        <f t="shared" si="0"/>
        <v>980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2725</v>
      </c>
      <c r="BT48" s="32">
        <f t="shared" si="1"/>
        <v>3066</v>
      </c>
      <c r="BU48" s="32">
        <f t="shared" si="1"/>
        <v>318</v>
      </c>
      <c r="BV48" s="32">
        <f t="shared" si="1"/>
        <v>0</v>
      </c>
      <c r="BW48" s="32">
        <f t="shared" si="1"/>
        <v>2174</v>
      </c>
      <c r="BX48" s="32">
        <f t="shared" si="1"/>
        <v>3657</v>
      </c>
      <c r="BY48" s="32">
        <f t="shared" si="1"/>
        <v>20933</v>
      </c>
      <c r="BZ48" s="32">
        <f t="shared" si="1"/>
        <v>1355</v>
      </c>
      <c r="CA48" s="32">
        <f t="shared" si="1"/>
        <v>0</v>
      </c>
      <c r="CB48" s="32">
        <f t="shared" si="1"/>
        <v>0</v>
      </c>
      <c r="CC48" s="32">
        <f t="shared" si="1"/>
        <v>13142</v>
      </c>
      <c r="CD48" s="32">
        <f t="shared" si="1"/>
        <v>0</v>
      </c>
      <c r="CE48" s="32">
        <f>SUM(C48:CD48)</f>
        <v>1020266</v>
      </c>
    </row>
    <row r="49">
      <c r="A49" s="20" t="s">
        <v>233</v>
      </c>
      <c r="B49" s="32">
        <f>B47+B48</f>
        <v>35063592.44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13612058.6</v>
      </c>
      <c r="C51" s="24">
        <v>84984.77</v>
      </c>
      <c r="D51" s="24">
        <v>0</v>
      </c>
      <c r="E51" s="24">
        <v>318893.5</v>
      </c>
      <c r="F51" s="24">
        <v>81822.201696</v>
      </c>
      <c r="G51" s="24">
        <v>0</v>
      </c>
      <c r="H51" s="24">
        <v>11347.08</v>
      </c>
      <c r="I51" s="24">
        <v>0</v>
      </c>
      <c r="J51" s="24">
        <v>16004.438303999998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827166.27</v>
      </c>
      <c r="Q51" s="24">
        <v>0</v>
      </c>
      <c r="R51" s="24">
        <v>0</v>
      </c>
      <c r="S51" s="24">
        <v>89484.62</v>
      </c>
      <c r="T51" s="24">
        <v>9018.38</v>
      </c>
      <c r="U51" s="24">
        <v>9716.24</v>
      </c>
      <c r="V51" s="24">
        <v>0</v>
      </c>
      <c r="W51" s="24">
        <v>2311.9</v>
      </c>
      <c r="X51" s="24">
        <v>271944.75</v>
      </c>
      <c r="Y51" s="24">
        <v>736261.05</v>
      </c>
      <c r="Z51" s="24">
        <v>56819.9</v>
      </c>
      <c r="AA51" s="24">
        <v>72407.28</v>
      </c>
      <c r="AB51" s="24">
        <v>34114.01</v>
      </c>
      <c r="AC51" s="24">
        <v>35660.15</v>
      </c>
      <c r="AD51" s="24">
        <v>7584.65</v>
      </c>
      <c r="AE51" s="24">
        <v>1682.17</v>
      </c>
      <c r="AF51" s="24">
        <v>0</v>
      </c>
      <c r="AG51" s="24">
        <v>115410.9</v>
      </c>
      <c r="AH51" s="24">
        <v>0</v>
      </c>
      <c r="AI51" s="24">
        <v>184437.87</v>
      </c>
      <c r="AJ51" s="24">
        <v>83338.25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52206.31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23781.45</v>
      </c>
      <c r="AW51" s="24">
        <v>0</v>
      </c>
      <c r="AX51" s="24">
        <v>0</v>
      </c>
      <c r="AY51" s="24">
        <v>29783.57</v>
      </c>
      <c r="AZ51" s="24">
        <v>0</v>
      </c>
      <c r="BA51" s="24">
        <v>0</v>
      </c>
      <c r="BB51" s="24">
        <v>0</v>
      </c>
      <c r="BC51" s="24">
        <v>1231.48</v>
      </c>
      <c r="BD51" s="24">
        <v>0</v>
      </c>
      <c r="BE51" s="24">
        <v>202793.82</v>
      </c>
      <c r="BF51" s="24">
        <v>12317.13</v>
      </c>
      <c r="BG51" s="24">
        <v>15064.06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8150604.02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441772.96</v>
      </c>
      <c r="BZ51" s="24">
        <v>0</v>
      </c>
      <c r="CA51" s="24">
        <v>0</v>
      </c>
      <c r="CB51" s="24">
        <v>0</v>
      </c>
      <c r="CC51" s="24">
        <v>1632093.42</v>
      </c>
      <c r="CD51" s="20"/>
      <c r="CE51" s="32">
        <f>SUM(C51:CD51)</f>
        <v>13612058.6</v>
      </c>
    </row>
    <row r="52">
      <c r="A52" s="39" t="s">
        <v>235</v>
      </c>
      <c r="B52" s="313">
        <v>6811354.09</v>
      </c>
      <c r="C52" s="32">
        <f>IF($B$52,ROUND(($B$52/($CE$90+$CF$90)*C90),0))</f>
        <v>195499</v>
      </c>
      <c r="D52" s="32">
        <f ref="D52:BO52" t="shared" si="2">IF($B$52,ROUND(($B$52/($CE$90+$CF$90)*D90),0))</f>
        <v>0</v>
      </c>
      <c r="E52" s="32">
        <f t="shared" si="2"/>
        <v>265528</v>
      </c>
      <c r="F52" s="32">
        <f t="shared" si="2"/>
        <v>88871</v>
      </c>
      <c r="G52" s="32">
        <f t="shared" si="2"/>
        <v>0</v>
      </c>
      <c r="H52" s="32">
        <f t="shared" si="2"/>
        <v>85993</v>
      </c>
      <c r="I52" s="32">
        <f t="shared" si="2"/>
        <v>0</v>
      </c>
      <c r="J52" s="32">
        <f t="shared" si="2"/>
        <v>17383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208593</v>
      </c>
      <c r="Q52" s="32">
        <f t="shared" si="2"/>
        <v>21212</v>
      </c>
      <c r="R52" s="32">
        <f t="shared" si="2"/>
        <v>0</v>
      </c>
      <c r="S52" s="32">
        <f t="shared" si="2"/>
        <v>47221</v>
      </c>
      <c r="T52" s="32">
        <f t="shared" si="2"/>
        <v>30561</v>
      </c>
      <c r="U52" s="32">
        <f t="shared" si="2"/>
        <v>57963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212176</v>
      </c>
      <c r="Z52" s="32">
        <f t="shared" si="2"/>
        <v>61062</v>
      </c>
      <c r="AA52" s="32">
        <f t="shared" si="2"/>
        <v>16066</v>
      </c>
      <c r="AB52" s="32">
        <f t="shared" si="2"/>
        <v>27665</v>
      </c>
      <c r="AC52" s="32">
        <f t="shared" si="2"/>
        <v>12771</v>
      </c>
      <c r="AD52" s="32">
        <f t="shared" si="2"/>
        <v>6071</v>
      </c>
      <c r="AE52" s="32">
        <f t="shared" si="2"/>
        <v>46041</v>
      </c>
      <c r="AF52" s="32">
        <f t="shared" si="2"/>
        <v>164505</v>
      </c>
      <c r="AG52" s="32">
        <f t="shared" si="2"/>
        <v>177709</v>
      </c>
      <c r="AH52" s="32">
        <f t="shared" si="2"/>
        <v>0</v>
      </c>
      <c r="AI52" s="32">
        <f t="shared" si="2"/>
        <v>166212</v>
      </c>
      <c r="AJ52" s="32">
        <f t="shared" si="2"/>
        <v>792602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28362</v>
      </c>
      <c r="AW52" s="32">
        <f t="shared" si="2"/>
        <v>0</v>
      </c>
      <c r="AX52" s="32">
        <f t="shared" si="2"/>
        <v>0</v>
      </c>
      <c r="AY52" s="32">
        <f t="shared" si="2"/>
        <v>102985</v>
      </c>
      <c r="AZ52" s="32">
        <f t="shared" si="2"/>
        <v>0</v>
      </c>
      <c r="BA52" s="32">
        <f t="shared" si="2"/>
        <v>0</v>
      </c>
      <c r="BB52" s="32">
        <f t="shared" si="2"/>
        <v>32573</v>
      </c>
      <c r="BC52" s="32">
        <f t="shared" si="2"/>
        <v>0</v>
      </c>
      <c r="BD52" s="32">
        <f t="shared" si="2"/>
        <v>31002</v>
      </c>
      <c r="BE52" s="32">
        <f t="shared" si="2"/>
        <v>2573628</v>
      </c>
      <c r="BF52" s="32">
        <f t="shared" si="2"/>
        <v>34857</v>
      </c>
      <c r="BG52" s="32">
        <f t="shared" si="2"/>
        <v>13807</v>
      </c>
      <c r="BH52" s="32">
        <f t="shared" si="2"/>
        <v>29219</v>
      </c>
      <c r="BI52" s="32">
        <f t="shared" si="2"/>
        <v>0</v>
      </c>
      <c r="BJ52" s="32">
        <f t="shared" si="2"/>
        <v>0</v>
      </c>
      <c r="BK52" s="32">
        <f t="shared" si="2"/>
        <v>24532</v>
      </c>
      <c r="BL52" s="32">
        <f t="shared" si="2"/>
        <v>0</v>
      </c>
      <c r="BM52" s="32">
        <f t="shared" si="2"/>
        <v>0</v>
      </c>
      <c r="BN52" s="32">
        <f t="shared" si="2"/>
        <v>48741</v>
      </c>
      <c r="BO52" s="32">
        <f t="shared" si="2"/>
        <v>39910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15972</v>
      </c>
      <c r="BT52" s="32">
        <f t="shared" si="3"/>
        <v>18342</v>
      </c>
      <c r="BU52" s="32">
        <f t="shared" si="3"/>
        <v>7226</v>
      </c>
      <c r="BV52" s="32">
        <f t="shared" si="3"/>
        <v>51560</v>
      </c>
      <c r="BW52" s="32">
        <f t="shared" si="3"/>
        <v>3566</v>
      </c>
      <c r="BX52" s="32">
        <f t="shared" si="3"/>
        <v>19267</v>
      </c>
      <c r="BY52" s="32">
        <f t="shared" si="3"/>
        <v>22095</v>
      </c>
      <c r="BZ52" s="32">
        <f t="shared" si="3"/>
        <v>0</v>
      </c>
      <c r="CA52" s="32">
        <f t="shared" si="3"/>
        <v>33923</v>
      </c>
      <c r="CB52" s="32">
        <f t="shared" si="3"/>
        <v>0</v>
      </c>
      <c r="CC52" s="32">
        <f t="shared" si="3"/>
        <v>978081</v>
      </c>
      <c r="CD52" s="32">
        <f t="shared" si="3"/>
        <v>0</v>
      </c>
      <c r="CE52" s="32">
        <f>SUM(C52:CD52)</f>
        <v>6811352</v>
      </c>
    </row>
    <row r="53">
      <c r="A53" s="20" t="s">
        <v>233</v>
      </c>
      <c r="B53" s="32">
        <f>B51+B52</f>
        <v>20423412.689999998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3690</v>
      </c>
      <c r="D59" s="24">
        <v>0</v>
      </c>
      <c r="E59" s="24">
        <v>23984</v>
      </c>
      <c r="F59" s="24">
        <v>1655</v>
      </c>
      <c r="G59" s="24">
        <v>0</v>
      </c>
      <c r="H59" s="24">
        <v>4315</v>
      </c>
      <c r="I59" s="24">
        <v>0</v>
      </c>
      <c r="J59" s="24">
        <v>1360</v>
      </c>
      <c r="K59" s="24">
        <v>0</v>
      </c>
      <c r="L59" s="24">
        <v>0</v>
      </c>
      <c r="M59" s="24">
        <v>0</v>
      </c>
      <c r="N59" s="24">
        <v>17107</v>
      </c>
      <c r="O59" s="24">
        <v>780</v>
      </c>
      <c r="P59" s="30">
        <v>343538</v>
      </c>
      <c r="Q59" s="30">
        <v>343359</v>
      </c>
      <c r="R59" s="30">
        <v>343359</v>
      </c>
      <c r="S59" s="314"/>
      <c r="T59" s="314"/>
      <c r="U59" s="31">
        <v>427883</v>
      </c>
      <c r="V59" s="30">
        <v>0</v>
      </c>
      <c r="W59" s="30">
        <v>4030</v>
      </c>
      <c r="X59" s="30">
        <v>25271</v>
      </c>
      <c r="Y59" s="30">
        <v>76394</v>
      </c>
      <c r="Z59" s="30">
        <v>10239</v>
      </c>
      <c r="AA59" s="30">
        <v>1759</v>
      </c>
      <c r="AB59" s="314"/>
      <c r="AC59" s="30">
        <v>35571</v>
      </c>
      <c r="AD59" s="30">
        <v>974</v>
      </c>
      <c r="AE59" s="30">
        <v>30322</v>
      </c>
      <c r="AF59" s="30">
        <v>8320</v>
      </c>
      <c r="AG59" s="30">
        <v>50381</v>
      </c>
      <c r="AH59" s="30">
        <v>0</v>
      </c>
      <c r="AI59" s="30">
        <v>8240</v>
      </c>
      <c r="AJ59" s="30">
        <v>174250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27707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117935</v>
      </c>
      <c r="AZ59" s="30">
        <v>0</v>
      </c>
      <c r="BA59" s="314"/>
      <c r="BB59" s="314"/>
      <c r="BC59" s="314"/>
      <c r="BD59" s="314"/>
      <c r="BE59" s="30">
        <v>802141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39.112405572458783</v>
      </c>
      <c r="D60" s="315">
        <v>0</v>
      </c>
      <c r="E60" s="315">
        <v>184.07180090190911</v>
      </c>
      <c r="F60" s="315">
        <v>28.193229046145348</v>
      </c>
      <c r="G60" s="315">
        <v>0</v>
      </c>
      <c r="H60" s="315">
        <v>33.561788846668932</v>
      </c>
      <c r="I60" s="315">
        <v>0</v>
      </c>
      <c r="J60" s="315">
        <v>5.5146009946788341</v>
      </c>
      <c r="K60" s="315">
        <v>0</v>
      </c>
      <c r="L60" s="315">
        <v>0</v>
      </c>
      <c r="M60" s="315">
        <v>0</v>
      </c>
      <c r="N60" s="315">
        <v>14.021139375</v>
      </c>
      <c r="O60" s="315">
        <v>0</v>
      </c>
      <c r="P60" s="316">
        <v>42.684100034684043</v>
      </c>
      <c r="Q60" s="316">
        <v>6.8136125317651306</v>
      </c>
      <c r="R60" s="316">
        <v>13.123026304945068</v>
      </c>
      <c r="S60" s="317">
        <v>8.1077912786744726</v>
      </c>
      <c r="T60" s="317">
        <v>11.186140975618139</v>
      </c>
      <c r="U60" s="318">
        <v>30.042966589457432</v>
      </c>
      <c r="V60" s="316">
        <v>0</v>
      </c>
      <c r="W60" s="316">
        <v>4.7497277446772017</v>
      </c>
      <c r="X60" s="316">
        <v>10.503637162087889</v>
      </c>
      <c r="Y60" s="316">
        <v>54.207972352506879</v>
      </c>
      <c r="Z60" s="316">
        <v>6.0323351868132011</v>
      </c>
      <c r="AA60" s="316">
        <v>5.1626744450549475</v>
      </c>
      <c r="AB60" s="317">
        <v>42.686247581215667</v>
      </c>
      <c r="AC60" s="316">
        <v>16.745393661229407</v>
      </c>
      <c r="AD60" s="316">
        <v>0.055494549450549518</v>
      </c>
      <c r="AE60" s="316">
        <v>11.898873361435427</v>
      </c>
      <c r="AF60" s="316">
        <v>20.7310180676511</v>
      </c>
      <c r="AG60" s="316">
        <v>84.2280786217375</v>
      </c>
      <c r="AH60" s="316">
        <v>0</v>
      </c>
      <c r="AI60" s="316">
        <v>23.370458739010981</v>
      </c>
      <c r="AJ60" s="316">
        <v>323.51909677748637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34.921274772864031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2.7803672948145612</v>
      </c>
      <c r="AW60" s="317">
        <v>0</v>
      </c>
      <c r="AX60" s="317">
        <v>0</v>
      </c>
      <c r="AY60" s="316">
        <v>34.295125218406582</v>
      </c>
      <c r="AZ60" s="316">
        <v>0</v>
      </c>
      <c r="BA60" s="317">
        <v>0</v>
      </c>
      <c r="BB60" s="317">
        <v>19.777109546359867</v>
      </c>
      <c r="BC60" s="317">
        <v>5.8374004249656588</v>
      </c>
      <c r="BD60" s="317">
        <v>0</v>
      </c>
      <c r="BE60" s="316">
        <v>30.359706968406574</v>
      </c>
      <c r="BF60" s="317">
        <v>50.370666951751396</v>
      </c>
      <c r="BG60" s="317">
        <v>10.992262292410688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6.5436502692307839</v>
      </c>
      <c r="BO60" s="317">
        <v>1.5199015194024712</v>
      </c>
      <c r="BP60" s="317">
        <v>0</v>
      </c>
      <c r="BQ60" s="317">
        <v>0</v>
      </c>
      <c r="BR60" s="317">
        <v>0</v>
      </c>
      <c r="BS60" s="317">
        <v>8.8870073497596351</v>
      </c>
      <c r="BT60" s="317">
        <v>4.9179800429258265</v>
      </c>
      <c r="BU60" s="317">
        <v>0.42032989010988991</v>
      </c>
      <c r="BV60" s="317">
        <v>0</v>
      </c>
      <c r="BW60" s="317">
        <v>3.0758687927541222</v>
      </c>
      <c r="BX60" s="317">
        <v>11.290853971668943</v>
      </c>
      <c r="BY60" s="317">
        <v>22.6951399223901</v>
      </c>
      <c r="BZ60" s="317">
        <v>1.6031518844436812</v>
      </c>
      <c r="CA60" s="317">
        <v>0</v>
      </c>
      <c r="CB60" s="317">
        <v>0</v>
      </c>
      <c r="CC60" s="317">
        <v>12.846581091517878</v>
      </c>
      <c r="CD60" s="247" t="s">
        <v>248</v>
      </c>
      <c r="CE60" s="268">
        <f ref="CE60:CE68" t="shared" si="4">SUM(C60:CD60)</f>
        <v>1283.4579889065453</v>
      </c>
    </row>
    <row r="61">
      <c r="A61" s="39" t="s">
        <v>263</v>
      </c>
      <c r="B61" s="20"/>
      <c r="C61" s="24">
        <v>7105089.39</v>
      </c>
      <c r="D61" s="24">
        <v>0</v>
      </c>
      <c r="E61" s="24">
        <v>18878545.36</v>
      </c>
      <c r="F61" s="24">
        <v>3608334.283824</v>
      </c>
      <c r="G61" s="24">
        <v>0</v>
      </c>
      <c r="H61" s="24">
        <v>3538469.93</v>
      </c>
      <c r="I61" s="24">
        <v>0</v>
      </c>
      <c r="J61" s="24">
        <v>705790.87617599987</v>
      </c>
      <c r="K61" s="24">
        <v>0</v>
      </c>
      <c r="L61" s="24">
        <v>0</v>
      </c>
      <c r="M61" s="24">
        <v>0</v>
      </c>
      <c r="N61" s="24">
        <v>4943703.34</v>
      </c>
      <c r="O61" s="24">
        <v>0</v>
      </c>
      <c r="P61" s="30">
        <v>5267185.69</v>
      </c>
      <c r="Q61" s="30">
        <v>1111830.37</v>
      </c>
      <c r="R61" s="30">
        <v>4936249.84</v>
      </c>
      <c r="S61" s="319">
        <v>384455.87</v>
      </c>
      <c r="T61" s="319">
        <v>1352818.07</v>
      </c>
      <c r="U61" s="31">
        <v>2945152.86</v>
      </c>
      <c r="V61" s="30">
        <v>0</v>
      </c>
      <c r="W61" s="30">
        <v>611116.26</v>
      </c>
      <c r="X61" s="30">
        <v>1201187.29</v>
      </c>
      <c r="Y61" s="30">
        <v>5488217.55</v>
      </c>
      <c r="Z61" s="30">
        <v>863283.92</v>
      </c>
      <c r="AA61" s="30">
        <v>821774.02</v>
      </c>
      <c r="AB61" s="320">
        <v>4919658.96</v>
      </c>
      <c r="AC61" s="30">
        <v>2327749.05</v>
      </c>
      <c r="AD61" s="30">
        <v>17314</v>
      </c>
      <c r="AE61" s="30">
        <v>1165688.61</v>
      </c>
      <c r="AF61" s="30">
        <v>3163774.5</v>
      </c>
      <c r="AG61" s="30">
        <v>12654619.96</v>
      </c>
      <c r="AH61" s="30">
        <v>0</v>
      </c>
      <c r="AI61" s="30">
        <v>2626595.92</v>
      </c>
      <c r="AJ61" s="30">
        <v>39569168.59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3799594.66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240852.85</v>
      </c>
      <c r="AW61" s="319">
        <v>0</v>
      </c>
      <c r="AX61" s="319">
        <v>0</v>
      </c>
      <c r="AY61" s="30">
        <v>1730660.93</v>
      </c>
      <c r="AZ61" s="30">
        <v>0</v>
      </c>
      <c r="BA61" s="319">
        <v>0</v>
      </c>
      <c r="BB61" s="319">
        <v>2158571.98</v>
      </c>
      <c r="BC61" s="319">
        <v>262752.17</v>
      </c>
      <c r="BD61" s="319">
        <v>0</v>
      </c>
      <c r="BE61" s="30">
        <v>2378081.77</v>
      </c>
      <c r="BF61" s="319">
        <v>2474589.59</v>
      </c>
      <c r="BG61" s="319">
        <v>518022.63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2312535.55</v>
      </c>
      <c r="BO61" s="319">
        <v>147348.96</v>
      </c>
      <c r="BP61" s="319">
        <v>0</v>
      </c>
      <c r="BQ61" s="319">
        <v>0</v>
      </c>
      <c r="BR61" s="319">
        <v>0</v>
      </c>
      <c r="BS61" s="319">
        <v>409592.25</v>
      </c>
      <c r="BT61" s="319">
        <v>460825.24</v>
      </c>
      <c r="BU61" s="319">
        <v>47807.66</v>
      </c>
      <c r="BV61" s="319">
        <v>0</v>
      </c>
      <c r="BW61" s="319">
        <v>326740.4</v>
      </c>
      <c r="BX61" s="319">
        <v>549604.23</v>
      </c>
      <c r="BY61" s="319">
        <v>3146392.92</v>
      </c>
      <c r="BZ61" s="319">
        <v>203679.21</v>
      </c>
      <c r="CA61" s="319">
        <v>0</v>
      </c>
      <c r="CB61" s="319">
        <v>0</v>
      </c>
      <c r="CC61" s="319">
        <v>1975267.88</v>
      </c>
      <c r="CD61" s="29" t="s">
        <v>248</v>
      </c>
      <c r="CE61" s="32">
        <f t="shared" si="4"/>
        <v>153350695.39000002</v>
      </c>
    </row>
    <row r="62">
      <c r="A62" s="39" t="s">
        <v>11</v>
      </c>
      <c r="B62" s="20"/>
      <c r="C62" s="32">
        <f>ROUND(C47+C48,0)</f>
        <v>1142675</v>
      </c>
      <c r="D62" s="32">
        <f ref="D62:BO62" t="shared" si="5">ROUND(D47+D48,0)</f>
        <v>0</v>
      </c>
      <c r="E62" s="32">
        <f t="shared" si="5"/>
        <v>4439787</v>
      </c>
      <c r="F62" s="32">
        <f t="shared" si="5"/>
        <v>933199</v>
      </c>
      <c r="G62" s="32">
        <f t="shared" si="5"/>
        <v>0</v>
      </c>
      <c r="H62" s="32">
        <f t="shared" si="5"/>
        <v>1016668</v>
      </c>
      <c r="I62" s="32">
        <f t="shared" si="5"/>
        <v>0</v>
      </c>
      <c r="J62" s="32">
        <f t="shared" si="5"/>
        <v>182534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711665</v>
      </c>
      <c r="O62" s="32">
        <f t="shared" si="5"/>
        <v>0</v>
      </c>
      <c r="P62" s="32">
        <f t="shared" si="5"/>
        <v>1308833</v>
      </c>
      <c r="Q62" s="32">
        <f t="shared" si="5"/>
        <v>288919</v>
      </c>
      <c r="R62" s="32">
        <f t="shared" si="5"/>
        <v>808798</v>
      </c>
      <c r="S62" s="32">
        <f t="shared" si="5"/>
        <v>143380</v>
      </c>
      <c r="T62" s="32">
        <f t="shared" si="5"/>
        <v>383005</v>
      </c>
      <c r="U62" s="32">
        <f t="shared" si="5"/>
        <v>691366</v>
      </c>
      <c r="V62" s="32">
        <f t="shared" si="5"/>
        <v>0</v>
      </c>
      <c r="W62" s="32">
        <f t="shared" si="5"/>
        <v>130569</v>
      </c>
      <c r="X62" s="32">
        <f t="shared" si="5"/>
        <v>310765</v>
      </c>
      <c r="Y62" s="32">
        <f t="shared" si="5"/>
        <v>1505371</v>
      </c>
      <c r="Z62" s="32">
        <f t="shared" si="5"/>
        <v>246024</v>
      </c>
      <c r="AA62" s="32">
        <f t="shared" si="5"/>
        <v>200596</v>
      </c>
      <c r="AB62" s="32">
        <f t="shared" si="5"/>
        <v>1230634</v>
      </c>
      <c r="AC62" s="32">
        <f t="shared" si="5"/>
        <v>367173</v>
      </c>
      <c r="AD62" s="32">
        <f t="shared" si="5"/>
        <v>1552</v>
      </c>
      <c r="AE62" s="32">
        <f t="shared" si="5"/>
        <v>298589</v>
      </c>
      <c r="AF62" s="32">
        <f t="shared" si="5"/>
        <v>682523</v>
      </c>
      <c r="AG62" s="32">
        <f t="shared" si="5"/>
        <v>2071277</v>
      </c>
      <c r="AH62" s="32">
        <f t="shared" si="5"/>
        <v>0</v>
      </c>
      <c r="AI62" s="32">
        <f t="shared" si="5"/>
        <v>809937</v>
      </c>
      <c r="AJ62" s="32">
        <f t="shared" si="5"/>
        <v>8489832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979129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79844</v>
      </c>
      <c r="AW62" s="32">
        <f t="shared" si="5"/>
        <v>0</v>
      </c>
      <c r="AX62" s="32">
        <f t="shared" si="5"/>
        <v>0</v>
      </c>
      <c r="AY62" s="32">
        <f t="shared" si="5"/>
        <v>640449</v>
      </c>
      <c r="AZ62" s="32">
        <f t="shared" si="5"/>
        <v>0</v>
      </c>
      <c r="BA62" s="32">
        <f t="shared" si="5"/>
        <v>0</v>
      </c>
      <c r="BB62" s="32">
        <f t="shared" si="5"/>
        <v>535795</v>
      </c>
      <c r="BC62" s="32">
        <f t="shared" si="5"/>
        <v>111093</v>
      </c>
      <c r="BD62" s="32">
        <f t="shared" si="5"/>
        <v>0</v>
      </c>
      <c r="BE62" s="32">
        <f t="shared" si="5"/>
        <v>713243</v>
      </c>
      <c r="BF62" s="32">
        <f t="shared" si="5"/>
        <v>1034656</v>
      </c>
      <c r="BG62" s="32">
        <f t="shared" si="5"/>
        <v>239916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400129</v>
      </c>
      <c r="BO62" s="32">
        <f t="shared" si="5"/>
        <v>38138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176052</v>
      </c>
      <c r="BT62" s="32">
        <f t="shared" si="6"/>
        <v>104617</v>
      </c>
      <c r="BU62" s="32">
        <f t="shared" si="6"/>
        <v>18909</v>
      </c>
      <c r="BV62" s="32">
        <f t="shared" si="6"/>
        <v>0</v>
      </c>
      <c r="BW62" s="32">
        <f t="shared" si="6"/>
        <v>111227</v>
      </c>
      <c r="BX62" s="32">
        <f t="shared" si="6"/>
        <v>155151</v>
      </c>
      <c r="BY62" s="32">
        <f t="shared" si="6"/>
        <v>742145</v>
      </c>
      <c r="BZ62" s="32">
        <f t="shared" si="6"/>
        <v>134508</v>
      </c>
      <c r="CA62" s="32">
        <f t="shared" si="6"/>
        <v>0</v>
      </c>
      <c r="CB62" s="32">
        <f t="shared" si="6"/>
        <v>0</v>
      </c>
      <c r="CC62" s="32">
        <f t="shared" si="6"/>
        <v>452917</v>
      </c>
      <c r="CD62" s="29" t="s">
        <v>248</v>
      </c>
      <c r="CE62" s="32">
        <f t="shared" si="4"/>
        <v>35063589</v>
      </c>
    </row>
    <row r="63">
      <c r="A63" s="39" t="s">
        <v>264</v>
      </c>
      <c r="B63" s="20"/>
      <c r="C63" s="24">
        <v>0</v>
      </c>
      <c r="D63" s="24">
        <v>0</v>
      </c>
      <c r="E63" s="24">
        <v>0</v>
      </c>
      <c r="F63" s="24">
        <v>39081.960960000004</v>
      </c>
      <c r="G63" s="24">
        <v>0</v>
      </c>
      <c r="H63" s="24">
        <v>0</v>
      </c>
      <c r="I63" s="24">
        <v>0</v>
      </c>
      <c r="J63" s="24">
        <v>7644.4390399999984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397150</v>
      </c>
      <c r="Q63" s="30">
        <v>0</v>
      </c>
      <c r="R63" s="30">
        <v>0</v>
      </c>
      <c r="S63" s="319">
        <v>0</v>
      </c>
      <c r="T63" s="319">
        <v>0</v>
      </c>
      <c r="U63" s="31">
        <v>0</v>
      </c>
      <c r="V63" s="30">
        <v>0</v>
      </c>
      <c r="W63" s="30">
        <v>0</v>
      </c>
      <c r="X63" s="30">
        <v>0</v>
      </c>
      <c r="Y63" s="30">
        <v>12600</v>
      </c>
      <c r="Z63" s="30">
        <v>36000</v>
      </c>
      <c r="AA63" s="30">
        <v>0</v>
      </c>
      <c r="AB63" s="320">
        <v>0</v>
      </c>
      <c r="AC63" s="30">
        <v>1800</v>
      </c>
      <c r="AD63" s="30">
        <v>0</v>
      </c>
      <c r="AE63" s="30">
        <v>0</v>
      </c>
      <c r="AF63" s="30">
        <v>0</v>
      </c>
      <c r="AG63" s="30">
        <v>497016.64</v>
      </c>
      <c r="AH63" s="30">
        <v>0</v>
      </c>
      <c r="AI63" s="30">
        <v>0</v>
      </c>
      <c r="AJ63" s="30">
        <v>4044047.06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93000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304465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500004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56710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0</v>
      </c>
      <c r="CD63" s="29" t="s">
        <v>248</v>
      </c>
      <c r="CE63" s="32">
        <f t="shared" si="4"/>
        <v>5989519.1</v>
      </c>
    </row>
    <row r="64">
      <c r="A64" s="39" t="s">
        <v>265</v>
      </c>
      <c r="B64" s="20"/>
      <c r="C64" s="24">
        <v>627297.74</v>
      </c>
      <c r="D64" s="24">
        <v>0</v>
      </c>
      <c r="E64" s="24">
        <v>1294404.6</v>
      </c>
      <c r="F64" s="24">
        <v>399296.90834400005</v>
      </c>
      <c r="G64" s="24">
        <v>0</v>
      </c>
      <c r="H64" s="24">
        <v>72513.34</v>
      </c>
      <c r="I64" s="24">
        <v>0</v>
      </c>
      <c r="J64" s="24">
        <v>78102.551655999981</v>
      </c>
      <c r="K64" s="24">
        <v>0</v>
      </c>
      <c r="L64" s="24">
        <v>0</v>
      </c>
      <c r="M64" s="24">
        <v>0</v>
      </c>
      <c r="N64" s="24">
        <v>4872.47</v>
      </c>
      <c r="O64" s="24">
        <v>0</v>
      </c>
      <c r="P64" s="30">
        <v>8394676.39</v>
      </c>
      <c r="Q64" s="30">
        <v>42841.49</v>
      </c>
      <c r="R64" s="30">
        <v>4110.84</v>
      </c>
      <c r="S64" s="319">
        <v>171899.91</v>
      </c>
      <c r="T64" s="319">
        <v>285260.1</v>
      </c>
      <c r="U64" s="31">
        <v>650805.01</v>
      </c>
      <c r="V64" s="30">
        <v>0</v>
      </c>
      <c r="W64" s="30">
        <v>17745.65</v>
      </c>
      <c r="X64" s="30">
        <v>255550.2</v>
      </c>
      <c r="Y64" s="30">
        <v>2714569.69</v>
      </c>
      <c r="Z64" s="30">
        <v>24882.7</v>
      </c>
      <c r="AA64" s="30">
        <v>307577.2</v>
      </c>
      <c r="AB64" s="320">
        <v>18676878.23</v>
      </c>
      <c r="AC64" s="30">
        <v>336160.63</v>
      </c>
      <c r="AD64" s="30">
        <v>20727.35</v>
      </c>
      <c r="AE64" s="30">
        <v>9232.87</v>
      </c>
      <c r="AF64" s="30">
        <v>138859.71</v>
      </c>
      <c r="AG64" s="30">
        <v>1296059.59</v>
      </c>
      <c r="AH64" s="30">
        <v>0</v>
      </c>
      <c r="AI64" s="30">
        <v>1556217.9</v>
      </c>
      <c r="AJ64" s="30">
        <v>3937996.29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443250.54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9111.56</v>
      </c>
      <c r="AW64" s="319">
        <v>0</v>
      </c>
      <c r="AX64" s="319">
        <v>0</v>
      </c>
      <c r="AY64" s="30">
        <v>811173.41</v>
      </c>
      <c r="AZ64" s="30">
        <v>0</v>
      </c>
      <c r="BA64" s="319">
        <v>0</v>
      </c>
      <c r="BB64" s="319">
        <v>2883.89</v>
      </c>
      <c r="BC64" s="319">
        <v>52666.74</v>
      </c>
      <c r="BD64" s="319">
        <v>0</v>
      </c>
      <c r="BE64" s="30">
        <v>189811.45</v>
      </c>
      <c r="BF64" s="319">
        <v>420645.8</v>
      </c>
      <c r="BG64" s="319">
        <v>21277.11</v>
      </c>
      <c r="BH64" s="319">
        <v>0</v>
      </c>
      <c r="BI64" s="319">
        <v>0</v>
      </c>
      <c r="BJ64" s="319">
        <v>0</v>
      </c>
      <c r="BK64" s="319">
        <v>0</v>
      </c>
      <c r="BL64" s="319">
        <v>0</v>
      </c>
      <c r="BM64" s="319">
        <v>0</v>
      </c>
      <c r="BN64" s="319">
        <v>24003.52</v>
      </c>
      <c r="BO64" s="319">
        <v>0</v>
      </c>
      <c r="BP64" s="319">
        <v>0</v>
      </c>
      <c r="BQ64" s="319">
        <v>0</v>
      </c>
      <c r="BR64" s="319">
        <v>0</v>
      </c>
      <c r="BS64" s="319">
        <v>55566.47</v>
      </c>
      <c r="BT64" s="319">
        <v>27287.69</v>
      </c>
      <c r="BU64" s="319">
        <v>158.22</v>
      </c>
      <c r="BV64" s="319">
        <v>0</v>
      </c>
      <c r="BW64" s="319">
        <v>71668.02</v>
      </c>
      <c r="BX64" s="319">
        <v>943142.77</v>
      </c>
      <c r="BY64" s="319">
        <v>10379.31</v>
      </c>
      <c r="BZ64" s="319">
        <v>0</v>
      </c>
      <c r="CA64" s="319">
        <v>0</v>
      </c>
      <c r="CB64" s="319">
        <v>0</v>
      </c>
      <c r="CC64" s="319">
        <v>-50966.850000000006</v>
      </c>
      <c r="CD64" s="29" t="s">
        <v>248</v>
      </c>
      <c r="CE64" s="32">
        <f t="shared" si="4"/>
        <v>44350599.010000005</v>
      </c>
    </row>
    <row r="65">
      <c r="A65" s="39" t="s">
        <v>266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319">
        <v>0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2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1023.08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3964.01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2469667.72</v>
      </c>
      <c r="BF65" s="319">
        <v>301802.65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0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0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2776457.46</v>
      </c>
    </row>
    <row r="66">
      <c r="A66" s="39" t="s">
        <v>267</v>
      </c>
      <c r="B66" s="20"/>
      <c r="C66" s="24">
        <v>262.39999999999964</v>
      </c>
      <c r="D66" s="24">
        <v>0</v>
      </c>
      <c r="E66" s="24">
        <v>341.71000000000095</v>
      </c>
      <c r="F66" s="24">
        <v>82244.416416000007</v>
      </c>
      <c r="G66" s="24">
        <v>0</v>
      </c>
      <c r="H66" s="24">
        <v>878.27</v>
      </c>
      <c r="I66" s="24">
        <v>0</v>
      </c>
      <c r="J66" s="24">
        <v>16087.023583999997</v>
      </c>
      <c r="K66" s="24">
        <v>0</v>
      </c>
      <c r="L66" s="24">
        <v>0</v>
      </c>
      <c r="M66" s="24">
        <v>0</v>
      </c>
      <c r="N66" s="24">
        <v>1077.88</v>
      </c>
      <c r="O66" s="24">
        <v>0</v>
      </c>
      <c r="P66" s="30">
        <v>717038.88</v>
      </c>
      <c r="Q66" s="30">
        <v>2.24</v>
      </c>
      <c r="R66" s="30">
        <v>7945.24</v>
      </c>
      <c r="S66" s="319">
        <v>271.74</v>
      </c>
      <c r="T66" s="319">
        <v>4996.22</v>
      </c>
      <c r="U66" s="31">
        <v>4058343.8</v>
      </c>
      <c r="V66" s="30">
        <v>0</v>
      </c>
      <c r="W66" s="30">
        <v>4229</v>
      </c>
      <c r="X66" s="30">
        <v>4259.6</v>
      </c>
      <c r="Y66" s="30">
        <v>30670.49</v>
      </c>
      <c r="Z66" s="30">
        <v>5041.41</v>
      </c>
      <c r="AA66" s="30">
        <v>28367.73</v>
      </c>
      <c r="AB66" s="320">
        <v>1913438.17</v>
      </c>
      <c r="AC66" s="30">
        <v>28.01</v>
      </c>
      <c r="AD66" s="30">
        <v>732794.49</v>
      </c>
      <c r="AE66" s="30">
        <v>19.889999999999986</v>
      </c>
      <c r="AF66" s="30">
        <v>8645.34</v>
      </c>
      <c r="AG66" s="30">
        <v>168572.34</v>
      </c>
      <c r="AH66" s="30">
        <v>0</v>
      </c>
      <c r="AI66" s="30">
        <v>18133.55</v>
      </c>
      <c r="AJ66" s="30">
        <v>239634.73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18911.630000000005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774.6</v>
      </c>
      <c r="AW66" s="319">
        <v>0</v>
      </c>
      <c r="AX66" s="319">
        <v>0</v>
      </c>
      <c r="AY66" s="30">
        <v>54753.82</v>
      </c>
      <c r="AZ66" s="30">
        <v>0</v>
      </c>
      <c r="BA66" s="319">
        <v>0</v>
      </c>
      <c r="BB66" s="319">
        <v>251633.11</v>
      </c>
      <c r="BC66" s="319">
        <v>0</v>
      </c>
      <c r="BD66" s="319">
        <v>0</v>
      </c>
      <c r="BE66" s="30">
        <v>7816407.4799999995</v>
      </c>
      <c r="BF66" s="319">
        <v>869267.07000000007</v>
      </c>
      <c r="BG66" s="319">
        <v>61.86</v>
      </c>
      <c r="BH66" s="319">
        <v>0</v>
      </c>
      <c r="BI66" s="319">
        <v>0</v>
      </c>
      <c r="BJ66" s="319">
        <v>0</v>
      </c>
      <c r="BK66" s="319">
        <v>0</v>
      </c>
      <c r="BL66" s="319">
        <v>0</v>
      </c>
      <c r="BM66" s="319">
        <v>0</v>
      </c>
      <c r="BN66" s="319">
        <v>31901225.37</v>
      </c>
      <c r="BO66" s="319">
        <v>0</v>
      </c>
      <c r="BP66" s="319">
        <v>0</v>
      </c>
      <c r="BQ66" s="319">
        <v>0</v>
      </c>
      <c r="BR66" s="319">
        <v>0</v>
      </c>
      <c r="BS66" s="319">
        <v>16.46</v>
      </c>
      <c r="BT66" s="319">
        <v>4809.94</v>
      </c>
      <c r="BU66" s="319">
        <v>0</v>
      </c>
      <c r="BV66" s="319">
        <v>100.35</v>
      </c>
      <c r="BW66" s="319">
        <v>-92.81</v>
      </c>
      <c r="BX66" s="319">
        <v>-5411.94</v>
      </c>
      <c r="BY66" s="319">
        <v>428.11</v>
      </c>
      <c r="BZ66" s="319">
        <v>0</v>
      </c>
      <c r="CA66" s="319">
        <v>0</v>
      </c>
      <c r="CB66" s="319">
        <v>0</v>
      </c>
      <c r="CC66" s="319">
        <v>10282399.57</v>
      </c>
      <c r="CD66" s="29" t="s">
        <v>248</v>
      </c>
      <c r="CE66" s="32">
        <f t="shared" si="4"/>
        <v>59238609.190000005</v>
      </c>
    </row>
    <row r="67">
      <c r="A67" s="39" t="s">
        <v>16</v>
      </c>
      <c r="B67" s="20"/>
      <c r="C67" s="32">
        <f ref="C67:BN67" t="shared" si="7">ROUND(C51+C52,0)</f>
        <v>280484</v>
      </c>
      <c r="D67" s="32">
        <f t="shared" si="7"/>
        <v>0</v>
      </c>
      <c r="E67" s="32">
        <f t="shared" si="7"/>
        <v>584422</v>
      </c>
      <c r="F67" s="32">
        <f t="shared" si="7"/>
        <v>170693</v>
      </c>
      <c r="G67" s="32">
        <f t="shared" si="7"/>
        <v>0</v>
      </c>
      <c r="H67" s="32">
        <f t="shared" si="7"/>
        <v>97340</v>
      </c>
      <c r="I67" s="32">
        <f t="shared" si="7"/>
        <v>0</v>
      </c>
      <c r="J67" s="32">
        <f t="shared" si="7"/>
        <v>33387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1035759</v>
      </c>
      <c r="Q67" s="32">
        <f t="shared" si="7"/>
        <v>21212</v>
      </c>
      <c r="R67" s="32">
        <f t="shared" si="7"/>
        <v>0</v>
      </c>
      <c r="S67" s="32">
        <f t="shared" si="7"/>
        <v>136706</v>
      </c>
      <c r="T67" s="32">
        <f t="shared" si="7"/>
        <v>39579</v>
      </c>
      <c r="U67" s="32">
        <f t="shared" si="7"/>
        <v>67679</v>
      </c>
      <c r="V67" s="32">
        <f t="shared" si="7"/>
        <v>0</v>
      </c>
      <c r="W67" s="32">
        <f t="shared" si="7"/>
        <v>2312</v>
      </c>
      <c r="X67" s="32">
        <f t="shared" si="7"/>
        <v>271945</v>
      </c>
      <c r="Y67" s="32">
        <f t="shared" si="7"/>
        <v>948437</v>
      </c>
      <c r="Z67" s="32">
        <f t="shared" si="7"/>
        <v>117882</v>
      </c>
      <c r="AA67" s="32">
        <f t="shared" si="7"/>
        <v>88473</v>
      </c>
      <c r="AB67" s="32">
        <f t="shared" si="7"/>
        <v>61779</v>
      </c>
      <c r="AC67" s="32">
        <f t="shared" si="7"/>
        <v>48431</v>
      </c>
      <c r="AD67" s="32">
        <f t="shared" si="7"/>
        <v>13656</v>
      </c>
      <c r="AE67" s="32">
        <f t="shared" si="7"/>
        <v>47723</v>
      </c>
      <c r="AF67" s="32">
        <f t="shared" si="7"/>
        <v>164505</v>
      </c>
      <c r="AG67" s="32">
        <f t="shared" si="7"/>
        <v>293120</v>
      </c>
      <c r="AH67" s="32">
        <f t="shared" si="7"/>
        <v>0</v>
      </c>
      <c r="AI67" s="32">
        <f t="shared" si="7"/>
        <v>350650</v>
      </c>
      <c r="AJ67" s="32">
        <f t="shared" si="7"/>
        <v>875940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52206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52143</v>
      </c>
      <c r="AW67" s="32">
        <f t="shared" si="7"/>
        <v>0</v>
      </c>
      <c r="AX67" s="32">
        <f t="shared" si="7"/>
        <v>0</v>
      </c>
      <c r="AY67" s="32">
        <f t="shared" si="7"/>
        <v>132769</v>
      </c>
      <c r="AZ67" s="32">
        <f t="shared" si="7"/>
        <v>0</v>
      </c>
      <c r="BA67" s="32">
        <f t="shared" si="7"/>
        <v>0</v>
      </c>
      <c r="BB67" s="32">
        <f t="shared" si="7"/>
        <v>32573</v>
      </c>
      <c r="BC67" s="32">
        <f t="shared" si="7"/>
        <v>1231</v>
      </c>
      <c r="BD67" s="32">
        <f t="shared" si="7"/>
        <v>31002</v>
      </c>
      <c r="BE67" s="32">
        <f t="shared" si="7"/>
        <v>2776422</v>
      </c>
      <c r="BF67" s="32">
        <f t="shared" si="7"/>
        <v>47174</v>
      </c>
      <c r="BG67" s="32">
        <f t="shared" si="7"/>
        <v>28871</v>
      </c>
      <c r="BH67" s="32">
        <f t="shared" si="7"/>
        <v>29219</v>
      </c>
      <c r="BI67" s="32">
        <f t="shared" si="7"/>
        <v>0</v>
      </c>
      <c r="BJ67" s="32">
        <f t="shared" si="7"/>
        <v>0</v>
      </c>
      <c r="BK67" s="32">
        <f t="shared" si="7"/>
        <v>24532</v>
      </c>
      <c r="BL67" s="32">
        <f t="shared" si="7"/>
        <v>0</v>
      </c>
      <c r="BM67" s="32">
        <f t="shared" si="7"/>
        <v>0</v>
      </c>
      <c r="BN67" s="32">
        <f t="shared" si="7"/>
        <v>8199345</v>
      </c>
      <c r="BO67" s="32">
        <f ref="BO67:CC67" t="shared" si="8">ROUND(BO51+BO52,0)</f>
        <v>39910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15972</v>
      </c>
      <c r="BT67" s="32">
        <f t="shared" si="8"/>
        <v>18342</v>
      </c>
      <c r="BU67" s="32">
        <f t="shared" si="8"/>
        <v>7226</v>
      </c>
      <c r="BV67" s="32">
        <f t="shared" si="8"/>
        <v>51560</v>
      </c>
      <c r="BW67" s="32">
        <f t="shared" si="8"/>
        <v>3566</v>
      </c>
      <c r="BX67" s="32">
        <f t="shared" si="8"/>
        <v>19267</v>
      </c>
      <c r="BY67" s="32">
        <f t="shared" si="8"/>
        <v>463868</v>
      </c>
      <c r="BZ67" s="32">
        <f t="shared" si="8"/>
        <v>0</v>
      </c>
      <c r="CA67" s="32">
        <f t="shared" si="8"/>
        <v>33923</v>
      </c>
      <c r="CB67" s="32">
        <f t="shared" si="8"/>
        <v>0</v>
      </c>
      <c r="CC67" s="32">
        <f t="shared" si="8"/>
        <v>2610174</v>
      </c>
      <c r="CD67" s="29" t="s">
        <v>248</v>
      </c>
      <c r="CE67" s="32">
        <f t="shared" si="4"/>
        <v>20423409</v>
      </c>
    </row>
    <row r="68">
      <c r="A68" s="39" t="s">
        <v>268</v>
      </c>
      <c r="B68" s="32"/>
      <c r="C68" s="24">
        <v>11414.16</v>
      </c>
      <c r="D68" s="24">
        <v>0</v>
      </c>
      <c r="E68" s="24">
        <v>11113.99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319">
        <v>0</v>
      </c>
      <c r="T68" s="319">
        <v>0</v>
      </c>
      <c r="U68" s="31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20">
        <v>399234.39</v>
      </c>
      <c r="AC68" s="30">
        <v>0</v>
      </c>
      <c r="AD68" s="30">
        <v>0</v>
      </c>
      <c r="AE68" s="30">
        <v>240</v>
      </c>
      <c r="AF68" s="30">
        <v>0</v>
      </c>
      <c r="AG68" s="30">
        <v>471.67</v>
      </c>
      <c r="AH68" s="30">
        <v>0</v>
      </c>
      <c r="AI68" s="30">
        <v>25451.06</v>
      </c>
      <c r="AJ68" s="30">
        <v>41847.65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542749.55999999994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106975.03</v>
      </c>
      <c r="BF68" s="319">
        <v>48.1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0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10196.23</v>
      </c>
      <c r="BY68" s="319">
        <v>0</v>
      </c>
      <c r="BZ68" s="319">
        <v>0</v>
      </c>
      <c r="CA68" s="319">
        <v>0</v>
      </c>
      <c r="CB68" s="319">
        <v>0</v>
      </c>
      <c r="CC68" s="319">
        <v>0</v>
      </c>
      <c r="CD68" s="29" t="s">
        <v>248</v>
      </c>
      <c r="CE68" s="32">
        <f t="shared" si="4"/>
        <v>1149741.84</v>
      </c>
    </row>
    <row r="69">
      <c r="A69" s="39" t="s">
        <v>269</v>
      </c>
      <c r="B69" s="20"/>
      <c r="C69" s="32">
        <f ref="C69:BN69" t="shared" si="9">SUM(C70:C83)</f>
        <v>5970.98</v>
      </c>
      <c r="D69" s="32">
        <f t="shared" si="9"/>
        <v>0</v>
      </c>
      <c r="E69" s="32">
        <f t="shared" si="9"/>
        <v>10172.14</v>
      </c>
      <c r="F69" s="32">
        <f t="shared" si="9"/>
        <v>11274.220344</v>
      </c>
      <c r="G69" s="32">
        <f t="shared" si="9"/>
        <v>0</v>
      </c>
      <c r="H69" s="32">
        <f t="shared" si="9"/>
        <v>908.38999999999987</v>
      </c>
      <c r="I69" s="32">
        <f t="shared" si="9"/>
        <v>0</v>
      </c>
      <c r="J69" s="32">
        <f t="shared" si="9"/>
        <v>2205.2396559999993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46303.05</v>
      </c>
      <c r="O69" s="32">
        <f t="shared" si="9"/>
        <v>0</v>
      </c>
      <c r="P69" s="32">
        <f t="shared" si="9"/>
        <v>43808.88</v>
      </c>
      <c r="Q69" s="32">
        <f t="shared" si="9"/>
        <v>89.800000000000011</v>
      </c>
      <c r="R69" s="32">
        <f t="shared" si="9"/>
        <v>26944.1</v>
      </c>
      <c r="S69" s="32">
        <f t="shared" si="9"/>
        <v>8229.89</v>
      </c>
      <c r="T69" s="32">
        <f t="shared" si="9"/>
        <v>8043.3700000000008</v>
      </c>
      <c r="U69" s="32">
        <f t="shared" si="9"/>
        <v>18762.91</v>
      </c>
      <c r="V69" s="32">
        <f t="shared" si="9"/>
        <v>0</v>
      </c>
      <c r="W69" s="32">
        <f t="shared" si="9"/>
        <v>3082.4</v>
      </c>
      <c r="X69" s="32">
        <f t="shared" si="9"/>
        <v>807.7</v>
      </c>
      <c r="Y69" s="32">
        <f t="shared" si="9"/>
        <v>44822.19</v>
      </c>
      <c r="Z69" s="32">
        <f t="shared" si="9"/>
        <v>512.59000000000015</v>
      </c>
      <c r="AA69" s="32">
        <f t="shared" si="9"/>
        <v>2077.84</v>
      </c>
      <c r="AB69" s="32">
        <f t="shared" si="9"/>
        <v>23522.16</v>
      </c>
      <c r="AC69" s="32">
        <f t="shared" si="9"/>
        <v>1454.72</v>
      </c>
      <c r="AD69" s="32">
        <f t="shared" si="9"/>
        <v>0</v>
      </c>
      <c r="AE69" s="32">
        <f t="shared" si="9"/>
        <v>2522.34</v>
      </c>
      <c r="AF69" s="32">
        <f t="shared" si="9"/>
        <v>69418.49</v>
      </c>
      <c r="AG69" s="32">
        <f t="shared" si="9"/>
        <v>26101.3</v>
      </c>
      <c r="AH69" s="32">
        <f t="shared" si="9"/>
        <v>0</v>
      </c>
      <c r="AI69" s="32">
        <f t="shared" si="9"/>
        <v>22330.07</v>
      </c>
      <c r="AJ69" s="32">
        <f t="shared" si="9"/>
        <v>204788.64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21176.61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866.52</v>
      </c>
      <c r="AW69" s="32">
        <f t="shared" si="9"/>
        <v>0</v>
      </c>
      <c r="AX69" s="32">
        <f t="shared" si="9"/>
        <v>0</v>
      </c>
      <c r="AY69" s="32">
        <f t="shared" si="9"/>
        <v>3032</v>
      </c>
      <c r="AZ69" s="32">
        <f t="shared" si="9"/>
        <v>0</v>
      </c>
      <c r="BA69" s="32">
        <f t="shared" si="9"/>
        <v>0</v>
      </c>
      <c r="BB69" s="32">
        <f t="shared" si="9"/>
        <v>81236.75</v>
      </c>
      <c r="BC69" s="32">
        <f t="shared" si="9"/>
        <v>0</v>
      </c>
      <c r="BD69" s="32">
        <f t="shared" si="9"/>
        <v>0</v>
      </c>
      <c r="BE69" s="32">
        <f t="shared" si="9"/>
        <v>17690.750000000007</v>
      </c>
      <c r="BF69" s="32">
        <f t="shared" si="9"/>
        <v>5876.22</v>
      </c>
      <c r="BG69" s="32">
        <f t="shared" si="9"/>
        <v>108.87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83969.88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1227.2</v>
      </c>
      <c r="BT69" s="32">
        <f t="shared" si="10"/>
        <v>13428.61</v>
      </c>
      <c r="BU69" s="32">
        <f t="shared" si="10"/>
        <v>4971</v>
      </c>
      <c r="BV69" s="32">
        <f t="shared" si="10"/>
        <v>0</v>
      </c>
      <c r="BW69" s="32">
        <f t="shared" si="10"/>
        <v>3090.64</v>
      </c>
      <c r="BX69" s="32">
        <f t="shared" si="10"/>
        <v>3235.42</v>
      </c>
      <c r="BY69" s="32">
        <f t="shared" si="10"/>
        <v>29355.64</v>
      </c>
      <c r="BZ69" s="32">
        <f t="shared" si="10"/>
        <v>395</v>
      </c>
      <c r="CA69" s="32">
        <f t="shared" si="10"/>
        <v>250</v>
      </c>
      <c r="CB69" s="32">
        <f t="shared" si="10"/>
        <v>0</v>
      </c>
      <c r="CC69" s="32">
        <f t="shared" si="10"/>
        <v>616479.05000000028</v>
      </c>
      <c r="CD69" s="32">
        <f t="shared" si="10"/>
        <v>9827623.69</v>
      </c>
      <c r="CE69" s="32">
        <f>SUM(CE70:CE84)</f>
        <v>26757117.75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5970.98</v>
      </c>
      <c r="D83" s="24">
        <v>0</v>
      </c>
      <c r="E83" s="30">
        <v>10172.14</v>
      </c>
      <c r="F83" s="30">
        <v>11274.220344</v>
      </c>
      <c r="G83" s="24">
        <v>0</v>
      </c>
      <c r="H83" s="24">
        <v>908.38999999999987</v>
      </c>
      <c r="I83" s="30">
        <v>0</v>
      </c>
      <c r="J83" s="30">
        <v>2205.2396559999993</v>
      </c>
      <c r="K83" s="30">
        <v>0</v>
      </c>
      <c r="L83" s="30">
        <v>0</v>
      </c>
      <c r="M83" s="24">
        <v>0</v>
      </c>
      <c r="N83" s="24">
        <v>46303.05</v>
      </c>
      <c r="O83" s="24">
        <v>0</v>
      </c>
      <c r="P83" s="30">
        <v>43808.88</v>
      </c>
      <c r="Q83" s="30">
        <v>89.800000000000011</v>
      </c>
      <c r="R83" s="31">
        <v>26944.1</v>
      </c>
      <c r="S83" s="30">
        <v>8229.89</v>
      </c>
      <c r="T83" s="24">
        <v>8043.3700000000008</v>
      </c>
      <c r="U83" s="30">
        <v>18762.91</v>
      </c>
      <c r="V83" s="30">
        <v>0</v>
      </c>
      <c r="W83" s="24">
        <v>3082.4</v>
      </c>
      <c r="X83" s="30">
        <v>807.7</v>
      </c>
      <c r="Y83" s="30">
        <v>44822.19</v>
      </c>
      <c r="Z83" s="30">
        <v>512.59000000000015</v>
      </c>
      <c r="AA83" s="30">
        <v>2077.84</v>
      </c>
      <c r="AB83" s="30">
        <v>23522.16</v>
      </c>
      <c r="AC83" s="30">
        <v>1454.72</v>
      </c>
      <c r="AD83" s="30">
        <v>0</v>
      </c>
      <c r="AE83" s="30">
        <v>2522.34</v>
      </c>
      <c r="AF83" s="30">
        <v>69418.49</v>
      </c>
      <c r="AG83" s="30">
        <v>26101.3</v>
      </c>
      <c r="AH83" s="30">
        <v>0</v>
      </c>
      <c r="AI83" s="30">
        <v>22330.07</v>
      </c>
      <c r="AJ83" s="30">
        <v>204788.64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21176.61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866.52</v>
      </c>
      <c r="AW83" s="30">
        <v>0</v>
      </c>
      <c r="AX83" s="30">
        <v>0</v>
      </c>
      <c r="AY83" s="30">
        <v>3032</v>
      </c>
      <c r="AZ83" s="30">
        <v>0</v>
      </c>
      <c r="BA83" s="30">
        <v>0</v>
      </c>
      <c r="BB83" s="30">
        <v>81236.75</v>
      </c>
      <c r="BC83" s="30">
        <v>0</v>
      </c>
      <c r="BD83" s="30">
        <v>0</v>
      </c>
      <c r="BE83" s="30">
        <v>17690.750000000007</v>
      </c>
      <c r="BF83" s="30">
        <v>5876.22</v>
      </c>
      <c r="BG83" s="30">
        <v>108.87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83969.88</v>
      </c>
      <c r="BO83" s="30">
        <v>0</v>
      </c>
      <c r="BP83" s="30">
        <v>0</v>
      </c>
      <c r="BQ83" s="30">
        <v>0</v>
      </c>
      <c r="BR83" s="30">
        <v>0</v>
      </c>
      <c r="BS83" s="30">
        <v>1227.2</v>
      </c>
      <c r="BT83" s="30">
        <v>13428.61</v>
      </c>
      <c r="BU83" s="30">
        <v>4971</v>
      </c>
      <c r="BV83" s="30">
        <v>0</v>
      </c>
      <c r="BW83" s="30">
        <v>3090.64</v>
      </c>
      <c r="BX83" s="30">
        <v>3235.42</v>
      </c>
      <c r="BY83" s="30">
        <v>29355.64</v>
      </c>
      <c r="BZ83" s="30">
        <v>395</v>
      </c>
      <c r="CA83" s="30">
        <v>250</v>
      </c>
      <c r="CB83" s="30">
        <v>0</v>
      </c>
      <c r="CC83" s="30">
        <v>616479.05000000028</v>
      </c>
      <c r="CD83" s="35">
        <v>9827623.69</v>
      </c>
      <c r="CE83" s="32">
        <f t="shared" si="11"/>
        <v>11298167.26</v>
      </c>
    </row>
    <row r="84">
      <c r="A84" s="39" t="s">
        <v>284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30938.72</v>
      </c>
      <c r="V84" s="24">
        <v>0</v>
      </c>
      <c r="W84" s="24">
        <v>0</v>
      </c>
      <c r="X84" s="24">
        <v>0</v>
      </c>
      <c r="Y84" s="24">
        <v>31124.28</v>
      </c>
      <c r="Z84" s="24">
        <v>0</v>
      </c>
      <c r="AA84" s="24">
        <v>0</v>
      </c>
      <c r="AB84" s="24">
        <v>10540487.54</v>
      </c>
      <c r="AC84" s="24">
        <v>0</v>
      </c>
      <c r="AD84" s="24">
        <v>16068</v>
      </c>
      <c r="AE84" s="24">
        <v>0</v>
      </c>
      <c r="AF84" s="24">
        <v>41640.22</v>
      </c>
      <c r="AG84" s="24">
        <v>4064.26</v>
      </c>
      <c r="AH84" s="24">
        <v>0</v>
      </c>
      <c r="AI84" s="24">
        <v>0</v>
      </c>
      <c r="AJ84" s="24">
        <v>922751.96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872717.46</v>
      </c>
      <c r="AZ84" s="24">
        <v>0</v>
      </c>
      <c r="BA84" s="24">
        <v>0</v>
      </c>
      <c r="BB84" s="24">
        <v>0</v>
      </c>
      <c r="BC84" s="24">
        <v>4064.26</v>
      </c>
      <c r="BD84" s="24">
        <v>0</v>
      </c>
      <c r="BE84" s="24">
        <v>700000</v>
      </c>
      <c r="BF84" s="24">
        <v>2992.85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21990.57</v>
      </c>
      <c r="BO84" s="24">
        <v>0</v>
      </c>
      <c r="BP84" s="24">
        <v>0</v>
      </c>
      <c r="BQ84" s="24">
        <v>0</v>
      </c>
      <c r="BR84" s="24">
        <v>0</v>
      </c>
      <c r="BS84" s="24">
        <v>25874.56</v>
      </c>
      <c r="BT84" s="24">
        <v>10955.91</v>
      </c>
      <c r="BU84" s="24">
        <v>0</v>
      </c>
      <c r="BV84" s="24">
        <v>0</v>
      </c>
      <c r="BW84" s="24">
        <v>0</v>
      </c>
      <c r="BX84" s="24">
        <v>100000</v>
      </c>
      <c r="BY84" s="24">
        <v>43931.57</v>
      </c>
      <c r="BZ84" s="24">
        <v>0</v>
      </c>
      <c r="CA84" s="24">
        <v>0</v>
      </c>
      <c r="CB84" s="24">
        <v>0</v>
      </c>
      <c r="CC84" s="24">
        <v>1117399.54</v>
      </c>
      <c r="CD84" s="35">
        <v>971948.79</v>
      </c>
      <c r="CE84" s="32">
        <f t="shared" si="11"/>
        <v>15458950.490000002</v>
      </c>
    </row>
    <row r="85">
      <c r="A85" s="39" t="s">
        <v>285</v>
      </c>
      <c r="B85" s="32"/>
      <c r="C85" s="32">
        <f>SUM(C61:C69)-C84</f>
        <v>9173193.67</v>
      </c>
      <c r="D85" s="32">
        <f ref="D85:BO85" t="shared" si="12">SUM(D61:D69)-D84</f>
        <v>0</v>
      </c>
      <c r="E85" s="32">
        <f t="shared" si="12"/>
        <v>25218786.8</v>
      </c>
      <c r="F85" s="32">
        <f t="shared" si="12"/>
        <v>5244123.7898879992</v>
      </c>
      <c r="G85" s="32">
        <f t="shared" si="12"/>
        <v>0</v>
      </c>
      <c r="H85" s="32">
        <f t="shared" si="12"/>
        <v>4726777.9299999988</v>
      </c>
      <c r="I85" s="32">
        <f t="shared" si="12"/>
        <v>0</v>
      </c>
      <c r="J85" s="32">
        <f t="shared" si="12"/>
        <v>1025751.1301119998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5707621.7399999993</v>
      </c>
      <c r="O85" s="32">
        <f t="shared" si="12"/>
        <v>0</v>
      </c>
      <c r="P85" s="32">
        <f t="shared" si="12"/>
        <v>17164451.84</v>
      </c>
      <c r="Q85" s="32">
        <f t="shared" si="12"/>
        <v>1464894.9000000001</v>
      </c>
      <c r="R85" s="32">
        <f t="shared" si="12"/>
        <v>5784048.02</v>
      </c>
      <c r="S85" s="32">
        <f t="shared" si="12"/>
        <v>844943.41</v>
      </c>
      <c r="T85" s="32">
        <f t="shared" si="12"/>
        <v>2073701.76</v>
      </c>
      <c r="U85" s="32">
        <f t="shared" si="12"/>
        <v>8401170.86</v>
      </c>
      <c r="V85" s="32">
        <f t="shared" si="12"/>
        <v>0</v>
      </c>
      <c r="W85" s="32">
        <f t="shared" si="12"/>
        <v>769054.31</v>
      </c>
      <c r="X85" s="32">
        <f t="shared" si="12"/>
        <v>2044514.79</v>
      </c>
      <c r="Y85" s="32">
        <f t="shared" si="12"/>
        <v>10713563.64</v>
      </c>
      <c r="Z85" s="32">
        <f t="shared" si="12"/>
        <v>1293626.6199999999</v>
      </c>
      <c r="AA85" s="32">
        <f t="shared" si="12"/>
        <v>1448865.79</v>
      </c>
      <c r="AB85" s="32">
        <f t="shared" si="12"/>
        <v>16684657.370000001</v>
      </c>
      <c r="AC85" s="32">
        <f t="shared" si="12"/>
        <v>3082796.4099999997</v>
      </c>
      <c r="AD85" s="32">
        <f t="shared" si="12"/>
        <v>769975.84</v>
      </c>
      <c r="AE85" s="32">
        <f t="shared" si="12"/>
        <v>1524015.7100000002</v>
      </c>
      <c r="AF85" s="32">
        <f t="shared" si="12"/>
        <v>4186085.82</v>
      </c>
      <c r="AG85" s="32">
        <f t="shared" si="12"/>
        <v>17003174.240000002</v>
      </c>
      <c r="AH85" s="32">
        <f t="shared" si="12"/>
        <v>0</v>
      </c>
      <c r="AI85" s="32">
        <f t="shared" si="12"/>
        <v>5409315.5</v>
      </c>
      <c r="AJ85" s="32">
        <f t="shared" si="12"/>
        <v>56481526.08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5953982.01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383592.52999999997</v>
      </c>
      <c r="AW85" s="32">
        <f t="shared" si="12"/>
        <v>0</v>
      </c>
      <c r="AX85" s="32">
        <f t="shared" si="12"/>
        <v>0</v>
      </c>
      <c r="AY85" s="32">
        <f t="shared" si="12"/>
        <v>2500120.6999999997</v>
      </c>
      <c r="AZ85" s="32">
        <f t="shared" si="12"/>
        <v>0</v>
      </c>
      <c r="BA85" s="32">
        <f t="shared" si="12"/>
        <v>0</v>
      </c>
      <c r="BB85" s="32">
        <f t="shared" si="12"/>
        <v>3367158.73</v>
      </c>
      <c r="BC85" s="32">
        <f t="shared" si="12"/>
        <v>423678.64999999997</v>
      </c>
      <c r="BD85" s="32">
        <f t="shared" si="12"/>
        <v>31002</v>
      </c>
      <c r="BE85" s="32">
        <f t="shared" si="12"/>
        <v>15768299.2</v>
      </c>
      <c r="BF85" s="32">
        <f t="shared" si="12"/>
        <v>5151066.58</v>
      </c>
      <c r="BG85" s="32">
        <f t="shared" si="12"/>
        <v>808257.47</v>
      </c>
      <c r="BH85" s="32">
        <f t="shared" si="12"/>
        <v>29219</v>
      </c>
      <c r="BI85" s="32">
        <f t="shared" si="12"/>
        <v>0</v>
      </c>
      <c r="BJ85" s="32">
        <f t="shared" si="12"/>
        <v>0</v>
      </c>
      <c r="BK85" s="32">
        <f t="shared" si="12"/>
        <v>24532</v>
      </c>
      <c r="BL85" s="32">
        <f t="shared" si="12"/>
        <v>0</v>
      </c>
      <c r="BM85" s="32">
        <f t="shared" si="12"/>
        <v>0</v>
      </c>
      <c r="BN85" s="32">
        <f t="shared" si="12"/>
        <v>43399221.75</v>
      </c>
      <c r="BO85" s="32">
        <f t="shared" si="12"/>
        <v>225396.96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0</v>
      </c>
      <c r="BS85" s="32">
        <f t="shared" si="13"/>
        <v>632551.81999999983</v>
      </c>
      <c r="BT85" s="32">
        <f t="shared" si="13"/>
        <v>618354.56999999983</v>
      </c>
      <c r="BU85" s="32">
        <f t="shared" si="13"/>
        <v>79071.88</v>
      </c>
      <c r="BV85" s="32">
        <f t="shared" si="13"/>
        <v>51660.35</v>
      </c>
      <c r="BW85" s="32">
        <f t="shared" si="13"/>
        <v>572909.25</v>
      </c>
      <c r="BX85" s="32">
        <f t="shared" si="13"/>
        <v>1575184.71</v>
      </c>
      <c r="BY85" s="32">
        <f t="shared" si="13"/>
        <v>4348637.4099999992</v>
      </c>
      <c r="BZ85" s="32">
        <f t="shared" si="13"/>
        <v>338582.20999999996</v>
      </c>
      <c r="CA85" s="32">
        <f t="shared" si="13"/>
        <v>34173</v>
      </c>
      <c r="CB85" s="32">
        <f t="shared" si="13"/>
        <v>0</v>
      </c>
      <c r="CC85" s="32">
        <f t="shared" si="13"/>
        <v>14768871.11</v>
      </c>
      <c r="CD85" s="32">
        <f t="shared" si="13"/>
        <v>8855674.8999999985</v>
      </c>
      <c r="CE85" s="32">
        <f t="shared" si="11"/>
        <v>318181836.76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34049080</v>
      </c>
      <c r="D87" s="24">
        <v>0</v>
      </c>
      <c r="E87" s="24">
        <v>106474013</v>
      </c>
      <c r="F87" s="24">
        <v>17916860.624436</v>
      </c>
      <c r="G87" s="24">
        <v>0</v>
      </c>
      <c r="H87" s="24">
        <v>17348239</v>
      </c>
      <c r="I87" s="24">
        <v>0</v>
      </c>
      <c r="J87" s="24">
        <v>3504541.3655639989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32548102</v>
      </c>
      <c r="Q87" s="24">
        <v>1336766</v>
      </c>
      <c r="R87" s="24">
        <v>0</v>
      </c>
      <c r="S87" s="24">
        <v>0</v>
      </c>
      <c r="T87" s="24">
        <v>1668543</v>
      </c>
      <c r="U87" s="24">
        <v>28539800.16</v>
      </c>
      <c r="V87" s="24">
        <v>0</v>
      </c>
      <c r="W87" s="24">
        <v>2619496.8</v>
      </c>
      <c r="X87" s="24">
        <v>16535298.2</v>
      </c>
      <c r="Y87" s="24">
        <v>33488575.93</v>
      </c>
      <c r="Z87" s="24">
        <v>383699</v>
      </c>
      <c r="AA87" s="24">
        <v>952138.25</v>
      </c>
      <c r="AB87" s="24">
        <v>21905733.27</v>
      </c>
      <c r="AC87" s="24">
        <v>18613001</v>
      </c>
      <c r="AD87" s="24">
        <v>2517971</v>
      </c>
      <c r="AE87" s="24">
        <v>4465014</v>
      </c>
      <c r="AF87" s="24">
        <v>0</v>
      </c>
      <c r="AG87" s="24">
        <v>30589357</v>
      </c>
      <c r="AH87" s="24">
        <v>0</v>
      </c>
      <c r="AI87" s="24">
        <v>1839064.06</v>
      </c>
      <c r="AJ87" s="24">
        <v>357434.87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22650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377675378.53</v>
      </c>
    </row>
    <row r="88">
      <c r="A88" s="26" t="s">
        <v>288</v>
      </c>
      <c r="B88" s="20"/>
      <c r="C88" s="24">
        <v>122134</v>
      </c>
      <c r="D88" s="24">
        <v>0</v>
      </c>
      <c r="E88" s="24">
        <v>11984443</v>
      </c>
      <c r="F88" s="24">
        <v>1200023.2272</v>
      </c>
      <c r="G88" s="24">
        <v>0</v>
      </c>
      <c r="H88" s="24">
        <v>0</v>
      </c>
      <c r="I88" s="24">
        <v>0</v>
      </c>
      <c r="J88" s="24">
        <v>234724.77279999995</v>
      </c>
      <c r="K88" s="24">
        <v>0</v>
      </c>
      <c r="L88" s="24">
        <v>0</v>
      </c>
      <c r="M88" s="24">
        <v>0</v>
      </c>
      <c r="N88" s="24">
        <v>7193345</v>
      </c>
      <c r="O88" s="24">
        <v>0</v>
      </c>
      <c r="P88" s="24">
        <v>95845987.77</v>
      </c>
      <c r="Q88" s="24">
        <v>5180274</v>
      </c>
      <c r="R88" s="24">
        <v>8273750.25</v>
      </c>
      <c r="S88" s="24">
        <v>0</v>
      </c>
      <c r="T88" s="24">
        <v>12686226.99</v>
      </c>
      <c r="U88" s="24">
        <v>32665786.84</v>
      </c>
      <c r="V88" s="24">
        <v>0</v>
      </c>
      <c r="W88" s="24">
        <v>10849852.3</v>
      </c>
      <c r="X88" s="24">
        <v>61294899.15</v>
      </c>
      <c r="Y88" s="24">
        <v>68424318.31</v>
      </c>
      <c r="Z88" s="24">
        <v>19689642</v>
      </c>
      <c r="AA88" s="24">
        <v>11680083.45</v>
      </c>
      <c r="AB88" s="24">
        <v>58061488.6</v>
      </c>
      <c r="AC88" s="24">
        <v>3458951</v>
      </c>
      <c r="AD88" s="24">
        <v>256329</v>
      </c>
      <c r="AE88" s="24">
        <v>1583927</v>
      </c>
      <c r="AF88" s="24">
        <v>4620081.27</v>
      </c>
      <c r="AG88" s="24">
        <v>123324254.5</v>
      </c>
      <c r="AH88" s="24">
        <v>0</v>
      </c>
      <c r="AI88" s="24">
        <v>24053208.8</v>
      </c>
      <c r="AJ88" s="24">
        <v>84546697.48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10630954.33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2287407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660148790.04000008</v>
      </c>
    </row>
    <row r="89">
      <c r="A89" s="26" t="s">
        <v>289</v>
      </c>
      <c r="B89" s="20"/>
      <c r="C89" s="32">
        <f>C87+C88</f>
        <v>34171214</v>
      </c>
      <c r="D89" s="32">
        <f ref="D89:AV89" t="shared" si="15">D87+D88</f>
        <v>0</v>
      </c>
      <c r="E89" s="32">
        <f t="shared" si="15"/>
        <v>118458456</v>
      </c>
      <c r="F89" s="32">
        <f t="shared" si="15"/>
        <v>19116883.851636</v>
      </c>
      <c r="G89" s="32">
        <f t="shared" si="15"/>
        <v>0</v>
      </c>
      <c r="H89" s="32">
        <f t="shared" si="15"/>
        <v>17348239</v>
      </c>
      <c r="I89" s="32">
        <f t="shared" si="15"/>
        <v>0</v>
      </c>
      <c r="J89" s="32">
        <f t="shared" si="15"/>
        <v>3739266.1383639988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7193345</v>
      </c>
      <c r="O89" s="32">
        <f t="shared" si="15"/>
        <v>0</v>
      </c>
      <c r="P89" s="32">
        <f t="shared" si="15"/>
        <v>128394089.77</v>
      </c>
      <c r="Q89" s="32">
        <f t="shared" si="15"/>
        <v>6517040</v>
      </c>
      <c r="R89" s="32">
        <f t="shared" si="15"/>
        <v>8273750.25</v>
      </c>
      <c r="S89" s="32">
        <f t="shared" si="15"/>
        <v>0</v>
      </c>
      <c r="T89" s="32">
        <f t="shared" si="15"/>
        <v>14354769.99</v>
      </c>
      <c r="U89" s="32">
        <f t="shared" si="15"/>
        <v>61205587</v>
      </c>
      <c r="V89" s="32">
        <f t="shared" si="15"/>
        <v>0</v>
      </c>
      <c r="W89" s="32">
        <f t="shared" si="15"/>
        <v>13469349.100000002</v>
      </c>
      <c r="X89" s="32">
        <f t="shared" si="15"/>
        <v>77830197.35</v>
      </c>
      <c r="Y89" s="32">
        <f t="shared" si="15"/>
        <v>101912894.24000001</v>
      </c>
      <c r="Z89" s="32">
        <f t="shared" si="15"/>
        <v>20073341</v>
      </c>
      <c r="AA89" s="32">
        <f t="shared" si="15"/>
        <v>12632221.7</v>
      </c>
      <c r="AB89" s="32">
        <f t="shared" si="15"/>
        <v>79967221.87</v>
      </c>
      <c r="AC89" s="32">
        <f t="shared" si="15"/>
        <v>22071952</v>
      </c>
      <c r="AD89" s="32">
        <f t="shared" si="15"/>
        <v>2774300</v>
      </c>
      <c r="AE89" s="32">
        <f t="shared" si="15"/>
        <v>6048941</v>
      </c>
      <c r="AF89" s="32">
        <f t="shared" si="15"/>
        <v>4620081.27</v>
      </c>
      <c r="AG89" s="32">
        <f t="shared" si="15"/>
        <v>153913611.5</v>
      </c>
      <c r="AH89" s="32">
        <f t="shared" si="15"/>
        <v>0</v>
      </c>
      <c r="AI89" s="32">
        <f t="shared" si="15"/>
        <v>25892272.86</v>
      </c>
      <c r="AJ89" s="32">
        <f t="shared" si="15"/>
        <v>84904132.350000009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10630954.33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2310057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1037824168.5700002</v>
      </c>
    </row>
    <row r="90">
      <c r="A90" s="39" t="s">
        <v>290</v>
      </c>
      <c r="B90" s="32"/>
      <c r="C90" s="24">
        <v>23023</v>
      </c>
      <c r="D90" s="24">
        <v>0</v>
      </c>
      <c r="E90" s="24">
        <v>31270</v>
      </c>
      <c r="F90" s="24">
        <v>10465.8732</v>
      </c>
      <c r="G90" s="24">
        <v>0</v>
      </c>
      <c r="H90" s="24">
        <v>10127</v>
      </c>
      <c r="I90" s="24">
        <v>0</v>
      </c>
      <c r="J90" s="24">
        <v>2047.1268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24565</v>
      </c>
      <c r="Q90" s="24">
        <v>2498</v>
      </c>
      <c r="R90" s="24">
        <v>0</v>
      </c>
      <c r="S90" s="24">
        <v>5561</v>
      </c>
      <c r="T90" s="24">
        <v>3599</v>
      </c>
      <c r="U90" s="24">
        <v>6826</v>
      </c>
      <c r="V90" s="24">
        <v>0</v>
      </c>
      <c r="W90" s="24">
        <v>0</v>
      </c>
      <c r="X90" s="24">
        <v>0</v>
      </c>
      <c r="Y90" s="24">
        <v>24987</v>
      </c>
      <c r="Z90" s="24">
        <v>7191</v>
      </c>
      <c r="AA90" s="24">
        <v>1892</v>
      </c>
      <c r="AB90" s="24">
        <v>3258</v>
      </c>
      <c r="AC90" s="24">
        <v>1504</v>
      </c>
      <c r="AD90" s="24">
        <v>715</v>
      </c>
      <c r="AE90" s="24">
        <v>5422</v>
      </c>
      <c r="AF90" s="24">
        <v>19373</v>
      </c>
      <c r="AG90" s="24">
        <v>20928</v>
      </c>
      <c r="AH90" s="24">
        <v>0</v>
      </c>
      <c r="AI90" s="24">
        <v>19574</v>
      </c>
      <c r="AJ90" s="24">
        <v>93341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3340</v>
      </c>
      <c r="AW90" s="24">
        <v>0</v>
      </c>
      <c r="AX90" s="24">
        <v>0</v>
      </c>
      <c r="AY90" s="24">
        <v>12128</v>
      </c>
      <c r="AZ90" s="24">
        <v>0</v>
      </c>
      <c r="BA90" s="24">
        <v>0</v>
      </c>
      <c r="BB90" s="24">
        <v>3836</v>
      </c>
      <c r="BC90" s="24">
        <v>0</v>
      </c>
      <c r="BD90" s="24">
        <v>3651</v>
      </c>
      <c r="BE90" s="24">
        <v>303084</v>
      </c>
      <c r="BF90" s="24">
        <v>4105</v>
      </c>
      <c r="BG90" s="24">
        <v>1626</v>
      </c>
      <c r="BH90" s="24">
        <v>3441</v>
      </c>
      <c r="BI90" s="24">
        <v>0</v>
      </c>
      <c r="BJ90" s="24">
        <v>0</v>
      </c>
      <c r="BK90" s="24">
        <v>2889</v>
      </c>
      <c r="BL90" s="24">
        <v>0</v>
      </c>
      <c r="BM90" s="24">
        <v>0</v>
      </c>
      <c r="BN90" s="24">
        <v>5740</v>
      </c>
      <c r="BO90" s="24">
        <v>4700</v>
      </c>
      <c r="BP90" s="24">
        <v>0</v>
      </c>
      <c r="BQ90" s="24">
        <v>0</v>
      </c>
      <c r="BR90" s="24">
        <v>0</v>
      </c>
      <c r="BS90" s="24">
        <v>1881</v>
      </c>
      <c r="BT90" s="24">
        <v>2160</v>
      </c>
      <c r="BU90" s="24">
        <v>851</v>
      </c>
      <c r="BV90" s="24">
        <v>6072</v>
      </c>
      <c r="BW90" s="24">
        <v>420</v>
      </c>
      <c r="BX90" s="24">
        <v>2269</v>
      </c>
      <c r="BY90" s="24">
        <v>2602</v>
      </c>
      <c r="BZ90" s="24">
        <v>0</v>
      </c>
      <c r="CA90" s="24">
        <v>3995</v>
      </c>
      <c r="CB90" s="24">
        <v>0</v>
      </c>
      <c r="CC90" s="24">
        <v>115184</v>
      </c>
      <c r="CD90" s="264" t="s">
        <v>248</v>
      </c>
      <c r="CE90" s="32">
        <f t="shared" si="14"/>
        <v>802141</v>
      </c>
      <c r="CF90" s="32">
        <f>BE59-CE90</f>
        <v>0</v>
      </c>
    </row>
    <row r="91">
      <c r="A91" s="26" t="s">
        <v>291</v>
      </c>
      <c r="B91" s="20"/>
      <c r="C91" s="24">
        <v>30430</v>
      </c>
      <c r="D91" s="24">
        <v>0</v>
      </c>
      <c r="E91" s="24">
        <v>60456</v>
      </c>
      <c r="F91" s="24">
        <v>0</v>
      </c>
      <c r="G91" s="24">
        <v>0</v>
      </c>
      <c r="H91" s="24">
        <v>18673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92</v>
      </c>
      <c r="AB91" s="24">
        <v>0</v>
      </c>
      <c r="AC91" s="24">
        <v>0</v>
      </c>
      <c r="AD91" s="24">
        <v>0</v>
      </c>
      <c r="AE91" s="24">
        <v>11</v>
      </c>
      <c r="AF91" s="24">
        <v>0</v>
      </c>
      <c r="AG91" s="24">
        <v>7515</v>
      </c>
      <c r="AH91" s="24">
        <v>0</v>
      </c>
      <c r="AI91" s="24">
        <v>758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21" t="s">
        <v>248</v>
      </c>
      <c r="AY91" s="321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117935</v>
      </c>
      <c r="CF91" s="32">
        <f>AY59-CE91</f>
        <v>0</v>
      </c>
    </row>
    <row r="92">
      <c r="A92" s="26" t="s">
        <v>292</v>
      </c>
      <c r="B92" s="20"/>
      <c r="C92" s="24">
        <v>6854.1767366121585</v>
      </c>
      <c r="D92" s="24">
        <v>0</v>
      </c>
      <c r="E92" s="24">
        <v>9309.3908940564743</v>
      </c>
      <c r="F92" s="24">
        <v>3100.1488120162753</v>
      </c>
      <c r="G92" s="24">
        <v>0</v>
      </c>
      <c r="H92" s="24">
        <v>3014.9089089897639</v>
      </c>
      <c r="I92" s="24">
        <v>0</v>
      </c>
      <c r="J92" s="24">
        <v>625.09609547744628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7313.2455168691176</v>
      </c>
      <c r="Q92" s="24">
        <v>743.67951561730331</v>
      </c>
      <c r="R92" s="24">
        <v>0</v>
      </c>
      <c r="S92" s="24">
        <v>1655.5651666724675</v>
      </c>
      <c r="T92" s="24">
        <v>1071.4581972404624</v>
      </c>
      <c r="U92" s="24">
        <v>2032.16828406874</v>
      </c>
      <c r="V92" s="24">
        <v>0</v>
      </c>
      <c r="W92" s="24">
        <v>0</v>
      </c>
      <c r="X92" s="24">
        <v>0</v>
      </c>
      <c r="Y92" s="24">
        <v>7438.8791259926174</v>
      </c>
      <c r="Z92" s="24">
        <v>2140.83242466134</v>
      </c>
      <c r="AA92" s="24">
        <v>563.26727123616411</v>
      </c>
      <c r="AB92" s="24">
        <v>969.93909602929307</v>
      </c>
      <c r="AC92" s="24">
        <v>447.75580123635876</v>
      </c>
      <c r="AD92" s="24">
        <v>212.86263157180619</v>
      </c>
      <c r="AE92" s="24">
        <v>1614.1834802550113</v>
      </c>
      <c r="AF92" s="24">
        <v>5767.5353306861562</v>
      </c>
      <c r="AG92" s="24">
        <v>6230.4743406080561</v>
      </c>
      <c r="AH92" s="24">
        <v>0</v>
      </c>
      <c r="AI92" s="24">
        <v>5827.3750355056427</v>
      </c>
      <c r="AJ92" s="24">
        <v>27788.546704257285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994.35131391584991</v>
      </c>
      <c r="AW92" s="24">
        <v>0</v>
      </c>
      <c r="AX92" s="321" t="s">
        <v>248</v>
      </c>
      <c r="AY92" s="321" t="s">
        <v>248</v>
      </c>
      <c r="AZ92" s="29" t="s">
        <v>248</v>
      </c>
      <c r="BA92" s="24">
        <v>0</v>
      </c>
      <c r="BB92" s="24">
        <v>1142.0154611320959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1024.4200213127065</v>
      </c>
      <c r="BI92" s="24">
        <v>0</v>
      </c>
      <c r="BJ92" s="29" t="s">
        <v>248</v>
      </c>
      <c r="BK92" s="24">
        <v>860.08411553978749</v>
      </c>
      <c r="BL92" s="24">
        <v>0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559.99246151967475</v>
      </c>
      <c r="BT92" s="24">
        <v>643.05354432881313</v>
      </c>
      <c r="BU92" s="24">
        <v>253.35118806658329</v>
      </c>
      <c r="BV92" s="24">
        <v>1807.6949635021078</v>
      </c>
      <c r="BW92" s="24">
        <v>125.038189175047</v>
      </c>
      <c r="BX92" s="24">
        <v>675.50393151948</v>
      </c>
      <c r="BY92" s="24">
        <v>774.64135293683876</v>
      </c>
      <c r="BZ92" s="24">
        <v>0</v>
      </c>
      <c r="CA92" s="24">
        <v>1189.3513470340779</v>
      </c>
      <c r="CB92" s="24">
        <v>0</v>
      </c>
      <c r="CC92" s="29" t="s">
        <v>248</v>
      </c>
      <c r="CD92" s="29" t="s">
        <v>248</v>
      </c>
      <c r="CE92" s="32">
        <f t="shared" si="14"/>
        <v>104770.987259643</v>
      </c>
      <c r="CF92" s="20"/>
    </row>
    <row r="93">
      <c r="A93" s="26" t="s">
        <v>293</v>
      </c>
      <c r="B93" s="20"/>
      <c r="C93" s="24">
        <v>90186.171572967447</v>
      </c>
      <c r="D93" s="24">
        <v>0</v>
      </c>
      <c r="E93" s="24">
        <v>323624.71795188769</v>
      </c>
      <c r="F93" s="24">
        <v>69398.864229490879</v>
      </c>
      <c r="G93" s="24">
        <v>0</v>
      </c>
      <c r="H93" s="24">
        <v>39294.699765047626</v>
      </c>
      <c r="I93" s="24">
        <v>0</v>
      </c>
      <c r="J93" s="24">
        <v>13574.43111901567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60946.751259090983</v>
      </c>
      <c r="Q93" s="24">
        <v>20654.591945705281</v>
      </c>
      <c r="R93" s="24">
        <v>0</v>
      </c>
      <c r="S93" s="24">
        <v>0</v>
      </c>
      <c r="T93" s="24">
        <v>28924.006395814053</v>
      </c>
      <c r="U93" s="24">
        <v>0</v>
      </c>
      <c r="V93" s="24">
        <v>0</v>
      </c>
      <c r="W93" s="24">
        <v>24.270892063934994</v>
      </c>
      <c r="X93" s="24">
        <v>107.53959887941461</v>
      </c>
      <c r="Y93" s="24">
        <v>16738.767849406693</v>
      </c>
      <c r="Z93" s="24">
        <v>0</v>
      </c>
      <c r="AA93" s="24">
        <v>0</v>
      </c>
      <c r="AB93" s="24">
        <v>0</v>
      </c>
      <c r="AC93" s="24">
        <v>51.954869046705525</v>
      </c>
      <c r="AD93" s="24">
        <v>0</v>
      </c>
      <c r="AE93" s="24">
        <v>0</v>
      </c>
      <c r="AF93" s="24">
        <v>4020.4360746052575</v>
      </c>
      <c r="AG93" s="24">
        <v>121986.01284604248</v>
      </c>
      <c r="AH93" s="24">
        <v>0</v>
      </c>
      <c r="AI93" s="24">
        <v>45619.46263748889</v>
      </c>
      <c r="AJ93" s="24">
        <v>90002.7336798037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1100.587313643168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0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926255.99999999965</v>
      </c>
      <c r="CF93" s="32">
        <f>BA59</f>
        <v>0</v>
      </c>
    </row>
    <row r="94">
      <c r="A94" s="26" t="s">
        <v>294</v>
      </c>
      <c r="B94" s="20"/>
      <c r="C94" s="315">
        <v>28.58320589886673</v>
      </c>
      <c r="D94" s="315">
        <v>0</v>
      </c>
      <c r="E94" s="315">
        <v>102.56818518676491</v>
      </c>
      <c r="F94" s="315">
        <v>21.994968749883327</v>
      </c>
      <c r="G94" s="315">
        <v>0</v>
      </c>
      <c r="H94" s="315">
        <v>12.453888157451923</v>
      </c>
      <c r="I94" s="315">
        <v>0</v>
      </c>
      <c r="J94" s="315">
        <v>4.3022200950273932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19.316193488667597</v>
      </c>
      <c r="Q94" s="316">
        <v>6.5461749184409141</v>
      </c>
      <c r="R94" s="316">
        <v>0</v>
      </c>
      <c r="S94" s="317">
        <v>0</v>
      </c>
      <c r="T94" s="317">
        <v>9.1670465195741819</v>
      </c>
      <c r="U94" s="318">
        <v>0</v>
      </c>
      <c r="V94" s="316">
        <v>0</v>
      </c>
      <c r="W94" s="316">
        <v>0.0076923090659340859</v>
      </c>
      <c r="X94" s="316">
        <v>0.03408312431318683</v>
      </c>
      <c r="Y94" s="316">
        <v>5.3051109675480763</v>
      </c>
      <c r="Z94" s="316">
        <v>0</v>
      </c>
      <c r="AA94" s="316">
        <v>0</v>
      </c>
      <c r="AB94" s="317">
        <v>0</v>
      </c>
      <c r="AC94" s="316">
        <v>0.016466346153846154</v>
      </c>
      <c r="AD94" s="316">
        <v>0</v>
      </c>
      <c r="AE94" s="316">
        <v>0</v>
      </c>
      <c r="AF94" s="316">
        <v>1.2742192081043942</v>
      </c>
      <c r="AG94" s="316">
        <v>38.661706791037119</v>
      </c>
      <c r="AH94" s="316">
        <v>0</v>
      </c>
      <c r="AI94" s="316">
        <v>14.458430497939567</v>
      </c>
      <c r="AJ94" s="316">
        <v>28.52506790521976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0.34881527008928559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293.56347543414819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98632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4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4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/>
      <c r="D109" s="42"/>
      <c r="E109" s="43"/>
      <c r="F109" s="16"/>
    </row>
    <row r="110">
      <c r="A110" s="44" t="s">
        <v>323</v>
      </c>
      <c r="B110" s="40" t="s">
        <v>299</v>
      </c>
      <c r="C110" s="329" t="s">
        <v>324</v>
      </c>
      <c r="D110" s="42"/>
      <c r="E110" s="43"/>
      <c r="F110" s="16"/>
    </row>
    <row r="111">
      <c r="A111" s="38" t="s">
        <v>325</v>
      </c>
      <c r="B111" s="38"/>
      <c r="C111" s="38"/>
      <c r="D111" s="38"/>
      <c r="E111" s="38"/>
    </row>
    <row r="112">
      <c r="A112" s="45" t="s">
        <v>326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327</v>
      </c>
      <c r="B115" s="46" t="s">
        <v>299</v>
      </c>
      <c r="C115" s="47"/>
      <c r="D115" s="20"/>
      <c r="E115" s="20"/>
    </row>
    <row r="116">
      <c r="A116" s="45" t="s">
        <v>328</v>
      </c>
      <c r="B116" s="45"/>
      <c r="C116" s="45"/>
      <c r="D116" s="45"/>
      <c r="E116" s="45"/>
    </row>
    <row r="117">
      <c r="A117" s="20" t="s">
        <v>329</v>
      </c>
      <c r="B117" s="46" t="s">
        <v>299</v>
      </c>
      <c r="C117" s="47"/>
      <c r="D117" s="20"/>
      <c r="E117" s="20"/>
    </row>
    <row r="118">
      <c r="A118" s="20" t="s">
        <v>159</v>
      </c>
      <c r="B118" s="46" t="s">
        <v>299</v>
      </c>
      <c r="C118" s="234">
        <v>1</v>
      </c>
      <c r="D118" s="20"/>
      <c r="E118" s="20"/>
    </row>
    <row r="119">
      <c r="A119" s="45" t="s">
        <v>330</v>
      </c>
      <c r="B119" s="45"/>
      <c r="C119" s="45"/>
      <c r="D119" s="45"/>
      <c r="E119" s="45"/>
    </row>
    <row r="120">
      <c r="A120" s="20" t="s">
        <v>331</v>
      </c>
      <c r="B120" s="46" t="s">
        <v>299</v>
      </c>
      <c r="C120" s="47"/>
      <c r="D120" s="20"/>
      <c r="E120" s="20"/>
    </row>
    <row r="121">
      <c r="A121" s="20" t="s">
        <v>332</v>
      </c>
      <c r="B121" s="46" t="s">
        <v>299</v>
      </c>
      <c r="C121" s="47"/>
      <c r="D121" s="20"/>
      <c r="E121" s="20"/>
    </row>
    <row r="122">
      <c r="A122" s="20" t="s">
        <v>333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334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335</v>
      </c>
      <c r="B126" s="20"/>
      <c r="C126" s="21" t="s">
        <v>336</v>
      </c>
      <c r="D126" s="22" t="s">
        <v>242</v>
      </c>
      <c r="E126" s="20"/>
    </row>
    <row r="127">
      <c r="A127" s="20" t="s">
        <v>337</v>
      </c>
      <c r="B127" s="46" t="s">
        <v>299</v>
      </c>
      <c r="C127" s="47">
        <v>6280</v>
      </c>
      <c r="D127" s="50">
        <v>33644</v>
      </c>
      <c r="E127" s="20"/>
    </row>
    <row r="128">
      <c r="A128" s="20" t="s">
        <v>338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339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340</v>
      </c>
      <c r="B130" s="46" t="s">
        <v>299</v>
      </c>
      <c r="C130" s="47">
        <v>780</v>
      </c>
      <c r="D130" s="50">
        <v>1360</v>
      </c>
      <c r="E130" s="20"/>
    </row>
    <row r="131">
      <c r="A131" s="26" t="s">
        <v>341</v>
      </c>
      <c r="B131" s="20"/>
      <c r="C131" s="21" t="s">
        <v>194</v>
      </c>
      <c r="D131" s="20"/>
      <c r="E131" s="20"/>
    </row>
    <row r="132">
      <c r="A132" s="20" t="s">
        <v>342</v>
      </c>
      <c r="B132" s="46" t="s">
        <v>299</v>
      </c>
      <c r="C132" s="47">
        <v>10</v>
      </c>
      <c r="D132" s="20"/>
      <c r="E132" s="20"/>
    </row>
    <row r="133">
      <c r="A133" s="20" t="s">
        <v>343</v>
      </c>
      <c r="B133" s="46" t="s">
        <v>299</v>
      </c>
      <c r="C133" s="47">
        <v>6</v>
      </c>
      <c r="D133" s="20"/>
      <c r="E133" s="20"/>
    </row>
    <row r="134">
      <c r="A134" s="20" t="s">
        <v>344</v>
      </c>
      <c r="B134" s="46" t="s">
        <v>299</v>
      </c>
      <c r="C134" s="47">
        <v>74</v>
      </c>
      <c r="D134" s="20"/>
      <c r="E134" s="20"/>
    </row>
    <row r="135">
      <c r="A135" s="20" t="s">
        <v>345</v>
      </c>
      <c r="B135" s="46" t="s">
        <v>299</v>
      </c>
      <c r="C135" s="47">
        <v>0</v>
      </c>
      <c r="D135" s="20"/>
      <c r="E135" s="20"/>
    </row>
    <row r="136">
      <c r="A136" s="20" t="s">
        <v>346</v>
      </c>
      <c r="B136" s="46" t="s">
        <v>299</v>
      </c>
      <c r="C136" s="47">
        <v>17</v>
      </c>
      <c r="D136" s="20"/>
      <c r="E136" s="20"/>
    </row>
    <row r="137">
      <c r="A137" s="20" t="s">
        <v>347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14</v>
      </c>
      <c r="D138" s="20"/>
      <c r="E138" s="20"/>
    </row>
    <row r="139">
      <c r="A139" s="20" t="s">
        <v>348</v>
      </c>
      <c r="B139" s="46" t="s">
        <v>299</v>
      </c>
      <c r="C139" s="47">
        <v>0</v>
      </c>
      <c r="D139" s="20"/>
      <c r="E139" s="20"/>
    </row>
    <row r="140">
      <c r="A140" s="20" t="s">
        <v>349</v>
      </c>
      <c r="B140" s="46"/>
      <c r="C140" s="47">
        <v>0</v>
      </c>
      <c r="D140" s="20"/>
      <c r="E140" s="20"/>
    </row>
    <row r="141">
      <c r="A141" s="20" t="s">
        <v>339</v>
      </c>
      <c r="B141" s="46" t="s">
        <v>299</v>
      </c>
      <c r="C141" s="47">
        <v>0</v>
      </c>
      <c r="D141" s="20"/>
      <c r="E141" s="20"/>
    </row>
    <row r="142">
      <c r="A142" s="20" t="s">
        <v>350</v>
      </c>
      <c r="B142" s="46" t="s">
        <v>299</v>
      </c>
      <c r="C142" s="47">
        <v>0</v>
      </c>
      <c r="D142" s="20"/>
      <c r="E142" s="20"/>
    </row>
    <row r="143">
      <c r="A143" s="20" t="s">
        <v>351</v>
      </c>
      <c r="B143" s="20"/>
      <c r="C143" s="27"/>
      <c r="D143" s="20"/>
      <c r="E143" s="32">
        <f>SUM(C132:C142)</f>
        <v>121</v>
      </c>
    </row>
    <row r="144">
      <c r="A144" s="20" t="s">
        <v>352</v>
      </c>
      <c r="B144" s="46" t="s">
        <v>299</v>
      </c>
      <c r="C144" s="47">
        <v>346</v>
      </c>
      <c r="D144" s="20"/>
      <c r="E144" s="20"/>
    </row>
    <row r="145">
      <c r="A145" s="20" t="s">
        <v>353</v>
      </c>
      <c r="B145" s="46" t="s">
        <v>299</v>
      </c>
      <c r="C145" s="47">
        <v>6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354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355</v>
      </c>
      <c r="B152" s="49"/>
      <c r="C152" s="49"/>
      <c r="D152" s="49"/>
      <c r="E152" s="49"/>
    </row>
    <row r="153">
      <c r="A153" s="51" t="s">
        <v>356</v>
      </c>
      <c r="B153" s="52" t="s">
        <v>357</v>
      </c>
      <c r="C153" s="53" t="s">
        <v>358</v>
      </c>
      <c r="D153" s="52" t="s">
        <v>159</v>
      </c>
      <c r="E153" s="52" t="s">
        <v>230</v>
      </c>
    </row>
    <row r="154">
      <c r="A154" s="20" t="s">
        <v>336</v>
      </c>
      <c r="B154" s="50">
        <v>3287</v>
      </c>
      <c r="C154" s="50">
        <v>1683</v>
      </c>
      <c r="D154" s="50">
        <v>1310</v>
      </c>
      <c r="E154" s="32">
        <f>SUM(B154:D154)</f>
        <v>6280</v>
      </c>
    </row>
    <row r="155">
      <c r="A155" s="20" t="s">
        <v>242</v>
      </c>
      <c r="B155" s="50">
        <v>19613</v>
      </c>
      <c r="C155" s="50">
        <v>8197</v>
      </c>
      <c r="D155" s="50">
        <v>5834</v>
      </c>
      <c r="E155" s="32">
        <f>SUM(B155:D155)</f>
        <v>33644</v>
      </c>
    </row>
    <row r="156">
      <c r="A156" s="20" t="s">
        <v>359</v>
      </c>
      <c r="B156" s="50">
        <v>40871</v>
      </c>
      <c r="C156" s="50">
        <v>27585</v>
      </c>
      <c r="D156" s="50">
        <v>31590</v>
      </c>
      <c r="E156" s="32">
        <f>SUM(B156:D156)</f>
        <v>100046</v>
      </c>
    </row>
    <row r="157">
      <c r="A157" s="20" t="s">
        <v>287</v>
      </c>
      <c r="B157" s="50">
        <v>210231802</v>
      </c>
      <c r="C157" s="50">
        <v>93530533</v>
      </c>
      <c r="D157" s="50">
        <v>73913044</v>
      </c>
      <c r="E157" s="32">
        <f>SUM(B157:D157)</f>
        <v>377675379</v>
      </c>
      <c r="F157" s="18"/>
    </row>
    <row r="158">
      <c r="A158" s="20" t="s">
        <v>288</v>
      </c>
      <c r="B158" s="50">
        <v>306421432</v>
      </c>
      <c r="C158" s="50">
        <v>153209496</v>
      </c>
      <c r="D158" s="50">
        <v>200517862</v>
      </c>
      <c r="E158" s="32">
        <f>SUM(B158:D158)</f>
        <v>660148790</v>
      </c>
      <c r="F158" s="18"/>
    </row>
    <row r="159">
      <c r="A159" s="51" t="s">
        <v>360</v>
      </c>
      <c r="B159" s="52" t="s">
        <v>357</v>
      </c>
      <c r="C159" s="53" t="s">
        <v>358</v>
      </c>
      <c r="D159" s="52" t="s">
        <v>159</v>
      </c>
      <c r="E159" s="52" t="s">
        <v>230</v>
      </c>
    </row>
    <row r="160">
      <c r="A160" s="20" t="s">
        <v>336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>
      <c r="A161" s="20" t="s">
        <v>242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>
      <c r="A162" s="20" t="s">
        <v>359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>
      <c r="A163" s="20" t="s">
        <v>287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>
      <c r="A164" s="20" t="s">
        <v>288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>
      <c r="A165" s="51" t="s">
        <v>361</v>
      </c>
      <c r="B165" s="52" t="s">
        <v>357</v>
      </c>
      <c r="C165" s="53" t="s">
        <v>358</v>
      </c>
      <c r="D165" s="52" t="s">
        <v>159</v>
      </c>
      <c r="E165" s="52" t="s">
        <v>230</v>
      </c>
    </row>
    <row r="166">
      <c r="A166" s="20" t="s">
        <v>336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>
      <c r="A167" s="20" t="s">
        <v>242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>
      <c r="A168" s="20" t="s">
        <v>359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>
      <c r="A169" s="20" t="s">
        <v>287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>
      <c r="A170" s="20" t="s">
        <v>288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362</v>
      </c>
      <c r="B172" s="52" t="s">
        <v>363</v>
      </c>
      <c r="C172" s="53" t="s">
        <v>364</v>
      </c>
      <c r="D172" s="20"/>
      <c r="E172" s="20"/>
    </row>
    <row r="173">
      <c r="A173" s="25" t="s">
        <v>365</v>
      </c>
      <c r="B173" s="50">
        <v>92719115</v>
      </c>
      <c r="C173" s="50">
        <v>739649335</v>
      </c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366</v>
      </c>
      <c r="B179" s="38"/>
      <c r="C179" s="38"/>
      <c r="D179" s="38"/>
      <c r="E179" s="38"/>
    </row>
    <row r="180">
      <c r="A180" s="45" t="s">
        <v>367</v>
      </c>
      <c r="B180" s="45"/>
      <c r="C180" s="45"/>
      <c r="D180" s="45"/>
      <c r="E180" s="45"/>
    </row>
    <row r="181">
      <c r="A181" s="20" t="s">
        <v>368</v>
      </c>
      <c r="B181" s="46" t="s">
        <v>299</v>
      </c>
      <c r="C181" s="47">
        <v>8770280.63</v>
      </c>
      <c r="D181" s="20"/>
      <c r="E181" s="20"/>
    </row>
    <row r="182">
      <c r="A182" s="20" t="s">
        <v>369</v>
      </c>
      <c r="B182" s="46" t="s">
        <v>299</v>
      </c>
      <c r="C182" s="47">
        <v>220674.73</v>
      </c>
      <c r="D182" s="20"/>
      <c r="E182" s="20"/>
    </row>
    <row r="183">
      <c r="A183" s="25" t="s">
        <v>370</v>
      </c>
      <c r="B183" s="46" t="s">
        <v>299</v>
      </c>
      <c r="C183" s="47">
        <v>948954.01</v>
      </c>
      <c r="D183" s="20"/>
      <c r="E183" s="20"/>
    </row>
    <row r="184">
      <c r="A184" s="20" t="s">
        <v>371</v>
      </c>
      <c r="B184" s="46" t="s">
        <v>299</v>
      </c>
      <c r="C184" s="47">
        <v>15681584.66</v>
      </c>
      <c r="D184" s="20"/>
      <c r="E184" s="20"/>
    </row>
    <row r="185">
      <c r="A185" s="20" t="s">
        <v>372</v>
      </c>
      <c r="B185" s="46" t="s">
        <v>299</v>
      </c>
      <c r="C185" s="47">
        <v>108694.19</v>
      </c>
      <c r="D185" s="20"/>
      <c r="E185" s="20"/>
    </row>
    <row r="186">
      <c r="A186" s="20" t="s">
        <v>373</v>
      </c>
      <c r="B186" s="46" t="s">
        <v>299</v>
      </c>
      <c r="C186" s="47">
        <v>8099023.04</v>
      </c>
      <c r="D186" s="20"/>
      <c r="E186" s="20"/>
    </row>
    <row r="187">
      <c r="A187" s="20" t="s">
        <v>374</v>
      </c>
      <c r="B187" s="46" t="s">
        <v>299</v>
      </c>
      <c r="C187" s="47">
        <v>1177434.33</v>
      </c>
      <c r="D187" s="20"/>
      <c r="E187" s="20"/>
    </row>
    <row r="188">
      <c r="A188" s="20" t="s">
        <v>374</v>
      </c>
      <c r="B188" s="46" t="s">
        <v>299</v>
      </c>
      <c r="C188" s="47">
        <v>56946.85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35063592.440000005</v>
      </c>
      <c r="E189" s="20"/>
    </row>
    <row r="190">
      <c r="A190" s="45" t="s">
        <v>375</v>
      </c>
      <c r="B190" s="45"/>
      <c r="C190" s="45"/>
      <c r="D190" s="45"/>
      <c r="E190" s="45"/>
    </row>
    <row r="191">
      <c r="A191" s="20" t="s">
        <v>376</v>
      </c>
      <c r="B191" s="46" t="s">
        <v>299</v>
      </c>
      <c r="C191" s="47">
        <v>582023.969999999</v>
      </c>
      <c r="D191" s="20"/>
      <c r="E191" s="20"/>
    </row>
    <row r="192">
      <c r="A192" s="20" t="s">
        <v>377</v>
      </c>
      <c r="B192" s="46" t="s">
        <v>299</v>
      </c>
      <c r="C192" s="47">
        <v>567717.87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1149741.8399999989</v>
      </c>
      <c r="E193" s="20"/>
    </row>
    <row r="194">
      <c r="A194" s="45" t="s">
        <v>378</v>
      </c>
      <c r="B194" s="45"/>
      <c r="C194" s="45"/>
      <c r="D194" s="45"/>
      <c r="E194" s="45"/>
    </row>
    <row r="195">
      <c r="A195" s="20" t="s">
        <v>379</v>
      </c>
      <c r="B195" s="46" t="s">
        <v>299</v>
      </c>
      <c r="C195" s="47">
        <v>1884016.9</v>
      </c>
      <c r="D195" s="20"/>
      <c r="E195" s="20"/>
    </row>
    <row r="196">
      <c r="A196" s="20" t="s">
        <v>380</v>
      </c>
      <c r="B196" s="46" t="s">
        <v>299</v>
      </c>
      <c r="C196" s="47">
        <v>882578.49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2766595.3899999997</v>
      </c>
      <c r="E197" s="20"/>
    </row>
    <row r="198">
      <c r="A198" s="45" t="s">
        <v>381</v>
      </c>
      <c r="B198" s="45"/>
      <c r="C198" s="45"/>
      <c r="D198" s="45"/>
      <c r="E198" s="45"/>
    </row>
    <row r="199">
      <c r="A199" s="20" t="s">
        <v>382</v>
      </c>
      <c r="B199" s="46" t="s">
        <v>299</v>
      </c>
      <c r="C199" s="47">
        <v>353542.55</v>
      </c>
      <c r="D199" s="20"/>
      <c r="E199" s="20"/>
    </row>
    <row r="200">
      <c r="A200" s="20" t="s">
        <v>383</v>
      </c>
      <c r="B200" s="46" t="s">
        <v>299</v>
      </c>
      <c r="C200" s="47">
        <v>6679823.22</v>
      </c>
      <c r="D200" s="20"/>
      <c r="E200" s="20"/>
    </row>
    <row r="201">
      <c r="A201" s="20" t="s">
        <v>159</v>
      </c>
      <c r="B201" s="46" t="s">
        <v>299</v>
      </c>
      <c r="C201" s="47">
        <v>0</v>
      </c>
      <c r="D201" s="20"/>
      <c r="E201" s="20"/>
    </row>
    <row r="202">
      <c r="A202" s="20" t="s">
        <v>230</v>
      </c>
      <c r="B202" s="20"/>
      <c r="C202" s="27"/>
      <c r="D202" s="32">
        <f>SUM(C199:C201)</f>
        <v>7033365.77</v>
      </c>
      <c r="E202" s="20"/>
    </row>
    <row r="203">
      <c r="A203" s="45" t="s">
        <v>384</v>
      </c>
      <c r="B203" s="45"/>
      <c r="C203" s="45"/>
      <c r="D203" s="45"/>
      <c r="E203" s="45"/>
    </row>
    <row r="204">
      <c r="A204" s="20" t="s">
        <v>385</v>
      </c>
      <c r="B204" s="46" t="s">
        <v>299</v>
      </c>
      <c r="C204" s="47">
        <v>0</v>
      </c>
      <c r="D204" s="20"/>
      <c r="E204" s="20"/>
    </row>
    <row r="205">
      <c r="A205" s="20" t="s">
        <v>386</v>
      </c>
      <c r="B205" s="46" t="s">
        <v>299</v>
      </c>
      <c r="C205" s="47">
        <v>27662.53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27662.53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387</v>
      </c>
      <c r="B208" s="38"/>
      <c r="C208" s="38"/>
      <c r="D208" s="38"/>
      <c r="E208" s="38"/>
    </row>
    <row r="209">
      <c r="A209" s="49" t="s">
        <v>388</v>
      </c>
      <c r="B209" s="38"/>
      <c r="C209" s="38"/>
      <c r="D209" s="38"/>
      <c r="E209" s="38"/>
    </row>
    <row r="210">
      <c r="A210" s="26"/>
      <c r="B210" s="22" t="s">
        <v>389</v>
      </c>
      <c r="C210" s="21" t="s">
        <v>390</v>
      </c>
      <c r="D210" s="22" t="s">
        <v>391</v>
      </c>
      <c r="E210" s="22" t="s">
        <v>392</v>
      </c>
    </row>
    <row r="211">
      <c r="A211" s="20" t="s">
        <v>393</v>
      </c>
      <c r="B211" s="50">
        <v>3531051.5500000007</v>
      </c>
      <c r="C211" s="47">
        <v>0</v>
      </c>
      <c r="D211" s="50">
        <v>102326.08</v>
      </c>
      <c r="E211" s="32">
        <f ref="E211:E219" t="shared" si="16">SUM(B211:C211)-D211</f>
        <v>3428725.4700000007</v>
      </c>
    </row>
    <row r="212">
      <c r="A212" s="20" t="s">
        <v>394</v>
      </c>
      <c r="B212" s="50">
        <v>2712760.33</v>
      </c>
      <c r="C212" s="47">
        <v>11999.24</v>
      </c>
      <c r="D212" s="50">
        <v>0</v>
      </c>
      <c r="E212" s="32">
        <f t="shared" si="16"/>
        <v>2724759.5700000003</v>
      </c>
    </row>
    <row r="213">
      <c r="A213" s="20" t="s">
        <v>395</v>
      </c>
      <c r="B213" s="50">
        <v>170019369.97</v>
      </c>
      <c r="C213" s="47">
        <v>1911735.9200000002</v>
      </c>
      <c r="D213" s="50">
        <v>372281.27</v>
      </c>
      <c r="E213" s="32">
        <f t="shared" si="16"/>
        <v>171558824.61999998</v>
      </c>
    </row>
    <row r="214">
      <c r="A214" s="20" t="s">
        <v>396</v>
      </c>
      <c r="B214" s="50">
        <v>0</v>
      </c>
      <c r="C214" s="47">
        <v>0</v>
      </c>
      <c r="D214" s="50">
        <v>0</v>
      </c>
      <c r="E214" s="32">
        <f t="shared" si="16"/>
        <v>0</v>
      </c>
    </row>
    <row r="215">
      <c r="A215" s="20" t="s">
        <v>397</v>
      </c>
      <c r="B215" s="50">
        <v>27193633.69</v>
      </c>
      <c r="C215" s="47">
        <v>7270737.1800000006</v>
      </c>
      <c r="D215" s="50">
        <v>0</v>
      </c>
      <c r="E215" s="32">
        <f t="shared" si="16"/>
        <v>34464370.870000005</v>
      </c>
    </row>
    <row r="216">
      <c r="A216" s="20" t="s">
        <v>398</v>
      </c>
      <c r="B216" s="50">
        <v>67748700.69</v>
      </c>
      <c r="C216" s="47">
        <v>6536452.9399999995</v>
      </c>
      <c r="D216" s="50">
        <v>1413520.02</v>
      </c>
      <c r="E216" s="32">
        <f t="shared" si="16"/>
        <v>72871633.61</v>
      </c>
    </row>
    <row r="217">
      <c r="A217" s="20" t="s">
        <v>399</v>
      </c>
      <c r="B217" s="50">
        <v>0</v>
      </c>
      <c r="C217" s="47">
        <v>0</v>
      </c>
      <c r="D217" s="50">
        <v>0</v>
      </c>
      <c r="E217" s="32">
        <f t="shared" si="16"/>
        <v>0</v>
      </c>
    </row>
    <row r="218">
      <c r="A218" s="20" t="s">
        <v>400</v>
      </c>
      <c r="B218" s="50">
        <v>2028762.51</v>
      </c>
      <c r="C218" s="47">
        <v>0</v>
      </c>
      <c r="D218" s="50">
        <v>0</v>
      </c>
      <c r="E218" s="32">
        <f t="shared" si="16"/>
        <v>2028762.51</v>
      </c>
    </row>
    <row r="219">
      <c r="A219" s="20" t="s">
        <v>401</v>
      </c>
      <c r="B219" s="50">
        <v>7180708.55</v>
      </c>
      <c r="C219" s="47">
        <v>-1239868.8999999985</v>
      </c>
      <c r="D219" s="50">
        <v>0</v>
      </c>
      <c r="E219" s="32">
        <f t="shared" si="16"/>
        <v>5940839.6500000013</v>
      </c>
    </row>
    <row r="220">
      <c r="A220" s="20" t="s">
        <v>230</v>
      </c>
      <c r="B220" s="32">
        <f>SUM(B211:B219)</f>
        <v>280414987.29</v>
      </c>
      <c r="C220" s="266">
        <f>SUM(C211:C219)</f>
        <v>14491056.38</v>
      </c>
      <c r="D220" s="32">
        <f>SUM(D211:D219)</f>
        <v>1888127.37</v>
      </c>
      <c r="E220" s="32">
        <f>SUM(E211:E219)</f>
        <v>293017916.29999995</v>
      </c>
    </row>
    <row r="221">
      <c r="A221" s="20"/>
      <c r="B221" s="20"/>
      <c r="C221" s="27"/>
      <c r="D221" s="20"/>
      <c r="E221" s="20"/>
    </row>
    <row r="222">
      <c r="A222" s="49" t="s">
        <v>402</v>
      </c>
      <c r="B222" s="49"/>
      <c r="C222" s="49"/>
      <c r="D222" s="49"/>
      <c r="E222" s="49"/>
    </row>
    <row r="223">
      <c r="A223" s="26"/>
      <c r="B223" s="22" t="s">
        <v>389</v>
      </c>
      <c r="C223" s="21" t="s">
        <v>390</v>
      </c>
      <c r="D223" s="22" t="s">
        <v>391</v>
      </c>
      <c r="E223" s="22" t="s">
        <v>392</v>
      </c>
    </row>
    <row r="224">
      <c r="A224" s="20" t="s">
        <v>393</v>
      </c>
      <c r="B224" s="55"/>
      <c r="C224" s="54"/>
      <c r="D224" s="55"/>
      <c r="E224" s="20"/>
    </row>
    <row r="225">
      <c r="A225" s="20" t="s">
        <v>394</v>
      </c>
      <c r="B225" s="50">
        <v>2280833.1900000004</v>
      </c>
      <c r="C225" s="47">
        <v>47937.310000000005</v>
      </c>
      <c r="D225" s="50">
        <v>0</v>
      </c>
      <c r="E225" s="32">
        <f ref="E225:E232" t="shared" si="17">SUM(B225:C225)-D225</f>
        <v>2328770.5000000005</v>
      </c>
    </row>
    <row r="226">
      <c r="A226" s="20" t="s">
        <v>395</v>
      </c>
      <c r="B226" s="50">
        <v>119606638.53999998</v>
      </c>
      <c r="C226" s="47">
        <v>4885460.6000000006</v>
      </c>
      <c r="D226" s="50">
        <v>371281.27</v>
      </c>
      <c r="E226" s="32">
        <f t="shared" si="17"/>
        <v>124120817.86999998</v>
      </c>
    </row>
    <row r="227">
      <c r="A227" s="20" t="s">
        <v>396</v>
      </c>
      <c r="B227" s="50">
        <v>0</v>
      </c>
      <c r="C227" s="47">
        <v>0</v>
      </c>
      <c r="D227" s="50">
        <v>0</v>
      </c>
      <c r="E227" s="32">
        <f t="shared" si="17"/>
        <v>0</v>
      </c>
    </row>
    <row r="228">
      <c r="A228" s="20" t="s">
        <v>397</v>
      </c>
      <c r="B228" s="50">
        <v>13093479.540000014</v>
      </c>
      <c r="C228" s="47">
        <v>1685872.0699999998</v>
      </c>
      <c r="D228" s="50">
        <v>0</v>
      </c>
      <c r="E228" s="32">
        <f t="shared" si="17"/>
        <v>14779351.610000014</v>
      </c>
    </row>
    <row r="229">
      <c r="A229" s="20" t="s">
        <v>398</v>
      </c>
      <c r="B229" s="50">
        <v>54531253.700000294</v>
      </c>
      <c r="C229" s="47">
        <v>3930217.23</v>
      </c>
      <c r="D229" s="50">
        <v>1391812.02</v>
      </c>
      <c r="E229" s="32">
        <f t="shared" si="17"/>
        <v>57069658.910000287</v>
      </c>
    </row>
    <row r="230">
      <c r="A230" s="20" t="s">
        <v>399</v>
      </c>
      <c r="B230" s="50">
        <v>0</v>
      </c>
      <c r="C230" s="47">
        <v>0</v>
      </c>
      <c r="D230" s="50">
        <v>0</v>
      </c>
      <c r="E230" s="32">
        <f t="shared" si="17"/>
        <v>0</v>
      </c>
    </row>
    <row r="231">
      <c r="A231" s="20" t="s">
        <v>400</v>
      </c>
      <c r="B231" s="50">
        <v>792366.00999999989</v>
      </c>
      <c r="C231" s="47">
        <v>192563.09000000003</v>
      </c>
      <c r="D231" s="50">
        <v>0</v>
      </c>
      <c r="E231" s="32">
        <f t="shared" si="17"/>
        <v>984929.09999999986</v>
      </c>
    </row>
    <row r="232">
      <c r="A232" s="20" t="s">
        <v>401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>
      <c r="A233" s="20" t="s">
        <v>230</v>
      </c>
      <c r="B233" s="32">
        <f>SUM(B224:B232)</f>
        <v>190304570.98000026</v>
      </c>
      <c r="C233" s="266">
        <f>SUM(C224:C232)</f>
        <v>10742050.3</v>
      </c>
      <c r="D233" s="32">
        <f>SUM(D224:D232)</f>
        <v>1763093.29</v>
      </c>
      <c r="E233" s="32">
        <f>SUM(E224:E232)</f>
        <v>199283527.99000028</v>
      </c>
    </row>
    <row r="234">
      <c r="A234" s="20"/>
      <c r="B234" s="20"/>
      <c r="C234" s="27"/>
      <c r="D234" s="20"/>
      <c r="E234" s="20"/>
    </row>
    <row r="235">
      <c r="A235" s="38" t="s">
        <v>403</v>
      </c>
      <c r="B235" s="38"/>
      <c r="C235" s="38"/>
      <c r="D235" s="38"/>
      <c r="E235" s="38"/>
    </row>
    <row r="236">
      <c r="A236" s="38"/>
      <c r="B236" s="345" t="s">
        <v>404</v>
      </c>
      <c r="C236" s="345"/>
      <c r="D236" s="38"/>
      <c r="E236" s="38"/>
    </row>
    <row r="237">
      <c r="A237" s="56" t="s">
        <v>404</v>
      </c>
      <c r="B237" s="38"/>
      <c r="C237" s="47">
        <v>10655077.95</v>
      </c>
      <c r="D237" s="40">
        <f>C237</f>
        <v>10655077.95</v>
      </c>
      <c r="E237" s="38"/>
    </row>
    <row r="238">
      <c r="A238" s="45" t="s">
        <v>405</v>
      </c>
      <c r="B238" s="45"/>
      <c r="C238" s="45"/>
      <c r="D238" s="45"/>
      <c r="E238" s="45"/>
    </row>
    <row r="239">
      <c r="A239" s="20" t="s">
        <v>406</v>
      </c>
      <c r="B239" s="46" t="s">
        <v>299</v>
      </c>
      <c r="C239" s="47">
        <v>394408488.28</v>
      </c>
      <c r="D239" s="20"/>
      <c r="E239" s="20"/>
    </row>
    <row r="240">
      <c r="A240" s="20" t="s">
        <v>407</v>
      </c>
      <c r="B240" s="46" t="s">
        <v>299</v>
      </c>
      <c r="C240" s="47">
        <v>200717119.46</v>
      </c>
      <c r="D240" s="20"/>
      <c r="E240" s="20"/>
    </row>
    <row r="241">
      <c r="A241" s="20" t="s">
        <v>408</v>
      </c>
      <c r="B241" s="46" t="s">
        <v>299</v>
      </c>
      <c r="C241" s="47">
        <v>5542115.11</v>
      </c>
      <c r="D241" s="20"/>
      <c r="E241" s="20"/>
    </row>
    <row r="242">
      <c r="A242" s="20" t="s">
        <v>409</v>
      </c>
      <c r="B242" s="46" t="s">
        <v>299</v>
      </c>
      <c r="C242" s="47">
        <v>30451991.59</v>
      </c>
      <c r="D242" s="20"/>
      <c r="E242" s="20"/>
    </row>
    <row r="243">
      <c r="A243" s="20" t="s">
        <v>410</v>
      </c>
      <c r="B243" s="46" t="s">
        <v>299</v>
      </c>
      <c r="C243" s="47">
        <v>61699494.26</v>
      </c>
      <c r="D243" s="20"/>
      <c r="E243" s="20"/>
    </row>
    <row r="244">
      <c r="A244" s="20" t="s">
        <v>411</v>
      </c>
      <c r="B244" s="46" t="s">
        <v>299</v>
      </c>
      <c r="C244" s="47">
        <v>3912407.45</v>
      </c>
      <c r="D244" s="20"/>
      <c r="E244" s="20"/>
    </row>
    <row r="245">
      <c r="A245" s="20" t="s">
        <v>412</v>
      </c>
      <c r="B245" s="20"/>
      <c r="C245" s="27"/>
      <c r="D245" s="32">
        <f>SUM(C239:C244)</f>
        <v>696731616.1500001</v>
      </c>
      <c r="E245" s="20"/>
    </row>
    <row r="246">
      <c r="A246" s="45" t="s">
        <v>413</v>
      </c>
      <c r="B246" s="45"/>
      <c r="C246" s="45"/>
      <c r="D246" s="45"/>
      <c r="E246" s="45"/>
    </row>
    <row r="247">
      <c r="A247" s="26" t="s">
        <v>414</v>
      </c>
      <c r="B247" s="46" t="s">
        <v>299</v>
      </c>
      <c r="C247" s="47">
        <v>15161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415</v>
      </c>
      <c r="B249" s="46" t="s">
        <v>299</v>
      </c>
      <c r="C249" s="47">
        <v>3971975.56</v>
      </c>
      <c r="D249" s="20"/>
      <c r="E249" s="20"/>
    </row>
    <row r="250">
      <c r="A250" s="26" t="s">
        <v>416</v>
      </c>
      <c r="B250" s="46" t="s">
        <v>299</v>
      </c>
      <c r="C250" s="47">
        <v>10957867.52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417</v>
      </c>
      <c r="B252" s="20"/>
      <c r="C252" s="27"/>
      <c r="D252" s="32">
        <f>SUM(C249:C251)</f>
        <v>14929843.08</v>
      </c>
      <c r="E252" s="20"/>
    </row>
    <row r="253">
      <c r="A253" s="45" t="s">
        <v>418</v>
      </c>
      <c r="B253" s="45"/>
      <c r="C253" s="45"/>
      <c r="D253" s="45"/>
      <c r="E253" s="45"/>
    </row>
    <row r="254">
      <c r="A254" s="20" t="s">
        <v>419</v>
      </c>
      <c r="B254" s="46" t="s">
        <v>299</v>
      </c>
      <c r="C254" s="47">
        <v>202954.55</v>
      </c>
      <c r="D254" s="20"/>
      <c r="E254" s="20"/>
    </row>
    <row r="255">
      <c r="A255" s="20" t="s">
        <v>418</v>
      </c>
      <c r="B255" s="46" t="s">
        <v>299</v>
      </c>
      <c r="C255" s="47">
        <v>0</v>
      </c>
      <c r="D255" s="20"/>
      <c r="E255" s="20"/>
    </row>
    <row r="256">
      <c r="A256" s="20" t="s">
        <v>420</v>
      </c>
      <c r="B256" s="20"/>
      <c r="C256" s="27"/>
      <c r="D256" s="32">
        <f>SUM(C254:C255)</f>
        <v>202954.55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421</v>
      </c>
      <c r="B258" s="20"/>
      <c r="C258" s="27"/>
      <c r="D258" s="32">
        <f>D237+D245+D252+D256</f>
        <v>722519491.73000014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422</v>
      </c>
      <c r="B264" s="38"/>
      <c r="C264" s="38"/>
      <c r="D264" s="38"/>
      <c r="E264" s="38"/>
    </row>
    <row r="265">
      <c r="A265" s="45" t="s">
        <v>423</v>
      </c>
      <c r="B265" s="45"/>
      <c r="C265" s="45"/>
      <c r="D265" s="45"/>
      <c r="E265" s="45"/>
    </row>
    <row r="266">
      <c r="A266" s="20" t="s">
        <v>424</v>
      </c>
      <c r="B266" s="46" t="s">
        <v>299</v>
      </c>
      <c r="C266" s="47">
        <v>0</v>
      </c>
      <c r="D266" s="20"/>
      <c r="E266" s="20"/>
    </row>
    <row r="267">
      <c r="A267" s="20" t="s">
        <v>425</v>
      </c>
      <c r="B267" s="46" t="s">
        <v>299</v>
      </c>
      <c r="C267" s="47">
        <v>0</v>
      </c>
      <c r="D267" s="20"/>
      <c r="E267" s="20"/>
    </row>
    <row r="268">
      <c r="A268" s="20" t="s">
        <v>426</v>
      </c>
      <c r="B268" s="46" t="s">
        <v>299</v>
      </c>
      <c r="C268" s="47">
        <v>139010044.97</v>
      </c>
      <c r="D268" s="20"/>
      <c r="E268" s="20"/>
    </row>
    <row r="269">
      <c r="A269" s="20" t="s">
        <v>427</v>
      </c>
      <c r="B269" s="46" t="s">
        <v>299</v>
      </c>
      <c r="C269" s="47">
        <v>101511186</v>
      </c>
      <c r="D269" s="20"/>
      <c r="E269" s="20"/>
    </row>
    <row r="270">
      <c r="A270" s="20" t="s">
        <v>428</v>
      </c>
      <c r="B270" s="46" t="s">
        <v>299</v>
      </c>
      <c r="C270" s="47">
        <v>409290.77000000142</v>
      </c>
      <c r="D270" s="20"/>
      <c r="E270" s="20"/>
    </row>
    <row r="271">
      <c r="A271" s="20" t="s">
        <v>429</v>
      </c>
      <c r="B271" s="46" t="s">
        <v>299</v>
      </c>
      <c r="C271" s="47">
        <v>0</v>
      </c>
      <c r="D271" s="20"/>
      <c r="E271" s="20"/>
    </row>
    <row r="272">
      <c r="A272" s="20" t="s">
        <v>430</v>
      </c>
      <c r="B272" s="46" t="s">
        <v>299</v>
      </c>
      <c r="C272" s="47">
        <v>0</v>
      </c>
      <c r="D272" s="20"/>
      <c r="E272" s="20"/>
    </row>
    <row r="273">
      <c r="A273" s="20" t="s">
        <v>431</v>
      </c>
      <c r="B273" s="46" t="s">
        <v>299</v>
      </c>
      <c r="C273" s="47">
        <v>0</v>
      </c>
      <c r="D273" s="20"/>
      <c r="E273" s="20"/>
    </row>
    <row r="274">
      <c r="A274" s="20" t="s">
        <v>432</v>
      </c>
      <c r="B274" s="46" t="s">
        <v>299</v>
      </c>
      <c r="C274" s="47">
        <v>0</v>
      </c>
      <c r="D274" s="20"/>
      <c r="E274" s="20"/>
    </row>
    <row r="275">
      <c r="A275" s="20" t="s">
        <v>433</v>
      </c>
      <c r="B275" s="46" t="s">
        <v>299</v>
      </c>
      <c r="C275" s="47">
        <v>0</v>
      </c>
      <c r="D275" s="20"/>
      <c r="E275" s="20"/>
    </row>
    <row r="276">
      <c r="A276" s="20" t="s">
        <v>434</v>
      </c>
      <c r="B276" s="20"/>
      <c r="C276" s="27"/>
      <c r="D276" s="32">
        <f>SUM(C266:C268)-C269+SUM(C270:C275)</f>
        <v>37908149.74</v>
      </c>
      <c r="E276" s="20"/>
    </row>
    <row r="277">
      <c r="A277" s="45" t="s">
        <v>435</v>
      </c>
      <c r="B277" s="45"/>
      <c r="C277" s="45"/>
      <c r="D277" s="45"/>
      <c r="E277" s="45"/>
    </row>
    <row r="278">
      <c r="A278" s="20" t="s">
        <v>424</v>
      </c>
      <c r="B278" s="46" t="s">
        <v>299</v>
      </c>
      <c r="C278" s="47">
        <v>0</v>
      </c>
      <c r="D278" s="20"/>
      <c r="E278" s="20"/>
    </row>
    <row r="279">
      <c r="A279" s="20" t="s">
        <v>425</v>
      </c>
      <c r="B279" s="46" t="s">
        <v>299</v>
      </c>
      <c r="C279" s="47">
        <v>0</v>
      </c>
      <c r="D279" s="20"/>
      <c r="E279" s="20"/>
    </row>
    <row r="280">
      <c r="A280" s="20" t="s">
        <v>436</v>
      </c>
      <c r="B280" s="46" t="s">
        <v>299</v>
      </c>
      <c r="C280" s="47">
        <v>0</v>
      </c>
      <c r="D280" s="20"/>
      <c r="E280" s="20"/>
    </row>
    <row r="281">
      <c r="A281" s="20" t="s">
        <v>437</v>
      </c>
      <c r="B281" s="20"/>
      <c r="C281" s="27"/>
      <c r="D281" s="32">
        <f>SUM(C278:C280)</f>
        <v>0</v>
      </c>
      <c r="E281" s="20"/>
    </row>
    <row r="282">
      <c r="A282" s="45" t="s">
        <v>438</v>
      </c>
      <c r="B282" s="45"/>
      <c r="C282" s="45"/>
      <c r="D282" s="45"/>
      <c r="E282" s="45"/>
    </row>
    <row r="283">
      <c r="A283" s="20" t="s">
        <v>393</v>
      </c>
      <c r="B283" s="46" t="s">
        <v>299</v>
      </c>
      <c r="C283" s="47">
        <v>3428725.4700000007</v>
      </c>
      <c r="D283" s="20"/>
      <c r="E283" s="20"/>
    </row>
    <row r="284">
      <c r="A284" s="20" t="s">
        <v>394</v>
      </c>
      <c r="B284" s="46" t="s">
        <v>299</v>
      </c>
      <c r="C284" s="47">
        <v>2724759.5700000003</v>
      </c>
      <c r="D284" s="20"/>
      <c r="E284" s="20"/>
    </row>
    <row r="285">
      <c r="A285" s="20" t="s">
        <v>395</v>
      </c>
      <c r="B285" s="46" t="s">
        <v>299</v>
      </c>
      <c r="C285" s="47">
        <v>171558824.61999998</v>
      </c>
      <c r="D285" s="20"/>
      <c r="E285" s="20"/>
    </row>
    <row r="286">
      <c r="A286" s="20" t="s">
        <v>439</v>
      </c>
      <c r="B286" s="46" t="s">
        <v>299</v>
      </c>
      <c r="C286" s="47">
        <v>0</v>
      </c>
      <c r="D286" s="20"/>
      <c r="E286" s="20"/>
    </row>
    <row r="287">
      <c r="A287" s="20" t="s">
        <v>440</v>
      </c>
      <c r="B287" s="46" t="s">
        <v>299</v>
      </c>
      <c r="C287" s="47">
        <v>34464370.870000005</v>
      </c>
      <c r="D287" s="20"/>
      <c r="E287" s="20"/>
    </row>
    <row r="288">
      <c r="A288" s="20" t="s">
        <v>441</v>
      </c>
      <c r="B288" s="46" t="s">
        <v>299</v>
      </c>
      <c r="C288" s="47">
        <v>72871633.61</v>
      </c>
      <c r="D288" s="20"/>
      <c r="E288" s="20"/>
    </row>
    <row r="289">
      <c r="A289" s="20" t="s">
        <v>400</v>
      </c>
      <c r="B289" s="46" t="s">
        <v>299</v>
      </c>
      <c r="C289" s="47">
        <v>2028762.51</v>
      </c>
      <c r="D289" s="20"/>
      <c r="E289" s="20"/>
    </row>
    <row r="290">
      <c r="A290" s="20" t="s">
        <v>401</v>
      </c>
      <c r="B290" s="46" t="s">
        <v>299</v>
      </c>
      <c r="C290" s="47">
        <v>5940839.6500000013</v>
      </c>
      <c r="D290" s="20"/>
      <c r="E290" s="20"/>
    </row>
    <row r="291">
      <c r="A291" s="20" t="s">
        <v>442</v>
      </c>
      <c r="B291" s="20"/>
      <c r="C291" s="27"/>
      <c r="D291" s="32">
        <f>SUM(C283:C290)</f>
        <v>293017916.29999995</v>
      </c>
      <c r="E291" s="20"/>
    </row>
    <row r="292">
      <c r="A292" s="20" t="s">
        <v>443</v>
      </c>
      <c r="B292" s="46" t="s">
        <v>299</v>
      </c>
      <c r="C292" s="47">
        <v>199283527.99000028</v>
      </c>
      <c r="D292" s="20"/>
      <c r="E292" s="20"/>
    </row>
    <row r="293">
      <c r="A293" s="20" t="s">
        <v>444</v>
      </c>
      <c r="B293" s="20"/>
      <c r="C293" s="27"/>
      <c r="D293" s="32">
        <f>D291-C292</f>
        <v>93734388.309999675</v>
      </c>
      <c r="E293" s="20"/>
    </row>
    <row r="294">
      <c r="A294" s="45" t="s">
        <v>445</v>
      </c>
      <c r="B294" s="45"/>
      <c r="C294" s="45"/>
      <c r="D294" s="45"/>
      <c r="E294" s="45"/>
    </row>
    <row r="295">
      <c r="A295" s="20" t="s">
        <v>446</v>
      </c>
      <c r="B295" s="46" t="s">
        <v>299</v>
      </c>
      <c r="C295" s="47">
        <v>0</v>
      </c>
      <c r="D295" s="20"/>
      <c r="E295" s="20"/>
    </row>
    <row r="296">
      <c r="A296" s="20" t="s">
        <v>447</v>
      </c>
      <c r="B296" s="46" t="s">
        <v>299</v>
      </c>
      <c r="C296" s="47">
        <v>0</v>
      </c>
      <c r="D296" s="20"/>
      <c r="E296" s="20"/>
    </row>
    <row r="297">
      <c r="A297" s="20" t="s">
        <v>448</v>
      </c>
      <c r="B297" s="46" t="s">
        <v>299</v>
      </c>
      <c r="C297" s="47">
        <v>0</v>
      </c>
      <c r="D297" s="20"/>
      <c r="E297" s="20"/>
    </row>
    <row r="298">
      <c r="A298" s="20" t="s">
        <v>436</v>
      </c>
      <c r="B298" s="46" t="s">
        <v>299</v>
      </c>
      <c r="C298" s="47">
        <v>5610061</v>
      </c>
      <c r="D298" s="20"/>
      <c r="E298" s="20"/>
    </row>
    <row r="299">
      <c r="A299" s="20" t="s">
        <v>449</v>
      </c>
      <c r="B299" s="20"/>
      <c r="C299" s="27"/>
      <c r="D299" s="32">
        <f>C295-C296+C297+C298</f>
        <v>5610061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450</v>
      </c>
      <c r="B301" s="45"/>
      <c r="C301" s="45"/>
      <c r="D301" s="45"/>
      <c r="E301" s="45"/>
    </row>
    <row r="302">
      <c r="A302" s="20" t="s">
        <v>451</v>
      </c>
      <c r="B302" s="46" t="s">
        <v>299</v>
      </c>
      <c r="C302" s="47">
        <v>0</v>
      </c>
      <c r="D302" s="20"/>
      <c r="E302" s="20"/>
    </row>
    <row r="303">
      <c r="A303" s="20" t="s">
        <v>452</v>
      </c>
      <c r="B303" s="46" t="s">
        <v>299</v>
      </c>
      <c r="C303" s="47">
        <v>0</v>
      </c>
      <c r="D303" s="20"/>
      <c r="E303" s="20"/>
    </row>
    <row r="304">
      <c r="A304" s="20" t="s">
        <v>453</v>
      </c>
      <c r="B304" s="46" t="s">
        <v>299</v>
      </c>
      <c r="C304" s="47">
        <v>0</v>
      </c>
      <c r="D304" s="20"/>
      <c r="E304" s="20"/>
    </row>
    <row r="305">
      <c r="A305" s="20" t="s">
        <v>454</v>
      </c>
      <c r="B305" s="46" t="s">
        <v>299</v>
      </c>
      <c r="C305" s="47">
        <v>0</v>
      </c>
      <c r="D305" s="20"/>
      <c r="E305" s="20"/>
    </row>
    <row r="306">
      <c r="A306" s="20" t="s">
        <v>455</v>
      </c>
      <c r="B306" s="20"/>
      <c r="C306" s="27"/>
      <c r="D306" s="32">
        <f>SUM(C302:C305)</f>
        <v>0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456</v>
      </c>
      <c r="B308" s="20"/>
      <c r="C308" s="27"/>
      <c r="D308" s="32">
        <f>D276+D281+D293+D299+D306</f>
        <v>137252599.04999968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457</v>
      </c>
      <c r="B312" s="38"/>
      <c r="C312" s="38"/>
      <c r="D312" s="38"/>
      <c r="E312" s="38"/>
    </row>
    <row r="313">
      <c r="A313" s="45" t="s">
        <v>458</v>
      </c>
      <c r="B313" s="45"/>
      <c r="C313" s="45"/>
      <c r="D313" s="45"/>
      <c r="E313" s="45"/>
    </row>
    <row r="314">
      <c r="A314" s="20" t="s">
        <v>459</v>
      </c>
      <c r="B314" s="46" t="s">
        <v>299</v>
      </c>
      <c r="C314" s="47">
        <v>0</v>
      </c>
      <c r="D314" s="20"/>
      <c r="E314" s="20"/>
    </row>
    <row r="315">
      <c r="A315" s="20" t="s">
        <v>460</v>
      </c>
      <c r="B315" s="46" t="s">
        <v>299</v>
      </c>
      <c r="C315" s="47">
        <v>0</v>
      </c>
      <c r="D315" s="20"/>
      <c r="E315" s="20"/>
    </row>
    <row r="316">
      <c r="A316" s="20" t="s">
        <v>461</v>
      </c>
      <c r="B316" s="46" t="s">
        <v>299</v>
      </c>
      <c r="C316" s="47">
        <v>0</v>
      </c>
      <c r="D316" s="20"/>
      <c r="E316" s="20"/>
    </row>
    <row r="317">
      <c r="A317" s="20" t="s">
        <v>462</v>
      </c>
      <c r="B317" s="46" t="s">
        <v>299</v>
      </c>
      <c r="C317" s="47">
        <v>0</v>
      </c>
      <c r="D317" s="20"/>
      <c r="E317" s="20"/>
    </row>
    <row r="318">
      <c r="A318" s="20" t="s">
        <v>463</v>
      </c>
      <c r="B318" s="46" t="s">
        <v>299</v>
      </c>
      <c r="C318" s="47">
        <v>10817553.03</v>
      </c>
      <c r="D318" s="20"/>
      <c r="E318" s="20"/>
    </row>
    <row r="319">
      <c r="A319" s="20" t="s">
        <v>464</v>
      </c>
      <c r="B319" s="46" t="s">
        <v>299</v>
      </c>
      <c r="C319" s="47">
        <v>344731.25</v>
      </c>
      <c r="D319" s="20"/>
      <c r="E319" s="20"/>
    </row>
    <row r="320">
      <c r="A320" s="20" t="s">
        <v>465</v>
      </c>
      <c r="B320" s="46" t="s">
        <v>299</v>
      </c>
      <c r="C320" s="47">
        <v>0</v>
      </c>
      <c r="D320" s="20"/>
      <c r="E320" s="20"/>
    </row>
    <row r="321">
      <c r="A321" s="20" t="s">
        <v>466</v>
      </c>
      <c r="B321" s="46" t="s">
        <v>299</v>
      </c>
      <c r="C321" s="47">
        <v>0</v>
      </c>
      <c r="D321" s="20"/>
      <c r="E321" s="20"/>
    </row>
    <row r="322">
      <c r="A322" s="20" t="s">
        <v>467</v>
      </c>
      <c r="B322" s="46" t="s">
        <v>299</v>
      </c>
      <c r="C322" s="47">
        <v>0</v>
      </c>
      <c r="D322" s="20"/>
      <c r="E322" s="20"/>
    </row>
    <row r="323">
      <c r="A323" s="20" t="s">
        <v>468</v>
      </c>
      <c r="B323" s="46" t="s">
        <v>299</v>
      </c>
      <c r="C323" s="47">
        <v>0</v>
      </c>
      <c r="D323" s="20"/>
      <c r="E323" s="20"/>
    </row>
    <row r="324">
      <c r="A324" s="20" t="s">
        <v>469</v>
      </c>
      <c r="B324" s="20"/>
      <c r="C324" s="27"/>
      <c r="D324" s="32">
        <f>SUM(C314:C323)</f>
        <v>11162284.28</v>
      </c>
      <c r="E324" s="20"/>
    </row>
    <row r="325">
      <c r="A325" s="45" t="s">
        <v>470</v>
      </c>
      <c r="B325" s="45"/>
      <c r="C325" s="45"/>
      <c r="D325" s="45"/>
      <c r="E325" s="45"/>
    </row>
    <row r="326">
      <c r="A326" s="20" t="s">
        <v>471</v>
      </c>
      <c r="B326" s="46" t="s">
        <v>299</v>
      </c>
      <c r="C326" s="47">
        <v>0</v>
      </c>
      <c r="D326" s="20"/>
      <c r="E326" s="20"/>
    </row>
    <row r="327">
      <c r="A327" s="20" t="s">
        <v>472</v>
      </c>
      <c r="B327" s="46" t="s">
        <v>299</v>
      </c>
      <c r="C327" s="47">
        <v>0</v>
      </c>
      <c r="D327" s="20"/>
      <c r="E327" s="20"/>
    </row>
    <row r="328">
      <c r="A328" s="20" t="s">
        <v>473</v>
      </c>
      <c r="B328" s="46" t="s">
        <v>299</v>
      </c>
      <c r="C328" s="47">
        <v>0</v>
      </c>
      <c r="D328" s="20"/>
      <c r="E328" s="20"/>
    </row>
    <row r="329">
      <c r="A329" s="20" t="s">
        <v>474</v>
      </c>
      <c r="B329" s="20"/>
      <c r="C329" s="27"/>
      <c r="D329" s="32">
        <f>SUM(C326:C328)</f>
        <v>0</v>
      </c>
      <c r="E329" s="20"/>
    </row>
    <row r="330">
      <c r="A330" s="45" t="s">
        <v>475</v>
      </c>
      <c r="B330" s="45"/>
      <c r="C330" s="45"/>
      <c r="D330" s="45"/>
      <c r="E330" s="45"/>
    </row>
    <row r="331">
      <c r="A331" s="20" t="s">
        <v>476</v>
      </c>
      <c r="B331" s="46" t="s">
        <v>299</v>
      </c>
      <c r="C331" s="47">
        <v>0</v>
      </c>
      <c r="D331" s="20"/>
      <c r="E331" s="20"/>
    </row>
    <row r="332">
      <c r="A332" s="20" t="s">
        <v>477</v>
      </c>
      <c r="B332" s="46" t="s">
        <v>299</v>
      </c>
      <c r="C332" s="47">
        <v>0</v>
      </c>
      <c r="D332" s="20"/>
      <c r="E332" s="20"/>
    </row>
    <row r="333">
      <c r="A333" s="20" t="s">
        <v>478</v>
      </c>
      <c r="B333" s="46" t="s">
        <v>299</v>
      </c>
      <c r="C333" s="47">
        <v>0</v>
      </c>
      <c r="D333" s="20"/>
      <c r="E333" s="20"/>
    </row>
    <row r="334">
      <c r="A334" s="26" t="s">
        <v>479</v>
      </c>
      <c r="B334" s="46" t="s">
        <v>299</v>
      </c>
      <c r="C334" s="47">
        <v>0</v>
      </c>
      <c r="D334" s="20"/>
      <c r="E334" s="20"/>
    </row>
    <row r="335">
      <c r="A335" s="20" t="s">
        <v>480</v>
      </c>
      <c r="B335" s="46" t="s">
        <v>299</v>
      </c>
      <c r="C335" s="47">
        <v>0</v>
      </c>
      <c r="D335" s="20"/>
      <c r="E335" s="20"/>
    </row>
    <row r="336">
      <c r="A336" s="26" t="s">
        <v>481</v>
      </c>
      <c r="B336" s="46" t="s">
        <v>299</v>
      </c>
      <c r="C336" s="47">
        <v>0</v>
      </c>
      <c r="D336" s="20"/>
      <c r="E336" s="20"/>
    </row>
    <row r="337">
      <c r="A337" s="26" t="s">
        <v>482</v>
      </c>
      <c r="B337" s="46" t="s">
        <v>299</v>
      </c>
      <c r="C337" s="272"/>
      <c r="D337" s="20"/>
      <c r="E337" s="20"/>
    </row>
    <row r="338">
      <c r="A338" s="20" t="s">
        <v>483</v>
      </c>
      <c r="B338" s="46" t="s">
        <v>299</v>
      </c>
      <c r="C338" s="47">
        <v>0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0</v>
      </c>
      <c r="E339" s="20"/>
    </row>
    <row r="340">
      <c r="A340" s="20" t="s">
        <v>484</v>
      </c>
      <c r="B340" s="20"/>
      <c r="C340" s="27"/>
      <c r="D340" s="32">
        <f>C323</f>
        <v>0</v>
      </c>
      <c r="E340" s="20"/>
    </row>
    <row r="341">
      <c r="A341" s="20" t="s">
        <v>485</v>
      </c>
      <c r="B341" s="20"/>
      <c r="C341" s="27"/>
      <c r="D341" s="32">
        <f>D339-D340</f>
        <v>0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486</v>
      </c>
      <c r="B343" s="46" t="s">
        <v>299</v>
      </c>
      <c r="C343" s="327">
        <v>126090314.76999968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487</v>
      </c>
      <c r="B345" s="46" t="s">
        <v>299</v>
      </c>
      <c r="C345" s="234">
        <v>0</v>
      </c>
      <c r="D345" s="20"/>
      <c r="E345" s="20"/>
    </row>
    <row r="346">
      <c r="A346" s="20" t="s">
        <v>488</v>
      </c>
      <c r="B346" s="46" t="s">
        <v>299</v>
      </c>
      <c r="C346" s="234">
        <v>0</v>
      </c>
      <c r="D346" s="20"/>
      <c r="E346" s="20"/>
    </row>
    <row r="347">
      <c r="A347" s="20" t="s">
        <v>489</v>
      </c>
      <c r="B347" s="46" t="s">
        <v>299</v>
      </c>
      <c r="C347" s="234">
        <v>0</v>
      </c>
      <c r="D347" s="20"/>
      <c r="E347" s="20"/>
    </row>
    <row r="348">
      <c r="A348" s="20" t="s">
        <v>490</v>
      </c>
      <c r="B348" s="46" t="s">
        <v>299</v>
      </c>
      <c r="C348" s="234">
        <v>0</v>
      </c>
      <c r="D348" s="20"/>
      <c r="E348" s="20"/>
    </row>
    <row r="349">
      <c r="A349" s="20" t="s">
        <v>491</v>
      </c>
      <c r="B349" s="46" t="s">
        <v>299</v>
      </c>
      <c r="C349" s="234">
        <v>0</v>
      </c>
      <c r="D349" s="20"/>
      <c r="E349" s="20"/>
    </row>
    <row r="350">
      <c r="A350" s="20" t="s">
        <v>492</v>
      </c>
      <c r="B350" s="20"/>
      <c r="C350" s="27"/>
      <c r="D350" s="32">
        <f>D324+D329+D341+C343+C347+C348</f>
        <v>137252599.04999968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493</v>
      </c>
      <c r="B352" s="20"/>
      <c r="C352" s="27"/>
      <c r="D352" s="32">
        <f>D308</f>
        <v>137252599.04999968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494</v>
      </c>
      <c r="B356" s="38"/>
      <c r="C356" s="38"/>
      <c r="D356" s="38"/>
      <c r="E356" s="38"/>
    </row>
    <row r="357">
      <c r="A357" s="45" t="s">
        <v>495</v>
      </c>
      <c r="B357" s="45"/>
      <c r="C357" s="45"/>
      <c r="D357" s="45"/>
      <c r="E357" s="45"/>
    </row>
    <row r="358">
      <c r="A358" s="20" t="s">
        <v>496</v>
      </c>
      <c r="B358" s="46" t="s">
        <v>299</v>
      </c>
      <c r="C358" s="234">
        <v>377675378.53</v>
      </c>
      <c r="D358" s="20"/>
      <c r="E358" s="20"/>
    </row>
    <row r="359">
      <c r="A359" s="20" t="s">
        <v>497</v>
      </c>
      <c r="B359" s="46" t="s">
        <v>299</v>
      </c>
      <c r="C359" s="234">
        <v>660148790.04000008</v>
      </c>
      <c r="D359" s="20"/>
      <c r="E359" s="20"/>
    </row>
    <row r="360">
      <c r="A360" s="20" t="s">
        <v>498</v>
      </c>
      <c r="B360" s="20"/>
      <c r="C360" s="27"/>
      <c r="D360" s="32">
        <f>SUM(C358:C359)</f>
        <v>1037824168.57</v>
      </c>
      <c r="E360" s="20"/>
    </row>
    <row r="361">
      <c r="A361" s="45" t="s">
        <v>499</v>
      </c>
      <c r="B361" s="45"/>
      <c r="C361" s="45"/>
      <c r="D361" s="45"/>
      <c r="E361" s="45"/>
    </row>
    <row r="362">
      <c r="A362" s="20" t="s">
        <v>404</v>
      </c>
      <c r="B362" s="45"/>
      <c r="C362" s="47">
        <v>10655077.95</v>
      </c>
      <c r="D362" s="20"/>
      <c r="E362" s="45"/>
    </row>
    <row r="363">
      <c r="A363" s="20" t="s">
        <v>500</v>
      </c>
      <c r="B363" s="46" t="s">
        <v>299</v>
      </c>
      <c r="C363" s="47">
        <v>696731616.1500001</v>
      </c>
      <c r="D363" s="20"/>
      <c r="E363" s="20"/>
    </row>
    <row r="364">
      <c r="A364" s="20" t="s">
        <v>501</v>
      </c>
      <c r="B364" s="46" t="s">
        <v>299</v>
      </c>
      <c r="C364" s="47">
        <v>14929843.08</v>
      </c>
      <c r="D364" s="20"/>
      <c r="E364" s="20"/>
    </row>
    <row r="365">
      <c r="A365" s="20" t="s">
        <v>502</v>
      </c>
      <c r="B365" s="46" t="s">
        <v>299</v>
      </c>
      <c r="C365" s="47">
        <v>202954.55</v>
      </c>
      <c r="D365" s="20"/>
      <c r="E365" s="20"/>
    </row>
    <row r="366">
      <c r="A366" s="20" t="s">
        <v>421</v>
      </c>
      <c r="B366" s="20"/>
      <c r="C366" s="27"/>
      <c r="D366" s="32">
        <f>SUM(C362:C365)</f>
        <v>722519491.73000014</v>
      </c>
      <c r="E366" s="20"/>
    </row>
    <row r="367">
      <c r="A367" s="20" t="s">
        <v>503</v>
      </c>
      <c r="B367" s="20"/>
      <c r="C367" s="27"/>
      <c r="D367" s="32">
        <f>D360-D366</f>
        <v>315304676.83999991</v>
      </c>
      <c r="E367" s="20"/>
    </row>
    <row r="368">
      <c r="A368" s="58" t="s">
        <v>504</v>
      </c>
      <c r="B368" s="45"/>
      <c r="C368" s="45"/>
      <c r="D368" s="45"/>
      <c r="E368" s="45"/>
    </row>
    <row r="369">
      <c r="A369" s="32" t="s">
        <v>505</v>
      </c>
      <c r="B369" s="20"/>
      <c r="C369" s="20"/>
      <c r="D369" s="20"/>
      <c r="E369" s="20"/>
    </row>
    <row r="370">
      <c r="A370" s="59" t="s">
        <v>506</v>
      </c>
      <c r="B370" s="40" t="s">
        <v>299</v>
      </c>
      <c r="C370" s="273"/>
      <c r="D370" s="32"/>
      <c r="E370" s="32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36">
        <v>15458950.490000002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517</v>
      </c>
      <c r="B381" s="46"/>
      <c r="C381" s="46"/>
      <c r="D381" s="32">
        <f>SUM(C370:C380)</f>
        <v>15458950.490000002</v>
      </c>
      <c r="E381" s="32"/>
      <c r="F381" s="60"/>
    </row>
    <row r="382">
      <c r="A382" s="56" t="s">
        <v>518</v>
      </c>
      <c r="B382" s="46" t="s">
        <v>299</v>
      </c>
      <c r="C382" s="47">
        <v>0</v>
      </c>
      <c r="D382" s="32"/>
      <c r="E382" s="20"/>
    </row>
    <row r="383">
      <c r="A383" s="20" t="s">
        <v>519</v>
      </c>
      <c r="B383" s="20"/>
      <c r="C383" s="27"/>
      <c r="D383" s="32">
        <f>D381+C382</f>
        <v>15458950.490000002</v>
      </c>
      <c r="E383" s="20"/>
    </row>
    <row r="384">
      <c r="A384" s="20" t="s">
        <v>520</v>
      </c>
      <c r="B384" s="20"/>
      <c r="C384" s="27"/>
      <c r="D384" s="32">
        <f>D367+D383</f>
        <v>330763627.32999992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521</v>
      </c>
      <c r="B388" s="45"/>
      <c r="C388" s="45"/>
      <c r="D388" s="45"/>
      <c r="E388" s="45"/>
    </row>
    <row r="389">
      <c r="A389" s="20" t="s">
        <v>522</v>
      </c>
      <c r="B389" s="46" t="s">
        <v>299</v>
      </c>
      <c r="C389" s="47">
        <v>153350695.39000002</v>
      </c>
      <c r="D389" s="20"/>
      <c r="E389" s="20"/>
    </row>
    <row r="390">
      <c r="A390" s="20" t="s">
        <v>11</v>
      </c>
      <c r="B390" s="46" t="s">
        <v>299</v>
      </c>
      <c r="C390" s="47">
        <v>35063592.440000005</v>
      </c>
      <c r="D390" s="20"/>
      <c r="E390" s="20"/>
    </row>
    <row r="391">
      <c r="A391" s="20" t="s">
        <v>264</v>
      </c>
      <c r="B391" s="46" t="s">
        <v>299</v>
      </c>
      <c r="C391" s="47">
        <v>5989519.1</v>
      </c>
      <c r="D391" s="20"/>
      <c r="E391" s="20"/>
    </row>
    <row r="392">
      <c r="A392" s="20" t="s">
        <v>523</v>
      </c>
      <c r="B392" s="46" t="s">
        <v>299</v>
      </c>
      <c r="C392" s="47">
        <v>44350599.010000005</v>
      </c>
      <c r="D392" s="20"/>
      <c r="E392" s="20"/>
    </row>
    <row r="393">
      <c r="A393" s="20" t="s">
        <v>524</v>
      </c>
      <c r="B393" s="46" t="s">
        <v>299</v>
      </c>
      <c r="C393" s="47">
        <v>2776457.46</v>
      </c>
      <c r="D393" s="20"/>
      <c r="E393" s="20"/>
    </row>
    <row r="394">
      <c r="A394" s="20" t="s">
        <v>525</v>
      </c>
      <c r="B394" s="46" t="s">
        <v>299</v>
      </c>
      <c r="C394" s="47">
        <v>59238609.190000005</v>
      </c>
      <c r="D394" s="20"/>
      <c r="E394" s="20"/>
    </row>
    <row r="395">
      <c r="A395" s="20" t="s">
        <v>16</v>
      </c>
      <c r="B395" s="46" t="s">
        <v>299</v>
      </c>
      <c r="C395" s="47">
        <v>20423410.652179196</v>
      </c>
      <c r="D395" s="20"/>
      <c r="E395" s="20"/>
    </row>
    <row r="396">
      <c r="A396" s="20" t="s">
        <v>526</v>
      </c>
      <c r="B396" s="46" t="s">
        <v>299</v>
      </c>
      <c r="C396" s="47">
        <v>1149741.8399999989</v>
      </c>
      <c r="D396" s="20"/>
      <c r="E396" s="20"/>
    </row>
    <row r="397">
      <c r="A397" s="20" t="s">
        <v>527</v>
      </c>
      <c r="B397" s="46" t="s">
        <v>299</v>
      </c>
      <c r="C397" s="47">
        <v>2766595.3899999997</v>
      </c>
      <c r="D397" s="20"/>
      <c r="E397" s="20"/>
    </row>
    <row r="398">
      <c r="A398" s="20" t="s">
        <v>528</v>
      </c>
      <c r="B398" s="46" t="s">
        <v>299</v>
      </c>
      <c r="C398" s="47">
        <v>7033365.77</v>
      </c>
      <c r="D398" s="20"/>
      <c r="E398" s="20"/>
    </row>
    <row r="399">
      <c r="A399" s="20" t="s">
        <v>529</v>
      </c>
      <c r="B399" s="46" t="s">
        <v>299</v>
      </c>
      <c r="C399" s="47">
        <v>27662.53</v>
      </c>
      <c r="D399" s="20"/>
      <c r="E399" s="20"/>
    </row>
    <row r="400">
      <c r="A400" s="32" t="s">
        <v>530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531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1470543.5700000003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532</v>
      </c>
      <c r="B415" s="46"/>
      <c r="C415" s="46"/>
      <c r="D415" s="32">
        <f>SUM(C401:C414)</f>
        <v>1470543.5700000003</v>
      </c>
      <c r="E415" s="32"/>
      <c r="F415" s="60"/>
      <c r="G415" s="60"/>
      <c r="H415" s="60"/>
      <c r="I415" s="60"/>
    </row>
    <row r="416">
      <c r="A416" s="32" t="s">
        <v>533</v>
      </c>
      <c r="B416" s="20"/>
      <c r="C416" s="27"/>
      <c r="D416" s="32">
        <f>SUM(C389:C399,D415)</f>
        <v>333640792.34217912</v>
      </c>
      <c r="E416" s="32"/>
    </row>
    <row r="417">
      <c r="A417" s="32" t="s">
        <v>534</v>
      </c>
      <c r="B417" s="20"/>
      <c r="C417" s="27"/>
      <c r="D417" s="32">
        <f>D384-D416</f>
        <v>-2877165.0121791959</v>
      </c>
      <c r="E417" s="32"/>
    </row>
    <row r="418">
      <c r="A418" s="32" t="s">
        <v>535</v>
      </c>
      <c r="B418" s="20"/>
      <c r="C418" s="236">
        <v>-161515.27</v>
      </c>
      <c r="D418" s="32"/>
      <c r="E418" s="32"/>
    </row>
    <row r="419">
      <c r="A419" s="59" t="s">
        <v>536</v>
      </c>
      <c r="B419" s="46" t="s">
        <v>299</v>
      </c>
      <c r="C419" s="273"/>
      <c r="D419" s="32"/>
      <c r="E419" s="32"/>
    </row>
    <row r="420">
      <c r="A420" s="61" t="s">
        <v>537</v>
      </c>
      <c r="B420" s="20"/>
      <c r="C420" s="20"/>
      <c r="D420" s="32">
        <f>SUM(C418:C419)</f>
        <v>-161515.27</v>
      </c>
      <c r="E420" s="32"/>
    </row>
    <row r="421">
      <c r="A421" s="32" t="s">
        <v>538</v>
      </c>
      <c r="B421" s="20"/>
      <c r="C421" s="27"/>
      <c r="D421" s="32">
        <f>D417+D420</f>
        <v>-3038680.2821791959</v>
      </c>
      <c r="E421" s="32"/>
      <c r="F421" s="63"/>
    </row>
    <row r="422">
      <c r="A422" s="32" t="s">
        <v>539</v>
      </c>
      <c r="B422" s="46" t="s">
        <v>299</v>
      </c>
      <c r="C422" s="47">
        <v>0</v>
      </c>
      <c r="D422" s="32"/>
      <c r="E422" s="20"/>
    </row>
    <row r="423">
      <c r="A423" s="20" t="s">
        <v>540</v>
      </c>
      <c r="B423" s="46" t="s">
        <v>299</v>
      </c>
      <c r="C423" s="47">
        <v>0</v>
      </c>
      <c r="D423" s="32"/>
      <c r="E423" s="20"/>
    </row>
    <row r="424">
      <c r="A424" s="20" t="s">
        <v>541</v>
      </c>
      <c r="B424" s="20"/>
      <c r="C424" s="27"/>
      <c r="D424" s="32">
        <f>D421+C422-C423</f>
        <v>-3038680.2821791959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542</v>
      </c>
      <c r="D612" s="256">
        <f>CE90-(BE90+CD90)</f>
        <v>499057</v>
      </c>
      <c r="E612" s="258">
        <f>SUM(C624:D647)+SUM(C668:D713)</f>
        <v>253158746.2260654</v>
      </c>
      <c r="F612" s="258">
        <f>CE64-(AX64+BD64+BE64+BG64+BJ64+BN64+BP64+BQ64+CB64+CC64+CD64)</f>
        <v>44166473.780000009</v>
      </c>
      <c r="G612" s="256">
        <f>CE91-(AX91+AY91+BD91+BE91+BG91+BJ91+BN91+BP91+BQ91+CB91+CC91+CD91)</f>
        <v>117935</v>
      </c>
      <c r="H612" s="261">
        <f>CE60-(AX60+AY60+AZ60+BD60+BE60+BG60+BJ60+BN60+BO60+BP60+BQ60+BR60+CB60+CC60+CD60)</f>
        <v>1186.9007615471703</v>
      </c>
      <c r="I612" s="256">
        <f>CE92-(AX92+AY92+AZ92+BD92+BE92+BF92+BG92+BJ92+BN92+BO92+BP92+BQ92+BR92+CB92+CC92+CD92)</f>
        <v>104770.987259643</v>
      </c>
      <c r="J612" s="256">
        <f>CE93-(AX93+AY93+AZ93+BA93+BD93+BE93+BF93+BG93+BJ93+BN93+BO93+BP93+BQ93+BR93+CB93+CC93+CD93)</f>
        <v>926255.99999999965</v>
      </c>
      <c r="K612" s="256">
        <f>CE89-(AW89+AX89+AY89+AZ89+BA89+BB89+BC89+BD89+BE89+BF89+BG89+BH89+BI89+BJ89+BK89+BL89+BM89+BN89+BO89+BP89+BQ89+BR89+BS89+BT89+BU89+BV89+BW89+BX89+CB89+CC89+CD89)</f>
        <v>1037824168.5700002</v>
      </c>
      <c r="L612" s="262">
        <f>CE94-(AW94+AX94+AY94+AZ94+BA94+BB94+BC94+BD94+BE94+BF94+BG94+BH94+BI94+BJ94+BK94+BL94+BM94+BN94+BO94+BP94+BQ94+BR94+BS94+BT94+BU94+BV94+BW94+BX94+BY94+BZ94+CA94+CB94+CC94+CD94)</f>
        <v>293.56347543414819</v>
      </c>
    </row>
    <row r="613" ht="12.6" customHeight="1" s="231" customFormat="1">
      <c r="A613" s="251"/>
      <c r="C613" s="249" t="s">
        <v>543</v>
      </c>
      <c r="D613" s="257" t="s">
        <v>544</v>
      </c>
      <c r="E613" s="259" t="s">
        <v>545</v>
      </c>
      <c r="F613" s="260" t="s">
        <v>546</v>
      </c>
      <c r="G613" s="257" t="s">
        <v>547</v>
      </c>
      <c r="H613" s="260" t="s">
        <v>548</v>
      </c>
      <c r="I613" s="257" t="s">
        <v>549</v>
      </c>
      <c r="J613" s="257" t="s">
        <v>550</v>
      </c>
      <c r="K613" s="249" t="s">
        <v>551</v>
      </c>
      <c r="L613" s="250" t="s">
        <v>552</v>
      </c>
    </row>
    <row r="614" ht="12.6" customHeight="1" s="231" customFormat="1">
      <c r="A614" s="251">
        <v>8430</v>
      </c>
      <c r="B614" s="250" t="s">
        <v>167</v>
      </c>
      <c r="C614" s="256">
        <f>BE85</f>
        <v>15768299.2</v>
      </c>
      <c r="D614" s="256"/>
      <c r="E614" s="258"/>
      <c r="F614" s="258"/>
      <c r="G614" s="256"/>
      <c r="H614" s="258"/>
      <c r="I614" s="256"/>
      <c r="J614" s="256"/>
      <c r="N614" s="252" t="s">
        <v>553</v>
      </c>
    </row>
    <row r="615" ht="12.6" customHeight="1" s="231" customFormat="1">
      <c r="A615" s="251"/>
      <c r="B615" s="250" t="s">
        <v>554</v>
      </c>
      <c r="C615" s="256">
        <f>CD69-CD84</f>
        <v>8855674.8999999985</v>
      </c>
      <c r="D615" s="256">
        <f>SUM(C614:C615)</f>
        <v>24623974.099999998</v>
      </c>
      <c r="E615" s="258"/>
      <c r="F615" s="258"/>
      <c r="G615" s="256"/>
      <c r="H615" s="258"/>
      <c r="I615" s="256"/>
      <c r="J615" s="256"/>
      <c r="N615" s="252" t="s">
        <v>555</v>
      </c>
    </row>
    <row r="616" ht="12.6" customHeight="1" s="231" customFormat="1">
      <c r="A616" s="251">
        <v>8310</v>
      </c>
      <c r="B616" s="255" t="s">
        <v>556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557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8470</v>
      </c>
      <c r="B618" s="255" t="s">
        <v>559</v>
      </c>
      <c r="C618" s="256">
        <f>BG85</f>
        <v>808257.47</v>
      </c>
      <c r="D618" s="256">
        <f>(D615/D612)*BG90</f>
        <v>80228.474676439757</v>
      </c>
      <c r="E618" s="258"/>
      <c r="F618" s="258"/>
      <c r="G618" s="256"/>
      <c r="H618" s="258"/>
      <c r="I618" s="256"/>
      <c r="J618" s="256"/>
      <c r="N618" s="252" t="s">
        <v>560</v>
      </c>
    </row>
    <row r="619" ht="12.6" customHeight="1" s="231" customFormat="1">
      <c r="A619" s="251">
        <v>8610</v>
      </c>
      <c r="B619" s="255" t="s">
        <v>561</v>
      </c>
      <c r="C619" s="256">
        <f>BN85</f>
        <v>43399221.75</v>
      </c>
      <c r="D619" s="256">
        <f>(D615/D612)*BN90</f>
        <v>283217.37062900624</v>
      </c>
      <c r="E619" s="258"/>
      <c r="F619" s="258"/>
      <c r="G619" s="256"/>
      <c r="H619" s="258"/>
      <c r="I619" s="256"/>
      <c r="J619" s="256"/>
      <c r="N619" s="252" t="s">
        <v>562</v>
      </c>
    </row>
    <row r="620" ht="12.6" customHeight="1" s="231" customFormat="1">
      <c r="A620" s="251">
        <v>8790</v>
      </c>
      <c r="B620" s="255" t="s">
        <v>563</v>
      </c>
      <c r="C620" s="256">
        <f>CC85</f>
        <v>14768871.11</v>
      </c>
      <c r="D620" s="256">
        <f>(D615/D612)*CC90</f>
        <v>5683294.3586291736</v>
      </c>
      <c r="E620" s="258"/>
      <c r="F620" s="258"/>
      <c r="G620" s="256"/>
      <c r="H620" s="258"/>
      <c r="I620" s="256"/>
      <c r="J620" s="256"/>
      <c r="N620" s="252" t="s">
        <v>564</v>
      </c>
    </row>
    <row r="621" ht="12.6" customHeight="1" s="231" customFormat="1">
      <c r="A621" s="251">
        <v>8630</v>
      </c>
      <c r="B621" s="255" t="s">
        <v>565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566</v>
      </c>
    </row>
    <row r="622" ht="12.6" customHeight="1" s="231" customFormat="1">
      <c r="A622" s="251">
        <v>8770</v>
      </c>
      <c r="B622" s="250" t="s">
        <v>567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568</v>
      </c>
    </row>
    <row r="623" ht="12.6" customHeight="1" s="231" customFormat="1">
      <c r="A623" s="251">
        <v>8640</v>
      </c>
      <c r="B623" s="255" t="s">
        <v>569</v>
      </c>
      <c r="C623" s="256">
        <f>BQ85</f>
        <v>0</v>
      </c>
      <c r="D623" s="256">
        <f>(D615/D612)*BQ90</f>
        <v>0</v>
      </c>
      <c r="E623" s="258">
        <f>SUM(C616:D623)</f>
        <v>65023090.533934616</v>
      </c>
      <c r="F623" s="258"/>
      <c r="G623" s="256"/>
      <c r="H623" s="258"/>
      <c r="I623" s="256"/>
      <c r="J623" s="256"/>
      <c r="N623" s="252" t="s">
        <v>570</v>
      </c>
    </row>
    <row r="624" ht="12.6" customHeight="1" s="231" customFormat="1">
      <c r="A624" s="251">
        <v>8420</v>
      </c>
      <c r="B624" s="255" t="s">
        <v>166</v>
      </c>
      <c r="C624" s="256">
        <f>BD85</f>
        <v>31002</v>
      </c>
      <c r="D624" s="256">
        <f>(D615/D612)*BD90</f>
        <v>180144.01048196896</v>
      </c>
      <c r="E624" s="258">
        <f>(E623/E612)*SUM(C624:D624)</f>
        <v>54232.241074492224</v>
      </c>
      <c r="F624" s="258">
        <f>SUM(C624:E624)</f>
        <v>265378.25155646121</v>
      </c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8320</v>
      </c>
      <c r="B625" s="255" t="s">
        <v>162</v>
      </c>
      <c r="C625" s="256">
        <f>AY85</f>
        <v>2500120.6999999997</v>
      </c>
      <c r="D625" s="256">
        <f>(D615/D612)*AY90</f>
        <v>598407.71271578188</v>
      </c>
      <c r="E625" s="258">
        <f>(E623/E612)*SUM(C625:D625)</f>
        <v>795848.04596114287</v>
      </c>
      <c r="F625" s="258">
        <f>(F624/F612)*AY64</f>
        <v>4874.0087861026523</v>
      </c>
      <c r="G625" s="256">
        <f>SUM(C625:F625)</f>
        <v>3899250.4674630272</v>
      </c>
      <c r="H625" s="258"/>
      <c r="I625" s="256"/>
      <c r="J625" s="256"/>
      <c r="N625" s="252" t="s">
        <v>572</v>
      </c>
    </row>
    <row r="626" ht="12.6" customHeight="1" s="231" customFormat="1">
      <c r="A626" s="251">
        <v>8650</v>
      </c>
      <c r="B626" s="255" t="s">
        <v>179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8620</v>
      </c>
      <c r="B627" s="250" t="s">
        <v>574</v>
      </c>
      <c r="C627" s="256">
        <f>BO85</f>
        <v>225396.96</v>
      </c>
      <c r="D627" s="256">
        <f>(D615/D612)*BO90</f>
        <v>231902.72507949991</v>
      </c>
      <c r="E627" s="258">
        <f>(E623/E612)*SUM(C627:D627)</f>
        <v>117456.09925525288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575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574755.78433475283</v>
      </c>
      <c r="I628" s="256"/>
      <c r="J628" s="256"/>
      <c r="N628" s="252" t="s">
        <v>576</v>
      </c>
    </row>
    <row r="629" ht="12.6" customHeight="1" s="231" customFormat="1">
      <c r="A629" s="251">
        <v>8460</v>
      </c>
      <c r="B629" s="255" t="s">
        <v>168</v>
      </c>
      <c r="C629" s="256">
        <f>BF85</f>
        <v>5151066.58</v>
      </c>
      <c r="D629" s="256">
        <f>(D615/D612)*BF90</f>
        <v>202544.82690454193</v>
      </c>
      <c r="E629" s="258">
        <f>(E623/E612)*SUM(C629:D629)</f>
        <v>1375059.5797460845</v>
      </c>
      <c r="F629" s="258">
        <f>(F624/F612)*BF64</f>
        <v>2527.488327110203</v>
      </c>
      <c r="G629" s="256">
        <f>(G625/G612)*BF91</f>
        <v>0</v>
      </c>
      <c r="H629" s="258">
        <f>(H628/H612)*BF60</f>
        <v>24391.956875636322</v>
      </c>
      <c r="I629" s="256">
        <f>SUM(C629:H629)</f>
        <v>6755590.4318533726</v>
      </c>
      <c r="J629" s="256"/>
      <c r="N629" s="252" t="s">
        <v>577</v>
      </c>
    </row>
    <row r="630" ht="12.6" customHeight="1" s="231" customFormat="1">
      <c r="A630" s="251">
        <v>8350</v>
      </c>
      <c r="B630" s="255" t="s">
        <v>578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0</v>
      </c>
      <c r="N630" s="252" t="s">
        <v>579</v>
      </c>
    </row>
    <row r="631" ht="12.6" customHeight="1" s="231" customFormat="1">
      <c r="A631" s="251">
        <v>8200</v>
      </c>
      <c r="B631" s="255" t="s">
        <v>580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581</v>
      </c>
    </row>
    <row r="632" ht="12.6" customHeight="1" s="231" customFormat="1">
      <c r="A632" s="251">
        <v>8360</v>
      </c>
      <c r="B632" s="255" t="s">
        <v>582</v>
      </c>
      <c r="C632" s="256">
        <f>BB85</f>
        <v>3367158.73</v>
      </c>
      <c r="D632" s="256">
        <f>(D615/D612)*BB90</f>
        <v>189272.09646914076</v>
      </c>
      <c r="E632" s="258">
        <f>(E623/E612)*SUM(C632:D632)</f>
        <v>913458.95433009218</v>
      </c>
      <c r="F632" s="258">
        <f>(F624/F612)*BB64</f>
        <v>17.328113847017711</v>
      </c>
      <c r="G632" s="256">
        <f>(G625/G612)*BB91</f>
        <v>0</v>
      </c>
      <c r="H632" s="258">
        <f>(H628/H612)*BB60</f>
        <v>9577.0501439185737</v>
      </c>
      <c r="I632" s="256">
        <f>(I629/I612)*BB92</f>
        <v>73636.690118547354</v>
      </c>
      <c r="J632" s="256">
        <f>(J630/J612)*BB93</f>
        <v>0</v>
      </c>
      <c r="N632" s="252" t="s">
        <v>583</v>
      </c>
    </row>
    <row r="633" ht="12.6" customHeight="1" s="231" customFormat="1">
      <c r="A633" s="251">
        <v>8370</v>
      </c>
      <c r="B633" s="255" t="s">
        <v>584</v>
      </c>
      <c r="C633" s="256">
        <f>BC85</f>
        <v>423678.64999999997</v>
      </c>
      <c r="D633" s="256">
        <f>(D615/D612)*BC90</f>
        <v>0</v>
      </c>
      <c r="E633" s="258">
        <f>(E623/E612)*SUM(C633:D633)</f>
        <v>108820.63379965004</v>
      </c>
      <c r="F633" s="258">
        <f>(F624/F612)*BC64</f>
        <v>316.45286979436861</v>
      </c>
      <c r="G633" s="256">
        <f>(G625/G612)*BC91</f>
        <v>0</v>
      </c>
      <c r="H633" s="258">
        <f>(H628/H612)*BC60</f>
        <v>2826.7566829712728</v>
      </c>
      <c r="I633" s="256">
        <f>(I629/I612)*BC92</f>
        <v>0</v>
      </c>
      <c r="J633" s="256">
        <f>(J630/J612)*BC93</f>
        <v>0</v>
      </c>
      <c r="N633" s="252" t="s">
        <v>585</v>
      </c>
    </row>
    <row r="634" ht="12.6" customHeight="1" s="231" customFormat="1">
      <c r="A634" s="251">
        <v>8490</v>
      </c>
      <c r="B634" s="255" t="s">
        <v>586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587</v>
      </c>
    </row>
    <row r="635" ht="12.6" customHeight="1" s="231" customFormat="1">
      <c r="A635" s="251">
        <v>8530</v>
      </c>
      <c r="B635" s="255" t="s">
        <v>588</v>
      </c>
      <c r="C635" s="256">
        <f>BK85</f>
        <v>24532</v>
      </c>
      <c r="D635" s="256">
        <f>(D615/D612)*BK90</f>
        <v>142546.16441588834</v>
      </c>
      <c r="E635" s="258">
        <f>(E623/E612)*SUM(C635:D635)</f>
        <v>42913.542482773453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55457.872198249032</v>
      </c>
      <c r="J635" s="256">
        <f>(J630/J612)*BK93</f>
        <v>0</v>
      </c>
      <c r="N635" s="252" t="s">
        <v>589</v>
      </c>
    </row>
    <row r="636" ht="12.6" customHeight="1" s="231" customFormat="1">
      <c r="A636" s="251">
        <v>8480</v>
      </c>
      <c r="B636" s="255" t="s">
        <v>590</v>
      </c>
      <c r="C636" s="256">
        <f>BH85</f>
        <v>29219</v>
      </c>
      <c r="D636" s="256">
        <f>(D615/D612)*BH90</f>
        <v>169782.39936139557</v>
      </c>
      <c r="E636" s="258">
        <f>(E623/E612)*SUM(C636:D636)</f>
        <v>51112.932892710873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66054.184227821024</v>
      </c>
      <c r="J636" s="256">
        <f>(J630/J612)*BH93</f>
        <v>0</v>
      </c>
      <c r="N636" s="252" t="s">
        <v>591</v>
      </c>
    </row>
    <row r="637" ht="12.6" customHeight="1" s="231" customFormat="1">
      <c r="A637" s="251">
        <v>8560</v>
      </c>
      <c r="B637" s="255" t="s">
        <v>174</v>
      </c>
      <c r="C637" s="256">
        <f>BL85</f>
        <v>0</v>
      </c>
      <c r="D637" s="256">
        <f>(D615/D612)*BL90</f>
        <v>0</v>
      </c>
      <c r="E637" s="258">
        <f>(E623/E612)*SUM(C637:D637)</f>
        <v>0</v>
      </c>
      <c r="F637" s="258">
        <f>(F624/F612)*BL64</f>
        <v>0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592</v>
      </c>
    </row>
    <row r="638" ht="12.6" customHeight="1" s="231" customFormat="1">
      <c r="A638" s="251">
        <v>8590</v>
      </c>
      <c r="B638" s="255" t="s">
        <v>593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594</v>
      </c>
    </row>
    <row r="639" ht="12.6" customHeight="1" s="231" customFormat="1">
      <c r="A639" s="251">
        <v>8660</v>
      </c>
      <c r="B639" s="255" t="s">
        <v>595</v>
      </c>
      <c r="C639" s="256">
        <f>BS85</f>
        <v>632551.81999999983</v>
      </c>
      <c r="D639" s="256">
        <f>(D615/D612)*BS90</f>
        <v>92810.431037136019</v>
      </c>
      <c r="E639" s="258">
        <f>(E623/E612)*SUM(C639:D639)</f>
        <v>186307.19270891271</v>
      </c>
      <c r="F639" s="258">
        <f>(F624/F612)*BS64</f>
        <v>333.87615971375271</v>
      </c>
      <c r="G639" s="256">
        <f>(G625/G612)*BS91</f>
        <v>0</v>
      </c>
      <c r="H639" s="258">
        <f>(H628/H612)*BS60</f>
        <v>4303.5264995883254</v>
      </c>
      <c r="I639" s="256">
        <f>(I629/I612)*BS92</f>
        <v>36108.085013813237</v>
      </c>
      <c r="J639" s="256">
        <f>(J630/J612)*BS93</f>
        <v>0</v>
      </c>
      <c r="N639" s="252" t="s">
        <v>596</v>
      </c>
    </row>
    <row r="640" ht="12.6" customHeight="1" s="231" customFormat="1">
      <c r="A640" s="251">
        <v>8670</v>
      </c>
      <c r="B640" s="255" t="s">
        <v>597</v>
      </c>
      <c r="C640" s="256">
        <f>BT85</f>
        <v>618354.56999999983</v>
      </c>
      <c r="D640" s="256">
        <f>(D615/D612)*BT90</f>
        <v>106576.57152589783</v>
      </c>
      <c r="E640" s="258">
        <f>(E623/E612)*SUM(C640:D640)</f>
        <v>186196.46347993222</v>
      </c>
      <c r="F640" s="258">
        <f>(F624/F612)*BT64</f>
        <v>163.96055291364328</v>
      </c>
      <c r="G640" s="256">
        <f>(G625/G612)*BT91</f>
        <v>0</v>
      </c>
      <c r="H640" s="258">
        <f>(H628/H612)*BT60</f>
        <v>2381.5280674602191</v>
      </c>
      <c r="I640" s="256">
        <f>(I629/I612)*BT92</f>
        <v>41463.829680933857</v>
      </c>
      <c r="J640" s="256">
        <f>(J630/J612)*BT93</f>
        <v>0</v>
      </c>
      <c r="N640" s="252" t="s">
        <v>598</v>
      </c>
    </row>
    <row r="641" ht="12.6" customHeight="1" s="231" customFormat="1">
      <c r="A641" s="251">
        <v>8680</v>
      </c>
      <c r="B641" s="255" t="s">
        <v>599</v>
      </c>
      <c r="C641" s="256">
        <f>BU85</f>
        <v>79071.88</v>
      </c>
      <c r="D641" s="256">
        <f>(D615/D612)*BU90</f>
        <v>41989.1955409903</v>
      </c>
      <c r="E641" s="258">
        <f>(E623/E612)*SUM(C641:D641)</f>
        <v>31094.186522823082</v>
      </c>
      <c r="F641" s="258">
        <f>(F624/F612)*BU64</f>
        <v>0.95067917738718966</v>
      </c>
      <c r="G641" s="256">
        <f>(G625/G612)*BU91</f>
        <v>0</v>
      </c>
      <c r="H641" s="258">
        <f>(H628/H612)*BU60</f>
        <v>203.54442721439688</v>
      </c>
      <c r="I641" s="256">
        <f>(I629/I612)*BU92</f>
        <v>16335.981045590144</v>
      </c>
      <c r="J641" s="256">
        <f>(J630/J612)*BU93</f>
        <v>0</v>
      </c>
      <c r="N641" s="252" t="s">
        <v>600</v>
      </c>
    </row>
    <row r="642" ht="12.6" customHeight="1" s="231" customFormat="1">
      <c r="A642" s="251">
        <v>8690</v>
      </c>
      <c r="B642" s="255" t="s">
        <v>601</v>
      </c>
      <c r="C642" s="256">
        <f>BV85</f>
        <v>51660.35</v>
      </c>
      <c r="D642" s="256">
        <f>(D615/D612)*BV90</f>
        <v>299598.58440057945</v>
      </c>
      <c r="E642" s="258">
        <f>(E623/E612)*SUM(C642:D642)</f>
        <v>90219.839657393051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116559.43232529184</v>
      </c>
      <c r="J642" s="256">
        <f>(J630/J612)*BV93</f>
        <v>0</v>
      </c>
      <c r="N642" s="252" t="s">
        <v>602</v>
      </c>
    </row>
    <row r="643" ht="12.6" customHeight="1" s="231" customFormat="1">
      <c r="A643" s="251">
        <v>8700</v>
      </c>
      <c r="B643" s="255" t="s">
        <v>603</v>
      </c>
      <c r="C643" s="256">
        <f>BW85</f>
        <v>572909.25</v>
      </c>
      <c r="D643" s="256">
        <f>(D615/D612)*BW90</f>
        <v>20723.2222411468</v>
      </c>
      <c r="E643" s="258">
        <f>(E623/E612)*SUM(C643:D643)</f>
        <v>152472.78066368168</v>
      </c>
      <c r="F643" s="258">
        <f>(F624/F612)*BW64</f>
        <v>430.62377890638771</v>
      </c>
      <c r="G643" s="256">
        <f>(G625/G612)*BW91</f>
        <v>0</v>
      </c>
      <c r="H643" s="258">
        <f>(H628/H612)*BW60</f>
        <v>1489.4871060540011</v>
      </c>
      <c r="I643" s="256">
        <f>(I629/I612)*BW92</f>
        <v>8062.4113268482506</v>
      </c>
      <c r="J643" s="256">
        <f>(J630/J612)*BW93</f>
        <v>0</v>
      </c>
      <c r="N643" s="252" t="s">
        <v>604</v>
      </c>
    </row>
    <row r="644" ht="12.6" customHeight="1" s="231" customFormat="1">
      <c r="A644" s="251">
        <v>8710</v>
      </c>
      <c r="B644" s="255" t="s">
        <v>605</v>
      </c>
      <c r="C644" s="256">
        <f>BX85</f>
        <v>1575184.71</v>
      </c>
      <c r="D644" s="256">
        <f>(D615/D612)*BX90</f>
        <v>111954.74110752878</v>
      </c>
      <c r="E644" s="258">
        <f>(E623/E612)*SUM(C644:D644)</f>
        <v>433336.880151773</v>
      </c>
      <c r="F644" s="258">
        <f>(F624/F612)*BX64</f>
        <v>5666.9586192786974</v>
      </c>
      <c r="G644" s="256">
        <f>(G625/G612)*BX91</f>
        <v>0</v>
      </c>
      <c r="H644" s="258">
        <f>(H628/H612)*BX60</f>
        <v>5467.5873843373838</v>
      </c>
      <c r="I644" s="256">
        <f>(I629/I612)*BX92</f>
        <v>43556.217382425428</v>
      </c>
      <c r="J644" s="256">
        <f>(J630/J612)*BX93</f>
        <v>0</v>
      </c>
      <c r="K644" s="258">
        <f>SUM(C631:J644)</f>
        <v>11235922.107194141</v>
      </c>
      <c r="L644" s="258"/>
      <c r="N644" s="252" t="s">
        <v>606</v>
      </c>
    </row>
    <row r="645" ht="12.6" customHeight="1" s="231" customFormat="1">
      <c r="A645" s="251">
        <v>8720</v>
      </c>
      <c r="B645" s="255" t="s">
        <v>607</v>
      </c>
      <c r="C645" s="256">
        <f>BY85</f>
        <v>4348637.4099999992</v>
      </c>
      <c r="D645" s="256">
        <f>(D615/D612)*BY90</f>
        <v>128385.29588443803</v>
      </c>
      <c r="E645" s="258">
        <f>(E623/E612)*SUM(C645:D645)</f>
        <v>1149910.3114819892</v>
      </c>
      <c r="F645" s="258">
        <f>(F624/F612)*BY64</f>
        <v>62.365022706652958</v>
      </c>
      <c r="G645" s="256">
        <f>(G625/G612)*BY91</f>
        <v>0</v>
      </c>
      <c r="H645" s="258">
        <f>(H628/H612)*BY60</f>
        <v>10990.104117615294</v>
      </c>
      <c r="I645" s="256">
        <f>(I629/I612)*BY92</f>
        <v>49948.5577915694</v>
      </c>
      <c r="J645" s="256">
        <f>(J630/J612)*BY93</f>
        <v>0</v>
      </c>
      <c r="K645" s="258">
        <v>0</v>
      </c>
      <c r="L645" s="258"/>
      <c r="N645" s="252" t="s">
        <v>608</v>
      </c>
    </row>
    <row r="646" ht="12.6" customHeight="1" s="231" customFormat="1">
      <c r="A646" s="251">
        <v>8730</v>
      </c>
      <c r="B646" s="255" t="s">
        <v>609</v>
      </c>
      <c r="C646" s="256">
        <f>BZ85</f>
        <v>338582.20999999996</v>
      </c>
      <c r="D646" s="256">
        <f>(D615/D612)*BZ90</f>
        <v>0</v>
      </c>
      <c r="E646" s="258">
        <f>(E623/E612)*SUM(C646:D646)</f>
        <v>86963.8597212444</v>
      </c>
      <c r="F646" s="258">
        <f>(F624/F612)*BZ64</f>
        <v>0</v>
      </c>
      <c r="G646" s="256">
        <f>(G625/G612)*BZ91</f>
        <v>0</v>
      </c>
      <c r="H646" s="258">
        <f>(H628/H612)*BZ60</f>
        <v>776.3250716513636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610</v>
      </c>
    </row>
    <row r="647" ht="12.6" customHeight="1" s="231" customFormat="1">
      <c r="A647" s="251">
        <v>8740</v>
      </c>
      <c r="B647" s="255" t="s">
        <v>611</v>
      </c>
      <c r="C647" s="256">
        <f>CA85</f>
        <v>34173</v>
      </c>
      <c r="D647" s="256">
        <f>(D615/D612)*CA90</f>
        <v>197117.31631757491</v>
      </c>
      <c r="E647" s="258">
        <f>(E623/E612)*SUM(C647:D647)</f>
        <v>59406.247667660478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76688.888692282751</v>
      </c>
      <c r="J647" s="256">
        <f>(J630/J612)*CA93</f>
        <v>0</v>
      </c>
      <c r="K647" s="258">
        <v>0</v>
      </c>
      <c r="L647" s="258">
        <f>SUM(C645:K647)</f>
        <v>6481641.8917687321</v>
      </c>
      <c r="N647" s="252" t="s">
        <v>612</v>
      </c>
    </row>
    <row r="648" ht="12.6" customHeight="1" s="231" customFormat="1">
      <c r="A648" s="251"/>
      <c r="B648" s="251"/>
      <c r="C648" s="231">
        <f>SUM(C614:C647)</f>
        <v>103603624.24999996</v>
      </c>
      <c r="L648" s="254"/>
    </row>
    <row r="666" ht="12.6" customHeight="1" s="231" customFormat="1">
      <c r="C666" s="249" t="s">
        <v>613</v>
      </c>
      <c r="M666" s="249" t="s">
        <v>614</v>
      </c>
    </row>
    <row r="667" ht="12.6" customHeight="1" s="231" customFormat="1">
      <c r="C667" s="249" t="s">
        <v>543</v>
      </c>
      <c r="D667" s="249" t="s">
        <v>544</v>
      </c>
      <c r="E667" s="250" t="s">
        <v>545</v>
      </c>
      <c r="F667" s="249" t="s">
        <v>546</v>
      </c>
      <c r="G667" s="249" t="s">
        <v>547</v>
      </c>
      <c r="H667" s="249" t="s">
        <v>548</v>
      </c>
      <c r="I667" s="249" t="s">
        <v>549</v>
      </c>
      <c r="J667" s="249" t="s">
        <v>550</v>
      </c>
      <c r="K667" s="249" t="s">
        <v>551</v>
      </c>
      <c r="L667" s="250" t="s">
        <v>552</v>
      </c>
      <c r="M667" s="249" t="s">
        <v>615</v>
      </c>
    </row>
    <row r="668" ht="12.6" customHeight="1" s="231" customFormat="1">
      <c r="A668" s="251">
        <v>6010</v>
      </c>
      <c r="B668" s="250" t="s">
        <v>342</v>
      </c>
      <c r="C668" s="256">
        <f>C85</f>
        <v>9173193.67</v>
      </c>
      <c r="D668" s="256">
        <f>(D615/D612)*C90</f>
        <v>1135977.965852197</v>
      </c>
      <c r="E668" s="258">
        <f>(E623/E612)*SUM(C668:D668)</f>
        <v>2647880.8676406308</v>
      </c>
      <c r="F668" s="258">
        <f>(F624/F612)*C64</f>
        <v>3769.1751955507725</v>
      </c>
      <c r="G668" s="256">
        <f>(G625/G612)*C91</f>
        <v>1006098.204306609</v>
      </c>
      <c r="H668" s="258">
        <f>(H628/H612)*C60</f>
        <v>18940.152429183603</v>
      </c>
      <c r="I668" s="256">
        <f>(I629/I612)*C92</f>
        <v>441954.51423339819</v>
      </c>
      <c r="J668" s="256">
        <f>(J630/J612)*C93</f>
        <v>0</v>
      </c>
      <c r="K668" s="256">
        <f>(K644/K612)*C89</f>
        <v>369951.97302187828</v>
      </c>
      <c r="L668" s="256">
        <f>(L647/L612)*C94</f>
        <v>631093.85280698654</v>
      </c>
      <c r="M668" s="231">
        <f ref="M668:M713" t="shared" si="18">ROUND(SUM(D668:L668),0)</f>
        <v>6255667</v>
      </c>
      <c r="N668" s="250" t="s">
        <v>616</v>
      </c>
    </row>
    <row r="669" ht="12.6" customHeight="1" s="231" customFormat="1">
      <c r="A669" s="251">
        <v>6030</v>
      </c>
      <c r="B669" s="250" t="s">
        <v>343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617</v>
      </c>
    </row>
    <row r="670" ht="12.6" customHeight="1" s="231" customFormat="1">
      <c r="A670" s="251">
        <v>6070</v>
      </c>
      <c r="B670" s="250" t="s">
        <v>618</v>
      </c>
      <c r="C670" s="256">
        <f>E85</f>
        <v>25218786.8</v>
      </c>
      <c r="D670" s="256">
        <f>(D615/D612)*E90</f>
        <v>1542893.2368587153</v>
      </c>
      <c r="E670" s="258">
        <f>(E623/E612)*SUM(C670:D670)</f>
        <v>6873659.9853554275</v>
      </c>
      <c r="F670" s="258">
        <f>(F624/F612)*E64</f>
        <v>7777.5470884476954</v>
      </c>
      <c r="G670" s="256">
        <f>(G625/G612)*E91</f>
        <v>1998839.0745829889</v>
      </c>
      <c r="H670" s="258">
        <f>(H628/H612)*E60</f>
        <v>89136.628544561463</v>
      </c>
      <c r="I670" s="256">
        <f>(I629/I612)*E92</f>
        <v>600265.71950129711</v>
      </c>
      <c r="J670" s="256">
        <f>(J630/J612)*E93</f>
        <v>0</v>
      </c>
      <c r="K670" s="256">
        <f>(K644/K612)*E89</f>
        <v>1282481.1994775881</v>
      </c>
      <c r="L670" s="256">
        <f>(L647/L612)*E94</f>
        <v>2264621.7990369787</v>
      </c>
      <c r="M670" s="231">
        <f t="shared" si="18"/>
        <v>14659675</v>
      </c>
      <c r="N670" s="250" t="s">
        <v>619</v>
      </c>
    </row>
    <row r="671" ht="12.6" customHeight="1" s="231" customFormat="1">
      <c r="A671" s="251">
        <v>6100</v>
      </c>
      <c r="B671" s="250" t="s">
        <v>620</v>
      </c>
      <c r="C671" s="256">
        <f>F85</f>
        <v>5244123.7898879992</v>
      </c>
      <c r="D671" s="256">
        <f>(D615/D612)*F90</f>
        <v>516396.70540776721</v>
      </c>
      <c r="E671" s="258">
        <f>(E623/E612)*SUM(C671:D671)</f>
        <v>1479573.0002301491</v>
      </c>
      <c r="F671" s="258">
        <f>(F624/F612)*F64</f>
        <v>2399.2115810752248</v>
      </c>
      <c r="G671" s="256">
        <f>(G625/G612)*F91</f>
        <v>0</v>
      </c>
      <c r="H671" s="258">
        <f>(H628/H612)*F60</f>
        <v>13652.549562967493</v>
      </c>
      <c r="I671" s="256">
        <f>(I629/I612)*F92</f>
        <v>199896.32816837993</v>
      </c>
      <c r="J671" s="256">
        <f>(J630/J612)*F93</f>
        <v>0</v>
      </c>
      <c r="K671" s="256">
        <f>(K644/K612)*F89</f>
        <v>206967.44631147204</v>
      </c>
      <c r="L671" s="256">
        <f>(L647/L612)*F94</f>
        <v>485630.95475876937</v>
      </c>
      <c r="M671" s="231">
        <f t="shared" si="18"/>
        <v>2904516</v>
      </c>
      <c r="N671" s="250" t="s">
        <v>621</v>
      </c>
    </row>
    <row r="672" ht="12.6" customHeight="1" s="231" customFormat="1">
      <c r="A672" s="251">
        <v>6120</v>
      </c>
      <c r="B672" s="250" t="s">
        <v>622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623</v>
      </c>
    </row>
    <row r="673" ht="12.6" customHeight="1" s="231" customFormat="1">
      <c r="A673" s="251">
        <v>6140</v>
      </c>
      <c r="B673" s="250" t="s">
        <v>624</v>
      </c>
      <c r="C673" s="256">
        <f>H85</f>
        <v>4726777.9299999988</v>
      </c>
      <c r="D673" s="256">
        <f>(D615/D612)*H90</f>
        <v>499676.36103831819</v>
      </c>
      <c r="E673" s="258">
        <f>(E623/E612)*SUM(C673:D673)</f>
        <v>1342399.6429267565</v>
      </c>
      <c r="F673" s="258">
        <f>(F624/F612)*H64</f>
        <v>435.7029605662849</v>
      </c>
      <c r="G673" s="256">
        <f>(G625/G612)*H91</f>
        <v>617379.94640214625</v>
      </c>
      <c r="H673" s="258">
        <f>(H628/H612)*H60</f>
        <v>16252.270532794613</v>
      </c>
      <c r="I673" s="256">
        <f>(I629/I612)*H92</f>
        <v>194400.09406426721</v>
      </c>
      <c r="J673" s="256">
        <f>(J630/J612)*H93</f>
        <v>0</v>
      </c>
      <c r="K673" s="256">
        <f>(K644/K612)*H89</f>
        <v>187819.35129682827</v>
      </c>
      <c r="L673" s="256">
        <f>(L647/L612)*H94</f>
        <v>274971.68398542918</v>
      </c>
      <c r="M673" s="231">
        <f t="shared" si="18"/>
        <v>3133335</v>
      </c>
      <c r="N673" s="250" t="s">
        <v>625</v>
      </c>
    </row>
    <row r="674" ht="12.6" customHeight="1" s="231" customFormat="1">
      <c r="A674" s="251">
        <v>6150</v>
      </c>
      <c r="B674" s="250" t="s">
        <v>626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627</v>
      </c>
    </row>
    <row r="675" ht="12.6" customHeight="1" s="231" customFormat="1">
      <c r="A675" s="251">
        <v>6170</v>
      </c>
      <c r="B675" s="250" t="s">
        <v>125</v>
      </c>
      <c r="C675" s="256">
        <f>J85</f>
        <v>1025751.1301119998</v>
      </c>
      <c r="D675" s="256">
        <f>(D615/D612)*J90</f>
        <v>101007.29436239923</v>
      </c>
      <c r="E675" s="258">
        <f>(E623/E612)*SUM(C675:D675)</f>
        <v>289404.63695869315</v>
      </c>
      <c r="F675" s="258">
        <f>(F624/F612)*J64</f>
        <v>469.28624421796582</v>
      </c>
      <c r="G675" s="256">
        <f>(G625/G612)*J91</f>
        <v>0</v>
      </c>
      <c r="H675" s="258">
        <f>(H628/H612)*J60</f>
        <v>2670.4413061949795</v>
      </c>
      <c r="I675" s="256">
        <f>(I629/I612)*J92</f>
        <v>40305.9407193633</v>
      </c>
      <c r="J675" s="256">
        <f>(J630/J612)*J93</f>
        <v>0</v>
      </c>
      <c r="K675" s="256">
        <f>(K644/K612)*J89</f>
        <v>40482.872090574863</v>
      </c>
      <c r="L675" s="256">
        <f>(L647/L612)*J94</f>
        <v>94989.507650089261</v>
      </c>
      <c r="M675" s="231">
        <f t="shared" si="18"/>
        <v>569330</v>
      </c>
      <c r="N675" s="250" t="s">
        <v>628</v>
      </c>
    </row>
    <row r="676" ht="12.6" customHeight="1" s="231" customFormat="1">
      <c r="A676" s="251">
        <v>6200</v>
      </c>
      <c r="B676" s="250" t="s">
        <v>348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629</v>
      </c>
    </row>
    <row r="677" ht="12.6" customHeight="1" s="231" customFormat="1">
      <c r="A677" s="251">
        <v>6210</v>
      </c>
      <c r="B677" s="250" t="s">
        <v>349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630</v>
      </c>
    </row>
    <row r="678" ht="12.6" customHeight="1" s="231" customFormat="1">
      <c r="A678" s="251">
        <v>6330</v>
      </c>
      <c r="B678" s="250" t="s">
        <v>631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632</v>
      </c>
    </row>
    <row r="679" ht="12.6" customHeight="1" s="231" customFormat="1">
      <c r="A679" s="251">
        <v>6400</v>
      </c>
      <c r="B679" s="250" t="s">
        <v>633</v>
      </c>
      <c r="C679" s="256">
        <f>N85</f>
        <v>5707621.7399999993</v>
      </c>
      <c r="D679" s="256">
        <f>(D615/D612)*N90</f>
        <v>0</v>
      </c>
      <c r="E679" s="258">
        <f>(E623/E612)*SUM(C679:D679)</f>
        <v>1465986.1081870925</v>
      </c>
      <c r="F679" s="258">
        <f>(F624/F612)*N64</f>
        <v>29.27667659868386</v>
      </c>
      <c r="G679" s="256">
        <f>(G625/G612)*N91</f>
        <v>0</v>
      </c>
      <c r="H679" s="258">
        <f>(H628/H612)*N60</f>
        <v>6789.7259988612268</v>
      </c>
      <c r="I679" s="256">
        <f>(I629/I612)*N92</f>
        <v>0</v>
      </c>
      <c r="J679" s="256">
        <f>(J630/J612)*N93</f>
        <v>0</v>
      </c>
      <c r="K679" s="256">
        <f>(K644/K612)*N89</f>
        <v>77878.1864576735</v>
      </c>
      <c r="L679" s="256">
        <f>(L647/L612)*N94</f>
        <v>0</v>
      </c>
      <c r="M679" s="231">
        <f t="shared" si="18"/>
        <v>1550683</v>
      </c>
      <c r="N679" s="250" t="s">
        <v>634</v>
      </c>
    </row>
    <row r="680" ht="12.6" customHeight="1" s="231" customFormat="1">
      <c r="A680" s="251">
        <v>7010</v>
      </c>
      <c r="B680" s="250" t="s">
        <v>635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636</v>
      </c>
    </row>
    <row r="681" ht="12.6" customHeight="1" s="231" customFormat="1">
      <c r="A681" s="251">
        <v>7020</v>
      </c>
      <c r="B681" s="250" t="s">
        <v>637</v>
      </c>
      <c r="C681" s="256">
        <f>P85</f>
        <v>17164451.84</v>
      </c>
      <c r="D681" s="256">
        <f>(D615/D612)*P90</f>
        <v>1212061.7960804075</v>
      </c>
      <c r="E681" s="258">
        <f>(E623/E612)*SUM(C681:D681)</f>
        <v>4719954.2882469567</v>
      </c>
      <c r="F681" s="258">
        <f>(F624/F612)*P64</f>
        <v>50440.172196162712</v>
      </c>
      <c r="G681" s="256">
        <f>(G625/G612)*P91</f>
        <v>0</v>
      </c>
      <c r="H681" s="258">
        <f>(H628/H612)*P60</f>
        <v>20669.742735760203</v>
      </c>
      <c r="I681" s="256">
        <f>(I629/I612)*P92</f>
        <v>471555.08153339825</v>
      </c>
      <c r="J681" s="256">
        <f>(J630/J612)*P93</f>
        <v>0</v>
      </c>
      <c r="K681" s="256">
        <f>(K644/K612)*P89</f>
        <v>1390048.5606030752</v>
      </c>
      <c r="L681" s="256">
        <f>(L647/L612)*P94</f>
        <v>426485.78376618645</v>
      </c>
      <c r="M681" s="231">
        <f t="shared" si="18"/>
        <v>8291215</v>
      </c>
      <c r="N681" s="250" t="s">
        <v>638</v>
      </c>
    </row>
    <row r="682" ht="12.6" customHeight="1" s="231" customFormat="1">
      <c r="A682" s="251">
        <v>7030</v>
      </c>
      <c r="B682" s="250" t="s">
        <v>639</v>
      </c>
      <c r="C682" s="256">
        <f>Q85</f>
        <v>1464894.9000000001</v>
      </c>
      <c r="D682" s="256">
        <f>(D615/D612)*Q90</f>
        <v>123253.8313294874</v>
      </c>
      <c r="E682" s="258">
        <f>(E623/E612)*SUM(C682:D682)</f>
        <v>407911.40056593594</v>
      </c>
      <c r="F682" s="258">
        <f>(F624/F612)*Q64</f>
        <v>257.41696669979467</v>
      </c>
      <c r="G682" s="256">
        <f>(G625/G612)*Q91</f>
        <v>0</v>
      </c>
      <c r="H682" s="258">
        <f>(H628/H612)*Q60</f>
        <v>3299.4866476813954</v>
      </c>
      <c r="I682" s="256">
        <f>(I629/I612)*Q92</f>
        <v>47952.151177302214</v>
      </c>
      <c r="J682" s="256">
        <f>(J630/J612)*Q93</f>
        <v>0</v>
      </c>
      <c r="K682" s="256">
        <f>(K644/K612)*Q89</f>
        <v>70556.223324769831</v>
      </c>
      <c r="L682" s="256">
        <f>(L647/L612)*Q94</f>
        <v>144534.19833466384</v>
      </c>
      <c r="M682" s="231">
        <f t="shared" si="18"/>
        <v>797765</v>
      </c>
      <c r="N682" s="250" t="s">
        <v>640</v>
      </c>
    </row>
    <row r="683" ht="12.6" customHeight="1" s="231" customFormat="1">
      <c r="A683" s="251">
        <v>7040</v>
      </c>
      <c r="B683" s="250" t="s">
        <v>133</v>
      </c>
      <c r="C683" s="256">
        <f>R85</f>
        <v>5784048.02</v>
      </c>
      <c r="D683" s="256">
        <f>(D615/D612)*R90</f>
        <v>0</v>
      </c>
      <c r="E683" s="258">
        <f>(E623/E612)*SUM(C683:D683)</f>
        <v>1485615.9767880936</v>
      </c>
      <c r="F683" s="258">
        <f>(F624/F612)*R64</f>
        <v>24.700353871636676</v>
      </c>
      <c r="G683" s="256">
        <f>(G625/G612)*R91</f>
        <v>0</v>
      </c>
      <c r="H683" s="258">
        <f>(H628/H612)*R60</f>
        <v>6354.81543285246</v>
      </c>
      <c r="I683" s="256">
        <f>(I629/I612)*R92</f>
        <v>0</v>
      </c>
      <c r="J683" s="256">
        <f>(J630/J612)*R93</f>
        <v>0</v>
      </c>
      <c r="K683" s="256">
        <f>(K644/K612)*R89</f>
        <v>89575.109309191015</v>
      </c>
      <c r="L683" s="256">
        <f>(L647/L612)*R94</f>
        <v>0</v>
      </c>
      <c r="M683" s="231">
        <f t="shared" si="18"/>
        <v>1581571</v>
      </c>
      <c r="N683" s="250" t="s">
        <v>641</v>
      </c>
    </row>
    <row r="684" ht="12.6" customHeight="1" s="231" customFormat="1">
      <c r="A684" s="251">
        <v>7050</v>
      </c>
      <c r="B684" s="250" t="s">
        <v>642</v>
      </c>
      <c r="C684" s="256">
        <f>S85</f>
        <v>844943.41</v>
      </c>
      <c r="D684" s="256">
        <f>(D615/D612)*S90</f>
        <v>274385.33067385084</v>
      </c>
      <c r="E684" s="258">
        <f>(E623/E612)*SUM(C684:D684)</f>
        <v>287496.34419929481</v>
      </c>
      <c r="F684" s="258">
        <f>(F624/F612)*S64</f>
        <v>1032.8761536577674</v>
      </c>
      <c r="G684" s="256">
        <f>(G625/G612)*S91</f>
        <v>0</v>
      </c>
      <c r="H684" s="258">
        <f>(H628/H612)*S60</f>
        <v>3926.1917142276729</v>
      </c>
      <c r="I684" s="256">
        <f>(I629/I612)*S92</f>
        <v>106750.16521095981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673591</v>
      </c>
      <c r="N684" s="250" t="s">
        <v>643</v>
      </c>
    </row>
    <row r="685" ht="12.6" customHeight="1" s="231" customFormat="1">
      <c r="A685" s="251">
        <v>7060</v>
      </c>
      <c r="B685" s="250" t="s">
        <v>644</v>
      </c>
      <c r="C685" s="256">
        <f>T85</f>
        <v>2073701.76</v>
      </c>
      <c r="D685" s="256">
        <f>(D615/D612)*T90</f>
        <v>177578.27820449366</v>
      </c>
      <c r="E685" s="258">
        <f>(E623/E612)*SUM(C685:D685)</f>
        <v>578234.755558047</v>
      </c>
      <c r="F685" s="258">
        <f>(F624/F612)*T64</f>
        <v>1714.011106114192</v>
      </c>
      <c r="G685" s="256">
        <f>(G625/G612)*T91</f>
        <v>0</v>
      </c>
      <c r="H685" s="258">
        <f>(H628/H612)*T60</f>
        <v>5416.880196234506</v>
      </c>
      <c r="I685" s="256">
        <f>(I629/I612)*T92</f>
        <v>69087.186584111565</v>
      </c>
      <c r="J685" s="256">
        <f>(J630/J612)*T93</f>
        <v>0</v>
      </c>
      <c r="K685" s="256">
        <f>(K644/K612)*T89</f>
        <v>155410.79342617877</v>
      </c>
      <c r="L685" s="256">
        <f>(L647/L612)*T94</f>
        <v>202400.90378134674</v>
      </c>
      <c r="M685" s="231">
        <f t="shared" si="18"/>
        <v>1189843</v>
      </c>
      <c r="N685" s="250" t="s">
        <v>645</v>
      </c>
    </row>
    <row r="686" ht="12.6" customHeight="1" s="231" customFormat="1">
      <c r="A686" s="251">
        <v>7070</v>
      </c>
      <c r="B686" s="250" t="s">
        <v>136</v>
      </c>
      <c r="C686" s="256">
        <f>U85</f>
        <v>8401170.86</v>
      </c>
      <c r="D686" s="256">
        <f>(D615/D612)*U90</f>
        <v>336801.70242397155</v>
      </c>
      <c r="E686" s="258">
        <f>(E623/E612)*SUM(C686:D686)</f>
        <v>2244322.9376012422</v>
      </c>
      <c r="F686" s="258">
        <f>(F624/F612)*U64</f>
        <v>3910.4207530417252</v>
      </c>
      <c r="G686" s="256">
        <f>(G625/G612)*U91</f>
        <v>0</v>
      </c>
      <c r="H686" s="258">
        <f>(H628/H612)*U60</f>
        <v>14548.283550983409</v>
      </c>
      <c r="I686" s="256">
        <f>(I629/I612)*U92</f>
        <v>131033.38027872895</v>
      </c>
      <c r="J686" s="256">
        <f>(J630/J612)*U93</f>
        <v>0</v>
      </c>
      <c r="K686" s="256">
        <f>(K644/K612)*U89</f>
        <v>662637.4957182447</v>
      </c>
      <c r="L686" s="256">
        <f>(L647/L612)*U94</f>
        <v>0</v>
      </c>
      <c r="M686" s="231">
        <f t="shared" si="18"/>
        <v>3393254</v>
      </c>
      <c r="N686" s="250" t="s">
        <v>646</v>
      </c>
    </row>
    <row r="687" ht="12.6" customHeight="1" s="231" customFormat="1">
      <c r="A687" s="251">
        <v>7110</v>
      </c>
      <c r="B687" s="250" t="s">
        <v>647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0</v>
      </c>
      <c r="N687" s="250" t="s">
        <v>648</v>
      </c>
    </row>
    <row r="688" ht="12.6" customHeight="1" s="231" customFormat="1">
      <c r="A688" s="251">
        <v>7120</v>
      </c>
      <c r="B688" s="250" t="s">
        <v>649</v>
      </c>
      <c r="C688" s="256">
        <f>W85</f>
        <v>769054.31</v>
      </c>
      <c r="D688" s="256">
        <f>(D615/D612)*W90</f>
        <v>0</v>
      </c>
      <c r="E688" s="258">
        <f>(E623/E612)*SUM(C688:D688)</f>
        <v>197529.37147187509</v>
      </c>
      <c r="F688" s="258">
        <f>(F624/F612)*W64</f>
        <v>106.62634271394883</v>
      </c>
      <c r="G688" s="256">
        <f>(G625/G612)*W91</f>
        <v>0</v>
      </c>
      <c r="H688" s="258">
        <f>(H628/H612)*W60</f>
        <v>2300.0520209540596</v>
      </c>
      <c r="I688" s="256">
        <f>(I629/I612)*W92</f>
        <v>0</v>
      </c>
      <c r="J688" s="256">
        <f>(J630/J612)*W93</f>
        <v>0</v>
      </c>
      <c r="K688" s="256">
        <f>(K644/K612)*W89</f>
        <v>145824.85348239195</v>
      </c>
      <c r="L688" s="256">
        <f>(L647/L612)*W94</f>
        <v>169.83990468315275</v>
      </c>
      <c r="M688" s="231">
        <f t="shared" si="18"/>
        <v>345931</v>
      </c>
      <c r="N688" s="250" t="s">
        <v>650</v>
      </c>
    </row>
    <row r="689" ht="12.6" customHeight="1" s="231" customFormat="1">
      <c r="A689" s="251">
        <v>7130</v>
      </c>
      <c r="B689" s="250" t="s">
        <v>651</v>
      </c>
      <c r="C689" s="256">
        <f>X85</f>
        <v>2044514.79</v>
      </c>
      <c r="D689" s="256">
        <f>(D615/D612)*X90</f>
        <v>0</v>
      </c>
      <c r="E689" s="258">
        <f>(E623/E612)*SUM(C689:D689)</f>
        <v>525127.700582879</v>
      </c>
      <c r="F689" s="258">
        <f>(F624/F612)*X64</f>
        <v>1535.4964853819481</v>
      </c>
      <c r="G689" s="256">
        <f>(G625/G612)*X91</f>
        <v>0</v>
      </c>
      <c r="H689" s="258">
        <f>(H628/H612)*X60</f>
        <v>5086.3782474905383</v>
      </c>
      <c r="I689" s="256">
        <f>(I629/I612)*X92</f>
        <v>0</v>
      </c>
      <c r="J689" s="256">
        <f>(J630/J612)*X93</f>
        <v>0</v>
      </c>
      <c r="K689" s="256">
        <f>(K644/K612)*X89</f>
        <v>842622.5380905302</v>
      </c>
      <c r="L689" s="256">
        <f>(L647/L612)*X94</f>
        <v>752.52756162531693</v>
      </c>
      <c r="M689" s="231">
        <f t="shared" si="18"/>
        <v>1375125</v>
      </c>
      <c r="N689" s="250" t="s">
        <v>652</v>
      </c>
    </row>
    <row r="690" ht="12.6" customHeight="1" s="231" customFormat="1">
      <c r="A690" s="251">
        <v>7140</v>
      </c>
      <c r="B690" s="250" t="s">
        <v>653</v>
      </c>
      <c r="C690" s="256">
        <f>Y85</f>
        <v>10713563.64</v>
      </c>
      <c r="D690" s="256">
        <f>(D615/D612)*Y90</f>
        <v>1232883.7003322265</v>
      </c>
      <c r="E690" s="258">
        <f>(E623/E612)*SUM(C690:D690)</f>
        <v>3068410.3889329717</v>
      </c>
      <c r="F690" s="258">
        <f>(F624/F612)*Y64</f>
        <v>16310.737453225878</v>
      </c>
      <c r="G690" s="256">
        <f>(G625/G612)*Y91</f>
        <v>0</v>
      </c>
      <c r="H690" s="258">
        <f>(H628/H612)*Y60</f>
        <v>26250.169075675884</v>
      </c>
      <c r="I690" s="256">
        <f>(I629/I612)*Y92</f>
        <v>479655.88529513625</v>
      </c>
      <c r="J690" s="256">
        <f>(J630/J612)*Y93</f>
        <v>0</v>
      </c>
      <c r="K690" s="256">
        <f>(K644/K612)*Y89</f>
        <v>1103351.9704760274</v>
      </c>
      <c r="L690" s="256">
        <f>(L647/L612)*Y94</f>
        <v>117132.51942152712</v>
      </c>
      <c r="M690" s="231">
        <f t="shared" si="18"/>
        <v>6043995</v>
      </c>
      <c r="N690" s="250" t="s">
        <v>654</v>
      </c>
    </row>
    <row r="691" ht="12.6" customHeight="1" s="231" customFormat="1">
      <c r="A691" s="251">
        <v>7150</v>
      </c>
      <c r="B691" s="250" t="s">
        <v>655</v>
      </c>
      <c r="C691" s="256">
        <f>Z85</f>
        <v>1293626.6199999999</v>
      </c>
      <c r="D691" s="256">
        <f>(D615/D612)*Z90</f>
        <v>354811.16937163484</v>
      </c>
      <c r="E691" s="258">
        <f>(E623/E612)*SUM(C691:D691)</f>
        <v>423396.47045871988</v>
      </c>
      <c r="F691" s="258">
        <f>(F624/F612)*Z64</f>
        <v>149.50995302219837</v>
      </c>
      <c r="G691" s="256">
        <f>(G625/G612)*Z91</f>
        <v>0</v>
      </c>
      <c r="H691" s="258">
        <f>(H628/H612)*Z60</f>
        <v>2921.15369203018</v>
      </c>
      <c r="I691" s="256">
        <f>(I629/I612)*Z92</f>
        <v>138039.99964610895</v>
      </c>
      <c r="J691" s="256">
        <f>(J630/J612)*Z93</f>
        <v>0</v>
      </c>
      <c r="K691" s="256">
        <f>(K644/K612)*Z89</f>
        <v>217322.4547448318</v>
      </c>
      <c r="L691" s="256">
        <f>(L647/L612)*Z94</f>
        <v>0</v>
      </c>
      <c r="M691" s="231">
        <f t="shared" si="18"/>
        <v>1136641</v>
      </c>
      <c r="N691" s="250" t="s">
        <v>656</v>
      </c>
    </row>
    <row r="692" ht="12.6" customHeight="1" s="231" customFormat="1">
      <c r="A692" s="251">
        <v>7160</v>
      </c>
      <c r="B692" s="250" t="s">
        <v>657</v>
      </c>
      <c r="C692" s="256">
        <f>AA85</f>
        <v>1448865.79</v>
      </c>
      <c r="D692" s="256">
        <f>(D615/D612)*AA90</f>
        <v>93353.18209583273</v>
      </c>
      <c r="E692" s="258">
        <f>(E623/E612)*SUM(C692:D692)</f>
        <v>396114.4749713334</v>
      </c>
      <c r="F692" s="258">
        <f>(F624/F612)*AA64</f>
        <v>1848.1054195364375</v>
      </c>
      <c r="G692" s="256">
        <f>(G625/G612)*AA91</f>
        <v>3041.7691355967145</v>
      </c>
      <c r="H692" s="258">
        <f>(H628/H612)*AA60</f>
        <v>2500.0211441979213</v>
      </c>
      <c r="I692" s="256">
        <f>(I629/I612)*AA92</f>
        <v>36319.243405706882</v>
      </c>
      <c r="J692" s="256">
        <f>(J630/J612)*AA93</f>
        <v>0</v>
      </c>
      <c r="K692" s="256">
        <f>(K644/K612)*AA89</f>
        <v>136761.75922707297</v>
      </c>
      <c r="L692" s="256">
        <f>(L647/L612)*AA94</f>
        <v>0</v>
      </c>
      <c r="M692" s="231">
        <f t="shared" si="18"/>
        <v>669939</v>
      </c>
      <c r="N692" s="250" t="s">
        <v>658</v>
      </c>
    </row>
    <row r="693" ht="12.6" customHeight="1" s="231" customFormat="1">
      <c r="A693" s="251">
        <v>7170</v>
      </c>
      <c r="B693" s="250" t="s">
        <v>142</v>
      </c>
      <c r="C693" s="256">
        <f>AB85</f>
        <v>16684657.370000001</v>
      </c>
      <c r="D693" s="256">
        <f>(D615/D612)*AB90</f>
        <v>160752.99538489588</v>
      </c>
      <c r="E693" s="258">
        <f>(E623/E612)*SUM(C693:D693)</f>
        <v>4326694.8489766447</v>
      </c>
      <c r="F693" s="258">
        <f>(F624/F612)*AB64</f>
        <v>112221.71174223936</v>
      </c>
      <c r="G693" s="256">
        <f>(G625/G612)*AB91</f>
        <v>0</v>
      </c>
      <c r="H693" s="258">
        <f>(H628/H612)*AB60</f>
        <v>20670.782683522619</v>
      </c>
      <c r="I693" s="256">
        <f>(I629/I612)*AB92</f>
        <v>62541.276435408567</v>
      </c>
      <c r="J693" s="256">
        <f>(J630/J612)*AB93</f>
        <v>0</v>
      </c>
      <c r="K693" s="256">
        <f>(K644/K612)*AB89</f>
        <v>865758.86674335878</v>
      </c>
      <c r="L693" s="256">
        <f>(L647/L612)*AB94</f>
        <v>0</v>
      </c>
      <c r="M693" s="231">
        <f t="shared" si="18"/>
        <v>5548640</v>
      </c>
      <c r="N693" s="250" t="s">
        <v>659</v>
      </c>
    </row>
    <row r="694" ht="12.6" customHeight="1" s="231" customFormat="1">
      <c r="A694" s="251">
        <v>7180</v>
      </c>
      <c r="B694" s="250" t="s">
        <v>660</v>
      </c>
      <c r="C694" s="256">
        <f>AC85</f>
        <v>3082796.4099999997</v>
      </c>
      <c r="D694" s="256">
        <f>(D615/D612)*AC90</f>
        <v>74208.872025439967</v>
      </c>
      <c r="E694" s="258">
        <f>(E623/E612)*SUM(C694:D694)</f>
        <v>810867.66042813647</v>
      </c>
      <c r="F694" s="258">
        <f>(F624/F612)*AC64</f>
        <v>2019.8515434101848</v>
      </c>
      <c r="G694" s="256">
        <f>(G625/G612)*AC91</f>
        <v>0</v>
      </c>
      <c r="H694" s="258">
        <f>(H628/H612)*AC60</f>
        <v>8108.9440495498447</v>
      </c>
      <c r="I694" s="256">
        <f>(I629/I612)*AC92</f>
        <v>28871.111037094688</v>
      </c>
      <c r="J694" s="256">
        <f>(J630/J612)*AC93</f>
        <v>0</v>
      </c>
      <c r="K694" s="256">
        <f>(K644/K612)*AC89</f>
        <v>238960.26026011811</v>
      </c>
      <c r="L694" s="256">
        <f>(L647/L612)*AC94</f>
        <v>363.5634810403227</v>
      </c>
      <c r="M694" s="231">
        <f t="shared" si="18"/>
        <v>1163400</v>
      </c>
      <c r="N694" s="250" t="s">
        <v>661</v>
      </c>
    </row>
    <row r="695" ht="12.6" customHeight="1" s="231" customFormat="1">
      <c r="A695" s="251">
        <v>7190</v>
      </c>
      <c r="B695" s="250" t="s">
        <v>144</v>
      </c>
      <c r="C695" s="256">
        <f>AD85</f>
        <v>769975.84</v>
      </c>
      <c r="D695" s="256">
        <f>(D615/D612)*AD90</f>
        <v>35278.818815285624</v>
      </c>
      <c r="E695" s="258">
        <f>(E623/E612)*SUM(C695:D695)</f>
        <v>206827.32618790286</v>
      </c>
      <c r="F695" s="258">
        <f>(F624/F612)*AD64</f>
        <v>124.54215679064825</v>
      </c>
      <c r="G695" s="256">
        <f>(G625/G612)*AD91</f>
        <v>0</v>
      </c>
      <c r="H695" s="258">
        <f>(H628/H612)*AD60</f>
        <v>26.873193049583108</v>
      </c>
      <c r="I695" s="256">
        <f>(I629/I612)*AD92</f>
        <v>13725.295473086902</v>
      </c>
      <c r="J695" s="256">
        <f>(J630/J612)*AD93</f>
        <v>0</v>
      </c>
      <c r="K695" s="256">
        <f>(K644/K612)*AD89</f>
        <v>30035.741743170052</v>
      </c>
      <c r="L695" s="256">
        <f>(L647/L612)*AD94</f>
        <v>0</v>
      </c>
      <c r="M695" s="231">
        <f t="shared" si="18"/>
        <v>286019</v>
      </c>
      <c r="N695" s="250" t="s">
        <v>662</v>
      </c>
    </row>
    <row r="696" ht="12.6" customHeight="1" s="231" customFormat="1">
      <c r="A696" s="251">
        <v>7200</v>
      </c>
      <c r="B696" s="250" t="s">
        <v>663</v>
      </c>
      <c r="C696" s="256">
        <f>AE85</f>
        <v>1524015.7100000002</v>
      </c>
      <c r="D696" s="256">
        <f>(D615/D612)*AE90</f>
        <v>267526.930932138</v>
      </c>
      <c r="E696" s="258">
        <f>(E623/E612)*SUM(C696:D696)</f>
        <v>460152.53698843246</v>
      </c>
      <c r="F696" s="258">
        <f>(F624/F612)*AE64</f>
        <v>55.476534297325642</v>
      </c>
      <c r="G696" s="256">
        <f>(G625/G612)*AE91</f>
        <v>363.68978795178111</v>
      </c>
      <c r="H696" s="258">
        <f>(H628/H612)*AE60</f>
        <v>5762.0203079462926</v>
      </c>
      <c r="I696" s="256">
        <f>(I629/I612)*AE92</f>
        <v>104081.89098612193</v>
      </c>
      <c r="J696" s="256">
        <f>(J630/J612)*AE93</f>
        <v>0</v>
      </c>
      <c r="K696" s="256">
        <f>(K644/K612)*AE89</f>
        <v>65488.386149901882</v>
      </c>
      <c r="L696" s="256">
        <f>(L647/L612)*AE94</f>
        <v>0</v>
      </c>
      <c r="M696" s="231">
        <f t="shared" si="18"/>
        <v>903431</v>
      </c>
      <c r="N696" s="250" t="s">
        <v>664</v>
      </c>
    </row>
    <row r="697" ht="12.6" customHeight="1" s="231" customFormat="1">
      <c r="A697" s="251">
        <v>7220</v>
      </c>
      <c r="B697" s="250" t="s">
        <v>665</v>
      </c>
      <c r="C697" s="256">
        <f>AF85</f>
        <v>4186085.82</v>
      </c>
      <c r="D697" s="256">
        <f>(D615/D612)*AF90</f>
        <v>955883.29637556418</v>
      </c>
      <c r="E697" s="258">
        <f>(E623/E612)*SUM(C697:D697)</f>
        <v>1320699.8705793065</v>
      </c>
      <c r="F697" s="258">
        <f>(F624/F612)*AF64</f>
        <v>834.35112422591146</v>
      </c>
      <c r="G697" s="256">
        <f>(G625/G612)*AF91</f>
        <v>0</v>
      </c>
      <c r="H697" s="258">
        <f>(H628/H612)*AF60</f>
        <v>10038.979614436112</v>
      </c>
      <c r="I697" s="256">
        <f>(I629/I612)*AF92</f>
        <v>371888.320559598</v>
      </c>
      <c r="J697" s="256">
        <f>(J630/J612)*AF93</f>
        <v>0</v>
      </c>
      <c r="K697" s="256">
        <f>(K644/K612)*AF89</f>
        <v>50018.948152030091</v>
      </c>
      <c r="L697" s="256">
        <f>(L647/L612)*AF94</f>
        <v>28133.719926607417</v>
      </c>
      <c r="M697" s="231">
        <f t="shared" si="18"/>
        <v>2737497</v>
      </c>
      <c r="N697" s="250" t="s">
        <v>666</v>
      </c>
    </row>
    <row r="698" ht="12.6" customHeight="1" s="231" customFormat="1">
      <c r="A698" s="251">
        <v>7230</v>
      </c>
      <c r="B698" s="250" t="s">
        <v>667</v>
      </c>
      <c r="C698" s="256">
        <f>AG85</f>
        <v>17003174.240000002</v>
      </c>
      <c r="D698" s="256">
        <f>(D615/D612)*AG90</f>
        <v>1032608.5596731434</v>
      </c>
      <c r="E698" s="258">
        <f>(E623/E612)*SUM(C698:D698)</f>
        <v>4632438.56005786</v>
      </c>
      <c r="F698" s="258">
        <f>(F624/F612)*AG64</f>
        <v>7787.4912455187614</v>
      </c>
      <c r="G698" s="256">
        <f>(G625/G612)*AG91</f>
        <v>248466.25058705773</v>
      </c>
      <c r="H698" s="258">
        <f>(H628/H612)*AG60</f>
        <v>40787.382534105825</v>
      </c>
      <c r="I698" s="256">
        <f>(I629/I612)*AG92</f>
        <v>401738.43868638139</v>
      </c>
      <c r="J698" s="256">
        <f>(J630/J612)*AG93</f>
        <v>0</v>
      </c>
      <c r="K698" s="256">
        <f>(K644/K612)*AG89</f>
        <v>1666333.664626251</v>
      </c>
      <c r="L698" s="256">
        <f>(L647/L612)*AG94</f>
        <v>853618.92508415354</v>
      </c>
      <c r="M698" s="231">
        <f t="shared" si="18"/>
        <v>8883779</v>
      </c>
      <c r="N698" s="250" t="s">
        <v>668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669</v>
      </c>
    </row>
    <row r="700" ht="12.6" customHeight="1" s="231" customFormat="1">
      <c r="A700" s="251">
        <v>7250</v>
      </c>
      <c r="B700" s="250" t="s">
        <v>670</v>
      </c>
      <c r="C700" s="256">
        <f>AI85</f>
        <v>5409315.5</v>
      </c>
      <c r="D700" s="256">
        <f>(D615/D612)*AI90</f>
        <v>965800.838448113</v>
      </c>
      <c r="E700" s="258">
        <f>(E623/E612)*SUM(C700:D700)</f>
        <v>1637430.1619787258</v>
      </c>
      <c r="F700" s="258">
        <f>(F624/F612)*AI64</f>
        <v>9350.6759765340648</v>
      </c>
      <c r="G700" s="256">
        <f>(G625/G612)*AI91</f>
        <v>25061.53266067728</v>
      </c>
      <c r="H700" s="258">
        <f>(H628/H612)*AI60</f>
        <v>11317.126737111292</v>
      </c>
      <c r="I700" s="256">
        <f>(I629/I612)*AI92</f>
        <v>375746.76026601822</v>
      </c>
      <c r="J700" s="256">
        <f>(J630/J612)*AI93</f>
        <v>0</v>
      </c>
      <c r="K700" s="256">
        <f>(K644/K612)*AI89</f>
        <v>280320.66494850989</v>
      </c>
      <c r="L700" s="256">
        <f>(L647/L612)*AI94</f>
        <v>319230.34248752665</v>
      </c>
      <c r="M700" s="231">
        <f t="shared" si="18"/>
        <v>3624258</v>
      </c>
      <c r="N700" s="250" t="s">
        <v>671</v>
      </c>
    </row>
    <row r="701" ht="12.6" customHeight="1" s="231" customFormat="1">
      <c r="A701" s="251">
        <v>7260</v>
      </c>
      <c r="B701" s="250" t="s">
        <v>148</v>
      </c>
      <c r="C701" s="256">
        <f>AJ85</f>
        <v>56481526.08</v>
      </c>
      <c r="D701" s="256">
        <f>(D615/D612)*AJ90</f>
        <v>4605538.7790735317</v>
      </c>
      <c r="E701" s="258">
        <f>(E623/E612)*SUM(C701:D701)</f>
        <v>15690035.631780623</v>
      </c>
      <c r="F701" s="258">
        <f>(F624/F612)*AJ64</f>
        <v>23661.806810333743</v>
      </c>
      <c r="G701" s="256">
        <f>(G625/G612)*AJ91</f>
        <v>0</v>
      </c>
      <c r="H701" s="258">
        <f>(H628/H612)*AJ60</f>
        <v>156663.87472296276</v>
      </c>
      <c r="I701" s="256">
        <f>(I629/I612)*AJ92</f>
        <v>1791794.1325222438</v>
      </c>
      <c r="J701" s="256">
        <f>(J630/J612)*AJ93</f>
        <v>0</v>
      </c>
      <c r="K701" s="256">
        <f>(K644/K612)*AJ89</f>
        <v>919207.941532109</v>
      </c>
      <c r="L701" s="256">
        <f>(L647/L612)*AJ94</f>
        <v>629810.21336727671</v>
      </c>
      <c r="M701" s="231">
        <f t="shared" si="18"/>
        <v>23816712</v>
      </c>
      <c r="N701" s="250" t="s">
        <v>672</v>
      </c>
    </row>
    <row r="702" ht="12.6" customHeight="1" s="231" customFormat="1">
      <c r="A702" s="251">
        <v>7310</v>
      </c>
      <c r="B702" s="250" t="s">
        <v>673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674</v>
      </c>
    </row>
    <row r="703" ht="12.6" customHeight="1" s="231" customFormat="1">
      <c r="A703" s="251">
        <v>7320</v>
      </c>
      <c r="B703" s="250" t="s">
        <v>675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676</v>
      </c>
    </row>
    <row r="704" ht="12.6" customHeight="1" s="231" customFormat="1">
      <c r="A704" s="251">
        <v>7330</v>
      </c>
      <c r="B704" s="250" t="s">
        <v>677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678</v>
      </c>
    </row>
    <row r="705" ht="12.6" customHeight="1" s="231" customFormat="1">
      <c r="A705" s="251">
        <v>7340</v>
      </c>
      <c r="B705" s="250" t="s">
        <v>679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680</v>
      </c>
    </row>
    <row r="706" ht="12.6" customHeight="1" s="231" customFormat="1">
      <c r="A706" s="251">
        <v>7350</v>
      </c>
      <c r="B706" s="250" t="s">
        <v>681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682</v>
      </c>
    </row>
    <row r="707" ht="12.6" customHeight="1" s="231" customFormat="1">
      <c r="A707" s="251">
        <v>7380</v>
      </c>
      <c r="B707" s="250" t="s">
        <v>683</v>
      </c>
      <c r="C707" s="256">
        <f>AP85</f>
        <v>5953982.01</v>
      </c>
      <c r="D707" s="256">
        <f>(D615/D612)*AP90</f>
        <v>0</v>
      </c>
      <c r="E707" s="258">
        <f>(E623/E612)*SUM(C707:D707)</f>
        <v>1529263.0297984434</v>
      </c>
      <c r="F707" s="258">
        <f>(F624/F612)*AP64</f>
        <v>2663.3109514829202</v>
      </c>
      <c r="G707" s="256">
        <f>(G625/G612)*AP91</f>
        <v>0</v>
      </c>
      <c r="H707" s="258">
        <f>(H628/H612)*AP60</f>
        <v>16910.600550869396</v>
      </c>
      <c r="I707" s="256">
        <f>(I629/I612)*AP92</f>
        <v>0</v>
      </c>
      <c r="J707" s="256">
        <f>(J630/J612)*AP93</f>
        <v>0</v>
      </c>
      <c r="K707" s="256">
        <f>(K644/K612)*AP89</f>
        <v>115095.19472995545</v>
      </c>
      <c r="L707" s="256">
        <f>(L647/L612)*AP94</f>
        <v>7701.5564138410664</v>
      </c>
      <c r="M707" s="231">
        <f t="shared" si="18"/>
        <v>1671634</v>
      </c>
      <c r="N707" s="250" t="s">
        <v>684</v>
      </c>
    </row>
    <row r="708" ht="12.6" customHeight="1" s="231" customFormat="1">
      <c r="A708" s="251">
        <v>7390</v>
      </c>
      <c r="B708" s="250" t="s">
        <v>685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686</v>
      </c>
    </row>
    <row r="709" ht="12.6" customHeight="1" s="231" customFormat="1">
      <c r="A709" s="251">
        <v>7400</v>
      </c>
      <c r="B709" s="250" t="s">
        <v>687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688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689</v>
      </c>
    </row>
    <row r="711" ht="12.6" customHeight="1" s="231" customFormat="1">
      <c r="A711" s="251">
        <v>7420</v>
      </c>
      <c r="B711" s="250" t="s">
        <v>690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691</v>
      </c>
    </row>
    <row r="712" ht="12.6" customHeight="1" s="231" customFormat="1">
      <c r="A712" s="251">
        <v>7430</v>
      </c>
      <c r="B712" s="250" t="s">
        <v>692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693</v>
      </c>
    </row>
    <row r="713" ht="12.6" customHeight="1" s="231" customFormat="1">
      <c r="A713" s="251">
        <v>7490</v>
      </c>
      <c r="B713" s="250" t="s">
        <v>694</v>
      </c>
      <c r="C713" s="256">
        <f>AV85</f>
        <v>383592.52999999997</v>
      </c>
      <c r="D713" s="256">
        <f>(D615/D612)*AV90</f>
        <v>164798.95782245311</v>
      </c>
      <c r="E713" s="258">
        <f>(E623/E612)*SUM(C713:D713)</f>
        <v>140852.76488483054</v>
      </c>
      <c r="F713" s="258">
        <f>(F624/F612)*AV64</f>
        <v>54.747632192605373</v>
      </c>
      <c r="G713" s="256">
        <f>(G625/G612)*AV91</f>
        <v>0</v>
      </c>
      <c r="H713" s="258">
        <f>(H628/H612)*AV60</f>
        <v>1346.3907321002494</v>
      </c>
      <c r="I713" s="256">
        <f>(I629/I612)*AV92</f>
        <v>64115.366265888464</v>
      </c>
      <c r="J713" s="256">
        <f>(J630/J612)*AV93</f>
        <v>0</v>
      </c>
      <c r="K713" s="256">
        <f>(K644/K612)*AV89</f>
        <v>25009.651250406292</v>
      </c>
      <c r="L713" s="256">
        <f>(L647/L612)*AV94</f>
        <v>0</v>
      </c>
      <c r="M713" s="231">
        <f t="shared" si="18"/>
        <v>396178</v>
      </c>
      <c r="N713" s="252" t="s">
        <v>695</v>
      </c>
    </row>
    <row r="714" ht="12.6" customHeight="1" s="231" customFormat="1"/>
    <row r="715" ht="12.6" customHeight="1" s="231" customFormat="1">
      <c r="C715" s="253">
        <f>SUM(C614:C647)+SUM(C668:C713)</f>
        <v>318181836.76</v>
      </c>
      <c r="D715" s="231">
        <f>SUM(D616:D647)+SUM(D668:D713)</f>
        <v>24623974.099999994</v>
      </c>
      <c r="E715" s="231">
        <f>SUM(E624:E647)+SUM(E668:E713)</f>
        <v>65023090.533934616</v>
      </c>
      <c r="F715" s="231">
        <f>SUM(F625:F648)+SUM(F668:F713)</f>
        <v>265378.25155646109</v>
      </c>
      <c r="G715" s="231">
        <f>SUM(G626:G647)+SUM(G668:G713)</f>
        <v>3899250.4674630272</v>
      </c>
      <c r="H715" s="231">
        <f>SUM(H629:H647)+SUM(H668:H713)</f>
        <v>574755.78433475283</v>
      </c>
      <c r="I715" s="231">
        <f>SUM(I630:I647)+SUM(I668:I713)</f>
        <v>6755590.4318533735</v>
      </c>
      <c r="J715" s="231">
        <f>SUM(J631:J647)+SUM(J668:J713)</f>
        <v>0</v>
      </c>
      <c r="K715" s="231">
        <f>SUM(K668:K713)</f>
        <v>11235922.107194139</v>
      </c>
      <c r="L715" s="231">
        <f>SUM(L668:L713)</f>
        <v>6481641.8917687321</v>
      </c>
      <c r="M715" s="231">
        <f>SUM(M668:M713)</f>
        <v>103603624</v>
      </c>
      <c r="N715" s="250" t="s">
        <v>696</v>
      </c>
    </row>
    <row r="716" ht="12.6" customHeight="1" s="231" customFormat="1">
      <c r="C716" s="253">
        <f>CE85</f>
        <v>318181836.76</v>
      </c>
      <c r="D716" s="231">
        <f>D615</f>
        <v>24623974.099999998</v>
      </c>
      <c r="E716" s="231">
        <f>E623</f>
        <v>65023090.533934616</v>
      </c>
      <c r="F716" s="231">
        <f>F624</f>
        <v>265378.25155646121</v>
      </c>
      <c r="G716" s="231">
        <f>G625</f>
        <v>3899250.4674630272</v>
      </c>
      <c r="H716" s="231">
        <f>H628</f>
        <v>574755.78433475283</v>
      </c>
      <c r="I716" s="231">
        <f>I629</f>
        <v>6755590.4318533726</v>
      </c>
      <c r="J716" s="231">
        <f>J630</f>
        <v>0</v>
      </c>
      <c r="K716" s="231">
        <f>K644</f>
        <v>11235922.107194141</v>
      </c>
      <c r="L716" s="231">
        <f>L647</f>
        <v>6481641.8917687321</v>
      </c>
      <c r="M716" s="231">
        <f>C648</f>
        <v>103603624.24999996</v>
      </c>
      <c r="N716" s="250" t="s">
        <v>697</v>
      </c>
    </row>
  </sheetData>
  <mergeCells>
    <mergeCell ref="B236:C236"/>
  </mergeCells>
  <hyperlinks>
    <hyperlink ref="C30" r:id="rId4"/>
    <hyperlink ref="F42" r:id="rId5"/>
    <hyperlink ref="A43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698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699</v>
      </c>
      <c r="G3" s="10"/>
      <c r="J3" s="113"/>
    </row>
    <row r="4">
      <c r="B4" s="112"/>
      <c r="F4" s="10" t="s">
        <v>700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701</v>
      </c>
      <c r="G8" s="10"/>
      <c r="J8" s="113"/>
    </row>
    <row r="9">
      <c r="B9" s="109"/>
      <c r="C9" s="110"/>
      <c r="D9" s="110"/>
      <c r="E9" s="110"/>
      <c r="F9" s="117" t="s">
        <v>702</v>
      </c>
      <c r="G9" s="117"/>
      <c r="H9" s="110"/>
      <c r="I9" s="110"/>
      <c r="J9" s="111"/>
    </row>
    <row r="10">
      <c r="B10" s="112"/>
      <c r="F10" s="10" t="s">
        <v>703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704</v>
      </c>
      <c r="G12" s="10"/>
      <c r="J12" s="113"/>
    </row>
    <row r="13">
      <c r="B13" s="112"/>
      <c r="F13" s="10" t="s">
        <v>705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706</v>
      </c>
      <c r="J16" s="113"/>
    </row>
    <row r="17">
      <c r="B17" s="109"/>
      <c r="C17" s="118" t="s">
        <v>707</v>
      </c>
      <c r="D17" s="118"/>
      <c r="E17" s="110" t="str">
        <f>+data!C98</f>
        <v>PeaceHealth St John Medical Center</v>
      </c>
      <c r="F17" s="117"/>
      <c r="G17" s="117"/>
      <c r="H17" s="110"/>
      <c r="I17" s="110"/>
      <c r="J17" s="111"/>
    </row>
    <row r="18">
      <c r="B18" s="112"/>
      <c r="C18" s="66" t="s">
        <v>708</v>
      </c>
      <c r="D18" s="66"/>
      <c r="E18" s="12" t="str">
        <f>+"H-"&amp;data!C97</f>
        <v>H-026</v>
      </c>
      <c r="F18" s="10"/>
      <c r="G18" s="10"/>
      <c r="J18" s="113"/>
    </row>
    <row r="19">
      <c r="B19" s="112"/>
      <c r="C19" s="66" t="s">
        <v>709</v>
      </c>
      <c r="D19" s="66"/>
      <c r="E19" s="12" t="str">
        <f>+data!C99</f>
        <v>Box 3002</v>
      </c>
      <c r="F19" s="10"/>
      <c r="G19" s="10"/>
      <c r="J19" s="113"/>
    </row>
    <row r="20">
      <c r="B20" s="112"/>
      <c r="C20" s="66" t="s">
        <v>710</v>
      </c>
      <c r="D20" s="66"/>
      <c r="E20" s="12" t="str">
        <f>+data!C100</f>
        <v>Longview</v>
      </c>
      <c r="F20" s="10"/>
      <c r="G20" s="10"/>
      <c r="J20" s="113"/>
    </row>
    <row r="21">
      <c r="B21" s="112"/>
      <c r="C21" s="66" t="s">
        <v>711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712</v>
      </c>
      <c r="G26" s="120"/>
      <c r="H26" s="120"/>
      <c r="I26" s="120"/>
      <c r="J26" s="122"/>
    </row>
    <row r="27">
      <c r="B27" s="123" t="s">
        <v>713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714</v>
      </c>
      <c r="J29" s="113"/>
    </row>
    <row r="30">
      <c r="B30" s="126" t="s">
        <v>715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716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717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718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719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717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718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720</v>
      </c>
    </row>
    <row r="3">
      <c r="A3" s="67"/>
    </row>
    <row r="4">
      <c r="A4" s="163" t="s">
        <v>721</v>
      </c>
    </row>
    <row r="5">
      <c r="A5" s="163" t="s">
        <v>722</v>
      </c>
    </row>
    <row r="6">
      <c r="A6" s="163" t="s">
        <v>723</v>
      </c>
    </row>
    <row r="7">
      <c r="A7" s="163"/>
    </row>
    <row r="8">
      <c r="A8" s="2" t="s">
        <v>724</v>
      </c>
    </row>
    <row r="9">
      <c r="A9" s="163" t="s">
        <v>27</v>
      </c>
    </row>
    <row r="12">
      <c r="A12" s="1" t="str">
        <f>data!C97</f>
        <v>026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725</v>
      </c>
      <c r="C13" s="275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>
      <c r="A14" s="1" t="s">
        <v>729</v>
      </c>
      <c r="B14" s="275" t="s">
        <v>364</v>
      </c>
      <c r="C14" s="275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8" t="s">
        <v>734</v>
      </c>
    </row>
    <row r="15">
      <c r="A15" s="1" t="s">
        <v>735</v>
      </c>
      <c r="B15" s="275">
        <f>'Prior Year'!C86</f>
        <v>0</v>
      </c>
      <c r="C15" s="275">
        <f>data!C85</f>
        <v>9173193.67</v>
      </c>
      <c r="D15" s="275">
        <f>'Prior Year'!C60</f>
        <v>0</v>
      </c>
      <c r="E15" s="1">
        <f>data!C59</f>
        <v>3690</v>
      </c>
      <c r="F15" s="238" t="str">
        <f ref="F15:F59" t="shared" si="0">IF(B15=0,"",IF(D15=0,"",B15/D15))</f>
      </c>
      <c r="G15" s="238">
        <f ref="G15:G29" t="shared" si="1">IF(C15=0,"",IF(E15=0,"",C15/E15))</f>
        <v>2485.9603441734416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736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737</v>
      </c>
      <c r="B17" s="275">
        <f>'Prior Year'!E86</f>
        <v>0</v>
      </c>
      <c r="C17" s="275">
        <f>data!E85</f>
        <v>25218786.8</v>
      </c>
      <c r="D17" s="275">
        <f>'Prior Year'!E60</f>
        <v>0</v>
      </c>
      <c r="E17" s="1">
        <f>data!E59</f>
        <v>23984</v>
      </c>
      <c r="F17" s="238" t="str">
        <f t="shared" si="0"/>
      </c>
      <c r="G17" s="238">
        <f t="shared" si="1"/>
        <v>1051.48377251501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738</v>
      </c>
      <c r="B18" s="275">
        <f>'Prior Year'!F86</f>
        <v>0</v>
      </c>
      <c r="C18" s="275">
        <f>data!F85</f>
        <v>5244123.7898879992</v>
      </c>
      <c r="D18" s="275">
        <f>'Prior Year'!F60</f>
        <v>0</v>
      </c>
      <c r="E18" s="1">
        <f>data!F59</f>
        <v>1655</v>
      </c>
      <c r="F18" s="238" t="str">
        <f t="shared" si="0"/>
      </c>
      <c r="G18" s="238">
        <f t="shared" si="1"/>
        <v>3168.654857938368</v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739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740</v>
      </c>
      <c r="B20" s="275">
        <f>'Prior Year'!H86</f>
        <v>0</v>
      </c>
      <c r="C20" s="275">
        <f>data!H85</f>
        <v>4726777.9299999988</v>
      </c>
      <c r="D20" s="275">
        <f>'Prior Year'!H60</f>
        <v>0</v>
      </c>
      <c r="E20" s="1">
        <f>data!H59</f>
        <v>4315</v>
      </c>
      <c r="F20" s="238" t="str">
        <f t="shared" si="0"/>
      </c>
      <c r="G20" s="238">
        <f t="shared" si="1"/>
        <v>1095.4294159907297</v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741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742</v>
      </c>
      <c r="B22" s="275">
        <f>'Prior Year'!J86</f>
        <v>0</v>
      </c>
      <c r="C22" s="275">
        <f>data!J85</f>
        <v>1025751.1301119998</v>
      </c>
      <c r="D22" s="275">
        <f>'Prior Year'!J60</f>
        <v>0</v>
      </c>
      <c r="E22" s="1">
        <f>data!J59</f>
        <v>1360</v>
      </c>
      <c r="F22" s="238" t="str">
        <f t="shared" si="0"/>
      </c>
      <c r="G22" s="238">
        <f t="shared" si="1"/>
        <v>754.22877214117636</v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743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744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745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746</v>
      </c>
      <c r="B26" s="1">
        <f>'Prior Year'!N86</f>
        <v>0</v>
      </c>
      <c r="C26" s="275">
        <f>data!N85</f>
        <v>5707621.7399999993</v>
      </c>
      <c r="D26" s="275">
        <f>'Prior Year'!N60</f>
        <v>0</v>
      </c>
      <c r="E26" s="1">
        <f>data!N59</f>
        <v>17107</v>
      </c>
      <c r="F26" s="238" t="str">
        <f t="shared" si="0"/>
      </c>
      <c r="G26" s="238">
        <f t="shared" si="1"/>
        <v>333.64247033378143</v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747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780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748</v>
      </c>
      <c r="B28" s="275">
        <f>'Prior Year'!P86</f>
        <v>0</v>
      </c>
      <c r="C28" s="275">
        <f>data!P85</f>
        <v>17164451.84</v>
      </c>
      <c r="D28" s="275">
        <f>'Prior Year'!P60</f>
        <v>0</v>
      </c>
      <c r="E28" s="1">
        <f>data!P59</f>
        <v>343538</v>
      </c>
      <c r="F28" s="238" t="str">
        <f t="shared" si="0"/>
      </c>
      <c r="G28" s="238">
        <f t="shared" si="1"/>
        <v>49.963764823687626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749</v>
      </c>
      <c r="B29" s="275">
        <f>'Prior Year'!Q86</f>
        <v>0</v>
      </c>
      <c r="C29" s="275">
        <f>data!Q85</f>
        <v>1464894.9000000001</v>
      </c>
      <c r="D29" s="275">
        <f>'Prior Year'!Q60</f>
        <v>0</v>
      </c>
      <c r="E29" s="1">
        <f>data!Q59</f>
        <v>343359</v>
      </c>
      <c r="F29" s="238" t="str">
        <f t="shared" si="0"/>
      </c>
      <c r="G29" s="238">
        <f t="shared" si="1"/>
        <v>4.2663652328903572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750</v>
      </c>
      <c r="B30" s="275">
        <f>'Prior Year'!R86</f>
        <v>0</v>
      </c>
      <c r="C30" s="275">
        <f>data!R85</f>
        <v>5784048.02</v>
      </c>
      <c r="D30" s="275">
        <f>'Prior Year'!R60</f>
        <v>0</v>
      </c>
      <c r="E30" s="1">
        <f>data!R59</f>
        <v>343359</v>
      </c>
      <c r="F30" s="238" t="str">
        <f t="shared" si="0"/>
      </c>
      <c r="G30" s="238">
        <f>IFERROR(IF(C30=0,"",IF(E30=0,"",C30/E30)),"")</f>
        <v>16.845482483348331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751</v>
      </c>
      <c r="B31" s="275">
        <f>'Prior Year'!S86</f>
        <v>0</v>
      </c>
      <c r="C31" s="275">
        <f>data!S85</f>
        <v>844943.41</v>
      </c>
      <c r="D31" s="275" t="s">
        <v>752</v>
      </c>
      <c r="E31" s="4" t="s">
        <v>752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2073701.76</v>
      </c>
      <c r="D32" s="275" t="s">
        <v>752</v>
      </c>
      <c r="E32" s="4" t="s">
        <v>752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8401170.86</v>
      </c>
      <c r="D33" s="275">
        <f>'Prior Year'!U60</f>
        <v>0</v>
      </c>
      <c r="E33" s="1">
        <f>data!U59</f>
        <v>427883</v>
      </c>
      <c r="F33" s="238" t="str">
        <f t="shared" si="0"/>
      </c>
      <c r="G33" s="238">
        <f ref="G33:G69" t="shared" si="5">IF(C33=0,"",IF(E33=0,"",C33/E33))</f>
        <v>19.634271190956404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769054.31</v>
      </c>
      <c r="D35" s="275">
        <f>'Prior Year'!W60</f>
        <v>0</v>
      </c>
      <c r="E35" s="1">
        <f>data!W59</f>
        <v>4030</v>
      </c>
      <c r="F35" s="238" t="str">
        <f t="shared" si="0"/>
      </c>
      <c r="G35" s="238">
        <f t="shared" si="5"/>
        <v>190.83233498759307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2044514.79</v>
      </c>
      <c r="D36" s="275">
        <f>'Prior Year'!X60</f>
        <v>0</v>
      </c>
      <c r="E36" s="1">
        <f>data!X59</f>
        <v>25271</v>
      </c>
      <c r="F36" s="238" t="str">
        <f t="shared" si="0"/>
      </c>
      <c r="G36" s="238">
        <f t="shared" si="5"/>
        <v>80.903596612718133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10713563.64</v>
      </c>
      <c r="D37" s="275">
        <f>'Prior Year'!Y60</f>
        <v>0</v>
      </c>
      <c r="E37" s="1">
        <f>data!Y59</f>
        <v>76394</v>
      </c>
      <c r="F37" s="238" t="str">
        <f t="shared" si="0"/>
      </c>
      <c r="G37" s="238">
        <f t="shared" si="5"/>
        <v>140.24090425949683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1293626.6199999999</v>
      </c>
      <c r="D38" s="275">
        <f>'Prior Year'!Z60</f>
        <v>0</v>
      </c>
      <c r="E38" s="1">
        <f>data!Z59</f>
        <v>10239</v>
      </c>
      <c r="F38" s="238" t="str">
        <f t="shared" si="0"/>
      </c>
      <c r="G38" s="238">
        <f t="shared" si="5"/>
        <v>126.34306279910146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1448865.79</v>
      </c>
      <c r="D39" s="275">
        <f>'Prior Year'!AA60</f>
        <v>0</v>
      </c>
      <c r="E39" s="1">
        <f>data!AA59</f>
        <v>1759</v>
      </c>
      <c r="F39" s="238" t="str">
        <f t="shared" si="0"/>
      </c>
      <c r="G39" s="238">
        <f t="shared" si="5"/>
        <v>823.68720295622518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16684657.370000001</v>
      </c>
      <c r="D40" s="275" t="s">
        <v>752</v>
      </c>
      <c r="E40" s="4" t="s">
        <v>752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3082796.4099999997</v>
      </c>
      <c r="D41" s="275">
        <f>'Prior Year'!AC60</f>
        <v>0</v>
      </c>
      <c r="E41" s="1">
        <f>data!AC59</f>
        <v>35571</v>
      </c>
      <c r="F41" s="238" t="str">
        <f t="shared" si="0"/>
      </c>
      <c r="G41" s="238">
        <f t="shared" si="5"/>
        <v>86.666003485985769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769975.84</v>
      </c>
      <c r="D42" s="275">
        <f>'Prior Year'!AD60</f>
        <v>0</v>
      </c>
      <c r="E42" s="1">
        <f>data!AD59</f>
        <v>974</v>
      </c>
      <c r="F42" s="238" t="str">
        <f t="shared" si="0"/>
      </c>
      <c r="G42" s="238">
        <f t="shared" si="5"/>
        <v>790.52960985626282</v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1524015.7100000002</v>
      </c>
      <c r="D43" s="275">
        <f>'Prior Year'!AE60</f>
        <v>0</v>
      </c>
      <c r="E43" s="1">
        <f>data!AE59</f>
        <v>30322</v>
      </c>
      <c r="F43" s="238" t="str">
        <f t="shared" si="0"/>
      </c>
      <c r="G43" s="238">
        <f t="shared" si="5"/>
        <v>50.261055009564018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4186085.82</v>
      </c>
      <c r="D44" s="275">
        <f>'Prior Year'!AF60</f>
        <v>0</v>
      </c>
      <c r="E44" s="1">
        <f>data!AF59</f>
        <v>8320</v>
      </c>
      <c r="F44" s="238" t="str">
        <f t="shared" si="0"/>
      </c>
      <c r="G44" s="238">
        <f t="shared" si="5"/>
        <v>503.13531490384611</v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17003174.240000002</v>
      </c>
      <c r="D45" s="275">
        <f>'Prior Year'!AG60</f>
        <v>0</v>
      </c>
      <c r="E45" s="1">
        <f>data!AG59</f>
        <v>50381</v>
      </c>
      <c r="F45" s="238" t="str">
        <f t="shared" si="0"/>
      </c>
      <c r="G45" s="238">
        <f t="shared" si="5"/>
        <v>337.49179730453943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5409315.5</v>
      </c>
      <c r="D47" s="275">
        <f>'Prior Year'!AI60</f>
        <v>0</v>
      </c>
      <c r="E47" s="1">
        <f>data!AI59</f>
        <v>8240</v>
      </c>
      <c r="F47" s="238" t="str">
        <f t="shared" si="0"/>
      </c>
      <c r="G47" s="238">
        <f t="shared" si="5"/>
        <v>656.47032766990287</v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56481526.08</v>
      </c>
      <c r="D48" s="275">
        <f>'Prior Year'!AJ60</f>
        <v>0</v>
      </c>
      <c r="E48" s="1">
        <f>data!AJ59</f>
        <v>174250</v>
      </c>
      <c r="F48" s="238" t="str">
        <f t="shared" si="0"/>
      </c>
      <c r="G48" s="238">
        <f t="shared" si="5"/>
        <v>324.14075225251077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</c>
      <c r="G49" s="238" t="str">
        <f t="shared" si="5"/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5953982.01</v>
      </c>
      <c r="D54" s="275">
        <f>'Prior Year'!AP60</f>
        <v>0</v>
      </c>
      <c r="E54" s="1">
        <f>data!AP59</f>
        <v>27707</v>
      </c>
      <c r="F54" s="238" t="str">
        <f t="shared" si="0"/>
      </c>
      <c r="G54" s="238">
        <f t="shared" si="5"/>
        <v>214.89089435882627</v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383592.52999999997</v>
      </c>
      <c r="D60" s="275" t="s">
        <v>752</v>
      </c>
      <c r="E60" s="4" t="s">
        <v>752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0</v>
      </c>
      <c r="D61" s="275" t="s">
        <v>752</v>
      </c>
      <c r="E61" s="4" t="s">
        <v>752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752</v>
      </c>
      <c r="E62" s="4" t="s">
        <v>752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2500120.6999999997</v>
      </c>
      <c r="D63" s="275">
        <f>'Prior Year'!AY60</f>
        <v>0</v>
      </c>
      <c r="E63" s="1">
        <f>data!AY59</f>
        <v>117935</v>
      </c>
      <c r="F63" s="238" t="str">
        <f>IF(B63=0,"",IF(D63=0,"",B63/D63))</f>
      </c>
      <c r="G63" s="238">
        <f t="shared" si="5"/>
        <v>21.199141052274555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3367158.73</v>
      </c>
      <c r="D66" s="275" t="s">
        <v>752</v>
      </c>
      <c r="E66" s="4" t="s">
        <v>752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423678.64999999997</v>
      </c>
      <c r="D67" s="275" t="s">
        <v>752</v>
      </c>
      <c r="E67" s="4" t="s">
        <v>752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31002</v>
      </c>
      <c r="D68" s="275" t="s">
        <v>752</v>
      </c>
      <c r="E68" s="4" t="s">
        <v>752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15768299.2</v>
      </c>
      <c r="D69" s="275">
        <f>'Prior Year'!BE60</f>
        <v>0</v>
      </c>
      <c r="E69" s="1">
        <f>data!BE59</f>
        <v>802141</v>
      </c>
      <c r="F69" s="238" t="str">
        <f>IF(B69=0,"",IF(D69=0,"",B69/D69))</f>
      </c>
      <c r="G69" s="238">
        <f t="shared" si="5"/>
        <v>19.657764906668529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5151066.58</v>
      </c>
      <c r="D70" s="275" t="s">
        <v>752</v>
      </c>
      <c r="E70" s="4" t="s">
        <v>752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808257.47</v>
      </c>
      <c r="D71" s="275" t="s">
        <v>752</v>
      </c>
      <c r="E71" s="4" t="s">
        <v>752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29219</v>
      </c>
      <c r="D72" s="275" t="s">
        <v>752</v>
      </c>
      <c r="E72" s="4" t="s">
        <v>752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0</v>
      </c>
      <c r="D73" s="275" t="s">
        <v>752</v>
      </c>
      <c r="E73" s="4" t="s">
        <v>752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0</v>
      </c>
      <c r="D74" s="275" t="s">
        <v>752</v>
      </c>
      <c r="E74" s="4" t="s">
        <v>752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24532</v>
      </c>
      <c r="D75" s="275" t="s">
        <v>752</v>
      </c>
      <c r="E75" s="4" t="s">
        <v>752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0</v>
      </c>
      <c r="D76" s="275" t="s">
        <v>752</v>
      </c>
      <c r="E76" s="4" t="s">
        <v>752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752</v>
      </c>
      <c r="E77" s="4" t="s">
        <v>752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43399221.75</v>
      </c>
      <c r="D78" s="275" t="s">
        <v>752</v>
      </c>
      <c r="E78" s="4" t="s">
        <v>752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225396.96</v>
      </c>
      <c r="D79" s="275" t="s">
        <v>752</v>
      </c>
      <c r="E79" s="4" t="s">
        <v>752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0</v>
      </c>
      <c r="D80" s="275" t="s">
        <v>752</v>
      </c>
      <c r="E80" s="4" t="s">
        <v>752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752</v>
      </c>
      <c r="E81" s="4" t="s">
        <v>752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0</v>
      </c>
      <c r="D82" s="275" t="s">
        <v>752</v>
      </c>
      <c r="E82" s="4" t="s">
        <v>752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632551.81999999983</v>
      </c>
      <c r="D83" s="275" t="s">
        <v>752</v>
      </c>
      <c r="E83" s="4" t="s">
        <v>752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618354.56999999983</v>
      </c>
      <c r="D84" s="275" t="s">
        <v>752</v>
      </c>
      <c r="E84" s="4" t="s">
        <v>752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79071.88</v>
      </c>
      <c r="D85" s="275" t="s">
        <v>752</v>
      </c>
      <c r="E85" s="4" t="s">
        <v>752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51660.35</v>
      </c>
      <c r="D86" s="275" t="s">
        <v>752</v>
      </c>
      <c r="E86" s="4" t="s">
        <v>752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572909.25</v>
      </c>
      <c r="D87" s="275" t="s">
        <v>752</v>
      </c>
      <c r="E87" s="4" t="s">
        <v>752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1575184.71</v>
      </c>
      <c r="D88" s="275" t="s">
        <v>752</v>
      </c>
      <c r="E88" s="4" t="s">
        <v>752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4348637.4099999992</v>
      </c>
      <c r="D89" s="275" t="s">
        <v>752</v>
      </c>
      <c r="E89" s="4" t="s">
        <v>752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338582.20999999996</v>
      </c>
      <c r="D90" s="275" t="s">
        <v>752</v>
      </c>
      <c r="E90" s="4" t="s">
        <v>752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34173</v>
      </c>
      <c r="D91" s="275" t="s">
        <v>752</v>
      </c>
      <c r="E91" s="4" t="s">
        <v>752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0</v>
      </c>
      <c r="D92" s="275" t="s">
        <v>752</v>
      </c>
      <c r="E92" s="4" t="s">
        <v>752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14768871.11</v>
      </c>
      <c r="D93" s="275" t="s">
        <v>752</v>
      </c>
      <c r="E93" s="4" t="s">
        <v>752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8855674.8999999985</v>
      </c>
      <c r="D94" s="275" t="s">
        <v>752</v>
      </c>
      <c r="E94" s="4" t="s">
        <v>752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3" t="s">
        <v>816</v>
      </c>
    </row>
    <row r="3">
      <c r="A3" s="11" t="s">
        <v>817</v>
      </c>
    </row>
    <row r="4">
      <c r="A4" s="331" t="s">
        <v>818</v>
      </c>
    </row>
    <row r="5">
      <c r="A5" s="332" t="s">
        <v>819</v>
      </c>
    </row>
    <row r="6">
      <c r="A6" s="330"/>
    </row>
    <row r="7">
      <c r="A7" s="331" t="s">
        <v>820</v>
      </c>
    </row>
    <row r="8">
      <c r="A8" s="332" t="s">
        <v>821</v>
      </c>
    </row>
    <row r="11">
      <c r="A11" s="13" t="s">
        <v>822</v>
      </c>
      <c r="D11" s="276">
        <f>data!C380</f>
        <v>15458950.490000002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1470543.5700000003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H-26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PeaceHealth St John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98632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Cowlitz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Sean Gregory, CEO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Tracey Fernandez, CFO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(360) 514-2002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(360) 514-6670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326</v>
      </c>
      <c r="B15" s="88"/>
      <c r="C15" s="89" t="s">
        <v>328</v>
      </c>
      <c r="D15" s="88"/>
      <c r="E15" s="89" t="s">
        <v>330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</c>
      <c r="D16" s="94" t="s">
        <v>837</v>
      </c>
      <c r="E16" s="278" t="str">
        <f>IF(data!C120&gt;0," X","")</f>
      </c>
      <c r="F16" s="95" t="s">
        <v>331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  <v> X</v>
      </c>
      <c r="D17" s="94" t="s">
        <v>411</v>
      </c>
      <c r="E17" s="278" t="str">
        <f>IF(data!C121&gt;0," X","")</f>
      </c>
      <c r="F17" s="95" t="s">
        <v>332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333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336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6280</v>
      </c>
      <c r="G23" s="81">
        <f>data!D127</f>
        <v>33644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340</v>
      </c>
      <c r="C26" s="78"/>
      <c r="D26" s="78"/>
      <c r="E26" s="78"/>
      <c r="F26" s="77">
        <f>data!C130</f>
        <v>780</v>
      </c>
      <c r="G26" s="81">
        <f>data!D130</f>
        <v>1360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342</v>
      </c>
      <c r="C30" s="81"/>
      <c r="D30" s="81">
        <f>data!C132</f>
        <v>10</v>
      </c>
      <c r="E30" s="78" t="s">
        <v>348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6</v>
      </c>
      <c r="E31" s="78" t="s">
        <v>349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74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0</v>
      </c>
      <c r="E33" s="78" t="s">
        <v>849</v>
      </c>
      <c r="F33" s="81"/>
      <c r="G33" s="81">
        <f>data!C142</f>
        <v>0</v>
      </c>
    </row>
    <row r="34" ht="20.1" customHeight="1">
      <c r="A34" s="77"/>
      <c r="B34" s="97" t="s">
        <v>850</v>
      </c>
      <c r="C34" s="81"/>
      <c r="D34" s="81">
        <f>data!C136</f>
        <v>17</v>
      </c>
      <c r="E34" s="78" t="s">
        <v>351</v>
      </c>
      <c r="F34" s="81"/>
      <c r="G34" s="81">
        <f>data!E143</f>
        <v>121</v>
      </c>
    </row>
    <row r="35" ht="20.1" customHeight="1">
      <c r="A35" s="77"/>
      <c r="B35" s="97" t="s">
        <v>851</v>
      </c>
      <c r="C35" s="81"/>
      <c r="D35" s="81">
        <f>data!C137</f>
        <v>0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14</v>
      </c>
      <c r="E36" s="78" t="s">
        <v>352</v>
      </c>
      <c r="F36" s="81"/>
      <c r="G36" s="81">
        <f>data!C144</f>
        <v>346</v>
      </c>
    </row>
    <row r="37" ht="20.1" customHeight="1">
      <c r="A37" s="77"/>
      <c r="E37" s="78" t="s">
        <v>353</v>
      </c>
      <c r="F37" s="81"/>
      <c r="G37" s="81">
        <f>data!C145</f>
        <v>6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348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PeaceHealth St John Medical Center</v>
      </c>
      <c r="G2" s="4" t="s">
        <v>856</v>
      </c>
    </row>
    <row r="3" ht="20.1" customHeight="1">
      <c r="G3" s="4" t="str">
        <f>"FYE: "&amp;data!C96</f>
        <v>FYE: 06/30/2022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363</v>
      </c>
      <c r="F5" s="88"/>
      <c r="G5" s="88"/>
    </row>
    <row r="6" ht="20.1" customHeight="1">
      <c r="A6" s="140" t="s">
        <v>859</v>
      </c>
      <c r="B6" s="93" t="s">
        <v>336</v>
      </c>
      <c r="C6" s="93" t="s">
        <v>860</v>
      </c>
      <c r="D6" s="93" t="s">
        <v>359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357</v>
      </c>
      <c r="B7" s="141">
        <f>data!B154</f>
        <v>3287</v>
      </c>
      <c r="C7" s="141">
        <f>data!B155</f>
        <v>19613</v>
      </c>
      <c r="D7" s="141">
        <f>data!B156</f>
        <v>40871</v>
      </c>
      <c r="E7" s="141">
        <f>data!B157</f>
        <v>210231802</v>
      </c>
      <c r="F7" s="141">
        <f>data!B158</f>
        <v>306421432</v>
      </c>
      <c r="G7" s="141">
        <f>data!B157+data!B158</f>
        <v>516653234</v>
      </c>
    </row>
    <row r="8" ht="20.1" customHeight="1">
      <c r="A8" s="77" t="s">
        <v>358</v>
      </c>
      <c r="B8" s="141">
        <f>data!C154</f>
        <v>1683</v>
      </c>
      <c r="C8" s="141">
        <f>data!C155</f>
        <v>8197</v>
      </c>
      <c r="D8" s="141">
        <f>data!C156</f>
        <v>27585</v>
      </c>
      <c r="E8" s="141">
        <f>data!C157</f>
        <v>93530533</v>
      </c>
      <c r="F8" s="141">
        <f>data!C158</f>
        <v>153209496</v>
      </c>
      <c r="G8" s="141">
        <f>data!C157+data!C158</f>
        <v>246740029</v>
      </c>
    </row>
    <row r="9" ht="20.1" customHeight="1">
      <c r="A9" s="77" t="s">
        <v>861</v>
      </c>
      <c r="B9" s="141">
        <f>data!D154</f>
        <v>1310</v>
      </c>
      <c r="C9" s="141">
        <f>data!D155</f>
        <v>5834</v>
      </c>
      <c r="D9" s="141">
        <f>data!D156</f>
        <v>31590</v>
      </c>
      <c r="E9" s="141">
        <f>data!D157</f>
        <v>73913044</v>
      </c>
      <c r="F9" s="141">
        <f>data!D158</f>
        <v>200517862</v>
      </c>
      <c r="G9" s="141">
        <f>data!D157+data!D158</f>
        <v>274430906</v>
      </c>
    </row>
    <row r="10" ht="20.1" customHeight="1">
      <c r="A10" s="92" t="s">
        <v>230</v>
      </c>
      <c r="B10" s="141">
        <f>data!E154</f>
        <v>6280</v>
      </c>
      <c r="C10" s="141">
        <f>data!E155</f>
        <v>33644</v>
      </c>
      <c r="D10" s="141">
        <f>data!E156</f>
        <v>100046</v>
      </c>
      <c r="E10" s="141">
        <f>data!E157</f>
        <v>377675379</v>
      </c>
      <c r="F10" s="141">
        <f>data!E158</f>
        <v>660148790</v>
      </c>
      <c r="G10" s="141">
        <f>E10+F10</f>
        <v>1037824169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363</v>
      </c>
      <c r="F14" s="147"/>
      <c r="G14" s="147"/>
    </row>
    <row r="15" ht="20.1" customHeight="1">
      <c r="A15" s="140" t="s">
        <v>859</v>
      </c>
      <c r="B15" s="93" t="s">
        <v>336</v>
      </c>
      <c r="C15" s="93" t="s">
        <v>860</v>
      </c>
      <c r="D15" s="93" t="s">
        <v>359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357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358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363</v>
      </c>
      <c r="F23" s="88"/>
      <c r="G23" s="88"/>
    </row>
    <row r="24" ht="20.1" customHeight="1">
      <c r="A24" s="140" t="s">
        <v>859</v>
      </c>
      <c r="B24" s="93" t="s">
        <v>336</v>
      </c>
      <c r="C24" s="93" t="s">
        <v>860</v>
      </c>
      <c r="D24" s="93" t="s">
        <v>359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357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358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92719115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739649335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366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PeaceHealth St John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367</v>
      </c>
      <c r="C5" s="137"/>
    </row>
    <row r="6" ht="20.1" customHeight="1">
      <c r="A6" s="157">
        <v>2</v>
      </c>
      <c r="B6" s="78" t="s">
        <v>868</v>
      </c>
      <c r="C6" s="77">
        <f>data!C181</f>
        <v>8770280.63</v>
      </c>
    </row>
    <row r="7" ht="20.1" customHeight="1">
      <c r="A7" s="158">
        <v>3</v>
      </c>
      <c r="B7" s="97" t="s">
        <v>369</v>
      </c>
      <c r="C7" s="77">
        <f>data!C182</f>
        <v>220674.73</v>
      </c>
    </row>
    <row r="8" ht="20.1" customHeight="1">
      <c r="A8" s="158">
        <v>4</v>
      </c>
      <c r="B8" s="78" t="s">
        <v>370</v>
      </c>
      <c r="C8" s="77">
        <f>data!C183</f>
        <v>948954.01</v>
      </c>
    </row>
    <row r="9" ht="20.1" customHeight="1">
      <c r="A9" s="158">
        <v>5</v>
      </c>
      <c r="B9" s="78" t="s">
        <v>371</v>
      </c>
      <c r="C9" s="77">
        <f>data!C184</f>
        <v>15681584.66</v>
      </c>
    </row>
    <row r="10" ht="20.1" customHeight="1">
      <c r="A10" s="158">
        <v>6</v>
      </c>
      <c r="B10" s="78" t="s">
        <v>372</v>
      </c>
      <c r="C10" s="77">
        <f>data!C185</f>
        <v>108694.19</v>
      </c>
    </row>
    <row r="11" ht="20.1" customHeight="1">
      <c r="A11" s="158">
        <v>7</v>
      </c>
      <c r="B11" s="78" t="s">
        <v>373</v>
      </c>
      <c r="C11" s="77">
        <f>data!C186</f>
        <v>8099023.04</v>
      </c>
    </row>
    <row r="12" ht="20.1" customHeight="1">
      <c r="A12" s="158">
        <v>8</v>
      </c>
      <c r="B12" s="78" t="s">
        <v>374</v>
      </c>
      <c r="C12" s="77">
        <f>data!C187</f>
        <v>1177434.33</v>
      </c>
    </row>
    <row r="13" ht="20.1" customHeight="1">
      <c r="A13" s="158">
        <v>9</v>
      </c>
      <c r="B13" s="78" t="s">
        <v>374</v>
      </c>
      <c r="C13" s="77">
        <f>data!C188</f>
        <v>56946.85</v>
      </c>
    </row>
    <row r="14" ht="20.1" customHeight="1">
      <c r="A14" s="158">
        <v>10</v>
      </c>
      <c r="B14" s="78" t="s">
        <v>869</v>
      </c>
      <c r="C14" s="77">
        <f>data!D189</f>
        <v>35063592.440000005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375</v>
      </c>
      <c r="C17" s="91"/>
    </row>
    <row r="18" ht="20.1" customHeight="1">
      <c r="A18" s="77">
        <v>12</v>
      </c>
      <c r="B18" s="78" t="s">
        <v>870</v>
      </c>
      <c r="C18" s="77">
        <f>data!C191</f>
        <v>582023.969999999</v>
      </c>
    </row>
    <row r="19" ht="20.1" customHeight="1">
      <c r="A19" s="77">
        <v>13</v>
      </c>
      <c r="B19" s="78" t="s">
        <v>871</v>
      </c>
      <c r="C19" s="77">
        <f>data!C192</f>
        <v>567717.87</v>
      </c>
    </row>
    <row r="20" ht="20.1" customHeight="1">
      <c r="A20" s="77">
        <v>14</v>
      </c>
      <c r="B20" s="78" t="s">
        <v>872</v>
      </c>
      <c r="C20" s="77">
        <f>data!D193</f>
        <v>1149741.8399999989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378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1884016.9</v>
      </c>
    </row>
    <row r="26" ht="20.1" customHeight="1">
      <c r="A26" s="77">
        <v>18</v>
      </c>
      <c r="B26" s="78" t="s">
        <v>380</v>
      </c>
      <c r="C26" s="77">
        <f>data!C196</f>
        <v>882578.49</v>
      </c>
    </row>
    <row r="27" ht="20.1" customHeight="1">
      <c r="A27" s="77">
        <v>19</v>
      </c>
      <c r="B27" s="78" t="s">
        <v>875</v>
      </c>
      <c r="C27" s="77">
        <f>data!D197</f>
        <v>2766595.3899999997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382</v>
      </c>
      <c r="C31" s="77">
        <f>data!C199</f>
        <v>353542.55</v>
      </c>
    </row>
    <row r="32" ht="20.1" customHeight="1">
      <c r="A32" s="77">
        <v>22</v>
      </c>
      <c r="B32" s="78" t="s">
        <v>877</v>
      </c>
      <c r="C32" s="77">
        <f>data!C200</f>
        <v>6679823.22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7033365.77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384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386</v>
      </c>
      <c r="C39" s="77">
        <f>data!C205</f>
        <v>27662.53</v>
      </c>
    </row>
    <row r="40" ht="20.1" customHeight="1">
      <c r="A40" s="77">
        <v>28</v>
      </c>
      <c r="B40" s="78" t="s">
        <v>880</v>
      </c>
      <c r="C40" s="77">
        <f>data!D206</f>
        <v>27662.53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387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PeaceHealth St John Medical Center</v>
      </c>
      <c r="F3" s="156" t="str">
        <f>"FYE: "&amp;data!C96</f>
        <v>FYE: 06/30/2022</v>
      </c>
    </row>
    <row r="4" ht="20.1" customHeight="1">
      <c r="A4" s="162" t="s">
        <v>388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390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393</v>
      </c>
      <c r="C7" s="81">
        <f>data!B211</f>
        <v>3531051.5500000007</v>
      </c>
      <c r="D7" s="81">
        <f>data!C225</f>
        <v>47937.310000000005</v>
      </c>
      <c r="E7" s="81">
        <f>data!D225</f>
        <v>0</v>
      </c>
      <c r="F7" s="81">
        <f>data!E211</f>
        <v>3428725.4700000007</v>
      </c>
    </row>
    <row r="8" ht="20.1" customHeight="1">
      <c r="A8" s="77">
        <v>2</v>
      </c>
      <c r="B8" s="81" t="s">
        <v>394</v>
      </c>
      <c r="C8" s="81">
        <f>data!B212</f>
        <v>2712760.33</v>
      </c>
      <c r="D8" s="81">
        <f>data!C226</f>
        <v>4885460.6000000006</v>
      </c>
      <c r="E8" s="81">
        <f>data!D226</f>
        <v>371281.27</v>
      </c>
      <c r="F8" s="81">
        <f>data!E212</f>
        <v>2724759.5700000003</v>
      </c>
    </row>
    <row r="9" ht="20.1" customHeight="1">
      <c r="A9" s="77">
        <v>3</v>
      </c>
      <c r="B9" s="81" t="s">
        <v>395</v>
      </c>
      <c r="C9" s="81">
        <f>data!B213</f>
        <v>170019369.97</v>
      </c>
      <c r="D9" s="81">
        <f>data!C227</f>
        <v>0</v>
      </c>
      <c r="E9" s="81">
        <f>data!D227</f>
        <v>0</v>
      </c>
      <c r="F9" s="81">
        <f>data!E213</f>
        <v>171558824.61999998</v>
      </c>
    </row>
    <row r="10" ht="20.1" customHeight="1">
      <c r="A10" s="77">
        <v>4</v>
      </c>
      <c r="B10" s="81" t="s">
        <v>886</v>
      </c>
      <c r="C10" s="81">
        <f>data!B214</f>
        <v>0</v>
      </c>
      <c r="D10" s="81">
        <f>data!C228</f>
        <v>1685872.0699999998</v>
      </c>
      <c r="E10" s="81">
        <f>data!D228</f>
        <v>0</v>
      </c>
      <c r="F10" s="81">
        <f>data!E214</f>
        <v>0</v>
      </c>
    </row>
    <row r="11" ht="20.1" customHeight="1">
      <c r="A11" s="77">
        <v>5</v>
      </c>
      <c r="B11" s="81" t="s">
        <v>887</v>
      </c>
      <c r="C11" s="81">
        <f>data!B215</f>
        <v>27193633.69</v>
      </c>
      <c r="D11" s="81">
        <f>data!C229</f>
        <v>3930217.23</v>
      </c>
      <c r="E11" s="81">
        <f>data!D229</f>
        <v>1391812.02</v>
      </c>
      <c r="F11" s="81">
        <f>data!E215</f>
        <v>34464370.870000005</v>
      </c>
    </row>
    <row r="12" ht="20.1" customHeight="1">
      <c r="A12" s="77">
        <v>6</v>
      </c>
      <c r="B12" s="81" t="s">
        <v>888</v>
      </c>
      <c r="C12" s="81">
        <f>data!B216</f>
        <v>67748700.69</v>
      </c>
      <c r="D12" s="81">
        <f>data!C230</f>
        <v>0</v>
      </c>
      <c r="E12" s="81">
        <f>data!D230</f>
        <v>0</v>
      </c>
      <c r="F12" s="81">
        <f>data!E216</f>
        <v>72871633.61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192563.09000000003</v>
      </c>
      <c r="E13" s="81">
        <f>data!D231</f>
        <v>0</v>
      </c>
      <c r="F13" s="81">
        <f>data!E217</f>
        <v>0</v>
      </c>
    </row>
    <row r="14" ht="20.1" customHeight="1">
      <c r="A14" s="77">
        <v>8</v>
      </c>
      <c r="B14" s="81" t="s">
        <v>400</v>
      </c>
      <c r="C14" s="81">
        <f>data!B218</f>
        <v>2028762.51</v>
      </c>
      <c r="D14" s="81">
        <f>data!C232</f>
        <v>0</v>
      </c>
      <c r="E14" s="81">
        <f>data!D232</f>
        <v>0</v>
      </c>
      <c r="F14" s="81">
        <f>data!E218</f>
        <v>2028762.51</v>
      </c>
    </row>
    <row r="15" ht="20.1" customHeight="1">
      <c r="A15" s="77">
        <v>9</v>
      </c>
      <c r="B15" s="81" t="s">
        <v>890</v>
      </c>
      <c r="C15" s="81">
        <f>data!B219</f>
        <v>7180708.55</v>
      </c>
      <c r="D15" s="81">
        <f>data!C233</f>
        <v>10742050.3</v>
      </c>
      <c r="E15" s="81">
        <f>data!D233</f>
        <v>1763093.29</v>
      </c>
      <c r="F15" s="81">
        <f>data!E219</f>
        <v>5940839.6500000013</v>
      </c>
    </row>
    <row r="16" ht="20.1" customHeight="1">
      <c r="A16" s="77">
        <v>10</v>
      </c>
      <c r="B16" s="81" t="s">
        <v>614</v>
      </c>
      <c r="C16" s="81">
        <f>data!B220</f>
        <v>280414987.29</v>
      </c>
      <c r="D16" s="81">
        <f>data!C234</f>
        <v>0</v>
      </c>
      <c r="E16" s="81">
        <f>data!D234</f>
        <v>0</v>
      </c>
      <c r="F16" s="81">
        <f>data!E220</f>
        <v>293017916.29999995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402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393</v>
      </c>
      <c r="C23" s="169"/>
      <c r="D23" s="169"/>
      <c r="E23" s="169"/>
      <c r="F23" s="169"/>
    </row>
    <row r="24" ht="20.1" customHeight="1">
      <c r="A24" s="77">
        <v>12</v>
      </c>
      <c r="B24" s="81" t="s">
        <v>394</v>
      </c>
      <c r="C24" s="81">
        <f>data!B225</f>
        <v>2280833.1900000004</v>
      </c>
      <c r="D24" s="81">
        <f>data!C225</f>
        <v>47937.310000000005</v>
      </c>
      <c r="E24" s="81">
        <f>data!D225</f>
        <v>0</v>
      </c>
      <c r="F24" s="81">
        <f>data!E225</f>
        <v>2328770.5000000005</v>
      </c>
    </row>
    <row r="25" ht="20.1" customHeight="1">
      <c r="A25" s="77">
        <v>13</v>
      </c>
      <c r="B25" s="81" t="s">
        <v>395</v>
      </c>
      <c r="C25" s="81">
        <f>data!B226</f>
        <v>119606638.53999998</v>
      </c>
      <c r="D25" s="81">
        <f>data!C226</f>
        <v>4885460.6000000006</v>
      </c>
      <c r="E25" s="81">
        <f>data!D226</f>
        <v>371281.27</v>
      </c>
      <c r="F25" s="81">
        <f>data!E226</f>
        <v>124120817.86999998</v>
      </c>
    </row>
    <row r="26" ht="20.1" customHeight="1">
      <c r="A26" s="77">
        <v>14</v>
      </c>
      <c r="B26" s="81" t="s">
        <v>886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ht="20.1" customHeight="1">
      <c r="A27" s="77">
        <v>15</v>
      </c>
      <c r="B27" s="81" t="s">
        <v>887</v>
      </c>
      <c r="C27" s="81">
        <f>data!B228</f>
        <v>13093479.540000014</v>
      </c>
      <c r="D27" s="81">
        <f>data!C228</f>
        <v>1685872.0699999998</v>
      </c>
      <c r="E27" s="81">
        <f>data!D228</f>
        <v>0</v>
      </c>
      <c r="F27" s="81">
        <f>data!E228</f>
        <v>14779351.610000014</v>
      </c>
    </row>
    <row r="28" ht="20.1" customHeight="1">
      <c r="A28" s="77">
        <v>16</v>
      </c>
      <c r="B28" s="81" t="s">
        <v>888</v>
      </c>
      <c r="C28" s="81">
        <f>data!B229</f>
        <v>54531253.700000294</v>
      </c>
      <c r="D28" s="81">
        <f>data!C229</f>
        <v>3930217.23</v>
      </c>
      <c r="E28" s="81">
        <f>data!D229</f>
        <v>1391812.02</v>
      </c>
      <c r="F28" s="81">
        <f>data!E229</f>
        <v>57069658.910000287</v>
      </c>
    </row>
    <row r="29" ht="20.1" customHeight="1">
      <c r="A29" s="77">
        <v>17</v>
      </c>
      <c r="B29" s="81" t="s">
        <v>889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400</v>
      </c>
      <c r="C30" s="81">
        <f>data!B231</f>
        <v>792366.00999999989</v>
      </c>
      <c r="D30" s="81">
        <f>data!C231</f>
        <v>192563.09000000003</v>
      </c>
      <c r="E30" s="81">
        <f>data!D231</f>
        <v>0</v>
      </c>
      <c r="F30" s="81">
        <f>data!E231</f>
        <v>984929.09999999986</v>
      </c>
    </row>
    <row r="31" ht="20.1" customHeight="1">
      <c r="A31" s="77">
        <v>19</v>
      </c>
      <c r="B31" s="81" t="s">
        <v>890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614</v>
      </c>
      <c r="C32" s="81">
        <f>data!B233</f>
        <v>190304570.98000026</v>
      </c>
      <c r="D32" s="81">
        <f>data!C233</f>
        <v>10742050.3</v>
      </c>
      <c r="E32" s="81">
        <f>data!D233</f>
        <v>1763093.29</v>
      </c>
      <c r="F32" s="81">
        <f>data!E233</f>
        <v>199283527.99000028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PeaceHealth St John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404</v>
      </c>
      <c r="D5" s="81">
        <f>data!D237</f>
        <v>10655077.95</v>
      </c>
    </row>
    <row r="6" ht="20.1" customHeight="1">
      <c r="A6" s="77">
        <v>2</v>
      </c>
      <c r="B6" s="83"/>
      <c r="C6" s="156" t="s">
        <v>500</v>
      </c>
      <c r="D6" s="167"/>
    </row>
    <row r="7" ht="20.1" customHeight="1">
      <c r="A7" s="77">
        <v>3</v>
      </c>
      <c r="B7" s="172">
        <v>5810</v>
      </c>
      <c r="C7" s="81" t="s">
        <v>357</v>
      </c>
      <c r="D7" s="81">
        <f>data!C239</f>
        <v>394408488.28</v>
      </c>
    </row>
    <row r="8" ht="20.1" customHeight="1">
      <c r="A8" s="77">
        <v>4</v>
      </c>
      <c r="B8" s="172">
        <v>5820</v>
      </c>
      <c r="C8" s="81" t="s">
        <v>358</v>
      </c>
      <c r="D8" s="81">
        <f>data!C240</f>
        <v>200717119.46</v>
      </c>
    </row>
    <row r="9" ht="20.1" customHeight="1">
      <c r="A9" s="77">
        <v>5</v>
      </c>
      <c r="B9" s="172">
        <v>5830</v>
      </c>
      <c r="C9" s="81" t="s">
        <v>370</v>
      </c>
      <c r="D9" s="81">
        <f>data!C241</f>
        <v>5542115.11</v>
      </c>
    </row>
    <row r="10" ht="20.1" customHeight="1">
      <c r="A10" s="77">
        <v>6</v>
      </c>
      <c r="B10" s="172">
        <v>5840</v>
      </c>
      <c r="C10" s="81" t="s">
        <v>409</v>
      </c>
      <c r="D10" s="81">
        <f>data!C242</f>
        <v>30451991.59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61699494.26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3912407.45</v>
      </c>
    </row>
    <row r="13" ht="20.1" customHeight="1">
      <c r="A13" s="77">
        <v>9</v>
      </c>
      <c r="B13" s="81"/>
      <c r="C13" s="81" t="s">
        <v>897</v>
      </c>
      <c r="D13" s="81">
        <f>data!D245</f>
        <v>696731616.1500001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413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15161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415</v>
      </c>
      <c r="D18" s="81">
        <f>data!C249</f>
        <v>3971975.56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10957867.52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14929843.08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419</v>
      </c>
      <c r="D24" s="81">
        <f>data!C254</f>
        <v>202954.55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202954.55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PeaceHealth St John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423</v>
      </c>
      <c r="C5" s="189"/>
    </row>
    <row r="6" ht="20.1" customHeight="1">
      <c r="A6" s="188">
        <v>2</v>
      </c>
      <c r="B6" s="190" t="s">
        <v>424</v>
      </c>
      <c r="C6" s="190">
        <f>data!C266</f>
        <v>0</v>
      </c>
    </row>
    <row r="7" ht="20.1" customHeight="1">
      <c r="A7" s="188">
        <v>3</v>
      </c>
      <c r="B7" s="190" t="s">
        <v>425</v>
      </c>
      <c r="C7" s="190">
        <f>data!C267</f>
        <v>0</v>
      </c>
    </row>
    <row r="8" ht="20.1" customHeight="1">
      <c r="A8" s="188">
        <v>4</v>
      </c>
      <c r="B8" s="190" t="s">
        <v>426</v>
      </c>
      <c r="C8" s="190">
        <f>data!C268</f>
        <v>139010044.97</v>
      </c>
    </row>
    <row r="9" ht="20.1" customHeight="1">
      <c r="A9" s="188">
        <v>5</v>
      </c>
      <c r="B9" s="190" t="s">
        <v>907</v>
      </c>
      <c r="C9" s="190">
        <f>data!C269</f>
        <v>101511186</v>
      </c>
    </row>
    <row r="10" ht="20.1" customHeight="1">
      <c r="A10" s="188">
        <v>6</v>
      </c>
      <c r="B10" s="190" t="s">
        <v>908</v>
      </c>
      <c r="C10" s="190">
        <f>data!C270</f>
        <v>409290.77000000142</v>
      </c>
    </row>
    <row r="11" ht="20.1" customHeight="1">
      <c r="A11" s="188">
        <v>7</v>
      </c>
      <c r="B11" s="190" t="s">
        <v>909</v>
      </c>
      <c r="C11" s="190">
        <f>data!C271</f>
        <v>0</v>
      </c>
    </row>
    <row r="12" ht="20.1" customHeight="1">
      <c r="A12" s="188">
        <v>8</v>
      </c>
      <c r="B12" s="190" t="s">
        <v>430</v>
      </c>
      <c r="C12" s="190">
        <f>data!C272</f>
        <v>0</v>
      </c>
    </row>
    <row r="13" ht="20.1" customHeight="1">
      <c r="A13" s="188">
        <v>9</v>
      </c>
      <c r="B13" s="190" t="s">
        <v>431</v>
      </c>
      <c r="C13" s="190">
        <f>data!C273</f>
        <v>0</v>
      </c>
    </row>
    <row r="14" ht="20.1" customHeight="1">
      <c r="A14" s="188">
        <v>10</v>
      </c>
      <c r="B14" s="190" t="s">
        <v>432</v>
      </c>
      <c r="C14" s="190">
        <f>data!C274</f>
        <v>0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37908149.74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424</v>
      </c>
      <c r="C19" s="190">
        <f>data!C278</f>
        <v>0</v>
      </c>
    </row>
    <row r="20" ht="20.1" customHeight="1">
      <c r="A20" s="188">
        <v>16</v>
      </c>
      <c r="B20" s="190" t="s">
        <v>425</v>
      </c>
      <c r="C20" s="190">
        <f>data!C279</f>
        <v>0</v>
      </c>
    </row>
    <row r="21" ht="20.1" customHeight="1">
      <c r="A21" s="188">
        <v>17</v>
      </c>
      <c r="B21" s="190" t="s">
        <v>436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393</v>
      </c>
      <c r="C25" s="190">
        <f>data!C283</f>
        <v>3428725.4700000007</v>
      </c>
    </row>
    <row r="26" ht="20.1" customHeight="1">
      <c r="A26" s="188">
        <v>22</v>
      </c>
      <c r="B26" s="190" t="s">
        <v>394</v>
      </c>
      <c r="C26" s="190">
        <f>data!C284</f>
        <v>2724759.5700000003</v>
      </c>
    </row>
    <row r="27" ht="20.1" customHeight="1">
      <c r="A27" s="188">
        <v>23</v>
      </c>
      <c r="B27" s="190" t="s">
        <v>395</v>
      </c>
      <c r="C27" s="190">
        <f>data!C285</f>
        <v>171558824.61999998</v>
      </c>
    </row>
    <row r="28" ht="20.1" customHeight="1">
      <c r="A28" s="188">
        <v>24</v>
      </c>
      <c r="B28" s="190" t="s">
        <v>915</v>
      </c>
      <c r="C28" s="190">
        <f>data!C286</f>
        <v>0</v>
      </c>
    </row>
    <row r="29" ht="20.1" customHeight="1">
      <c r="A29" s="188">
        <v>25</v>
      </c>
      <c r="B29" s="190" t="s">
        <v>397</v>
      </c>
      <c r="C29" s="190">
        <f>data!C287</f>
        <v>34464370.870000005</v>
      </c>
    </row>
    <row r="30" ht="20.1" customHeight="1">
      <c r="A30" s="188">
        <v>26</v>
      </c>
      <c r="B30" s="190" t="s">
        <v>441</v>
      </c>
      <c r="C30" s="190">
        <f>data!C288</f>
        <v>72871633.61</v>
      </c>
    </row>
    <row r="31" ht="20.1" customHeight="1">
      <c r="A31" s="188">
        <v>27</v>
      </c>
      <c r="B31" s="190" t="s">
        <v>400</v>
      </c>
      <c r="C31" s="190">
        <f>data!C289</f>
        <v>2028762.51</v>
      </c>
    </row>
    <row r="32" ht="20.1" customHeight="1">
      <c r="A32" s="188">
        <v>28</v>
      </c>
      <c r="B32" s="190" t="s">
        <v>401</v>
      </c>
      <c r="C32" s="190">
        <f>data!C290</f>
        <v>5940839.6500000013</v>
      </c>
    </row>
    <row r="33" ht="20.1" customHeight="1">
      <c r="A33" s="188">
        <v>29</v>
      </c>
      <c r="B33" s="190" t="s">
        <v>614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199283527.99000028</v>
      </c>
    </row>
    <row r="35" ht="20.1" customHeight="1">
      <c r="A35" s="188">
        <v>31</v>
      </c>
      <c r="B35" s="190" t="s">
        <v>917</v>
      </c>
      <c r="C35" s="190">
        <f>data!D293</f>
        <v>93734388.309999675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448</v>
      </c>
      <c r="C40" s="190">
        <f>data!C297</f>
        <v>0</v>
      </c>
    </row>
    <row r="41" ht="20.1" customHeight="1">
      <c r="A41" s="188">
        <v>37</v>
      </c>
      <c r="B41" s="190" t="s">
        <v>436</v>
      </c>
      <c r="C41" s="190">
        <f>data!C298</f>
        <v>5610061</v>
      </c>
    </row>
    <row r="42" ht="20.1" customHeight="1">
      <c r="A42" s="188">
        <v>38</v>
      </c>
      <c r="B42" s="190" t="s">
        <v>921</v>
      </c>
      <c r="C42" s="190">
        <f>data!D299</f>
        <v>5610061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451</v>
      </c>
      <c r="C45" s="190">
        <f>data!C302</f>
        <v>0</v>
      </c>
    </row>
    <row r="46" ht="20.1" customHeight="1">
      <c r="A46" s="188">
        <v>42</v>
      </c>
      <c r="B46" s="190" t="s">
        <v>452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454</v>
      </c>
      <c r="C48" s="190">
        <f>data!C305</f>
        <v>0</v>
      </c>
    </row>
    <row r="49" ht="20.1" customHeight="1">
      <c r="A49" s="188">
        <v>45</v>
      </c>
      <c r="B49" s="190" t="s">
        <v>924</v>
      </c>
      <c r="C49" s="190">
        <f>data!D306</f>
        <v>0</v>
      </c>
    </row>
    <row r="50" ht="20.1" customHeight="1">
      <c r="A50" s="193">
        <v>46</v>
      </c>
      <c r="B50" s="194" t="s">
        <v>925</v>
      </c>
      <c r="C50" s="190">
        <f>data!D308</f>
        <v>137252599.04999968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PeaceHealth St John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458</v>
      </c>
      <c r="C57" s="198"/>
    </row>
    <row r="58" ht="20.1" customHeight="1">
      <c r="A58" s="188">
        <v>2</v>
      </c>
      <c r="B58" s="190" t="s">
        <v>459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0</v>
      </c>
    </row>
    <row r="60" ht="20.1" customHeight="1">
      <c r="A60" s="188">
        <v>4</v>
      </c>
      <c r="B60" s="190" t="s">
        <v>930</v>
      </c>
      <c r="C60" s="190">
        <f>data!C316</f>
        <v>0</v>
      </c>
    </row>
    <row r="61" ht="20.1" customHeight="1">
      <c r="A61" s="188">
        <v>5</v>
      </c>
      <c r="B61" s="190" t="s">
        <v>462</v>
      </c>
      <c r="C61" s="190">
        <f>data!C317</f>
        <v>0</v>
      </c>
    </row>
    <row r="62" ht="20.1" customHeight="1">
      <c r="A62" s="188">
        <v>6</v>
      </c>
      <c r="B62" s="190" t="s">
        <v>931</v>
      </c>
      <c r="C62" s="190">
        <f>data!C318</f>
        <v>10817553.03</v>
      </c>
    </row>
    <row r="63" ht="20.1" customHeight="1">
      <c r="A63" s="188">
        <v>7</v>
      </c>
      <c r="B63" s="190" t="s">
        <v>932</v>
      </c>
      <c r="C63" s="190">
        <f>data!C319</f>
        <v>344731.25</v>
      </c>
    </row>
    <row r="64" ht="20.1" customHeight="1">
      <c r="A64" s="188">
        <v>8</v>
      </c>
      <c r="B64" s="190" t="s">
        <v>465</v>
      </c>
      <c r="C64" s="190">
        <f>data!C320</f>
        <v>0</v>
      </c>
    </row>
    <row r="65" ht="20.1" customHeight="1">
      <c r="A65" s="188">
        <v>9</v>
      </c>
      <c r="B65" s="190" t="s">
        <v>466</v>
      </c>
      <c r="C65" s="190">
        <f>data!C321</f>
        <v>0</v>
      </c>
    </row>
    <row r="66" ht="20.1" customHeight="1">
      <c r="A66" s="188">
        <v>10</v>
      </c>
      <c r="B66" s="190" t="s">
        <v>467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0</v>
      </c>
    </row>
    <row r="68" ht="20.1" customHeight="1">
      <c r="A68" s="188">
        <v>12</v>
      </c>
      <c r="B68" s="190" t="s">
        <v>934</v>
      </c>
      <c r="C68" s="190">
        <f>data!D324</f>
        <v>11162284.28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471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473</v>
      </c>
      <c r="C73" s="190">
        <f>data!C328</f>
        <v>0</v>
      </c>
    </row>
    <row r="74" ht="20.1" customHeight="1">
      <c r="A74" s="188">
        <v>18</v>
      </c>
      <c r="B74" s="190" t="s">
        <v>937</v>
      </c>
      <c r="C74" s="190">
        <f>data!D329</f>
        <v>0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475</v>
      </c>
      <c r="C76" s="189"/>
    </row>
    <row r="77" ht="20.1" customHeight="1">
      <c r="A77" s="188">
        <v>21</v>
      </c>
      <c r="B77" s="190" t="s">
        <v>476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478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0</v>
      </c>
    </row>
    <row r="81" ht="20.1" customHeight="1">
      <c r="A81" s="188">
        <v>25</v>
      </c>
      <c r="B81" s="190" t="s">
        <v>480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0</v>
      </c>
    </row>
    <row r="83" ht="20.1" customHeight="1">
      <c r="A83" s="188">
        <v>27</v>
      </c>
      <c r="B83" s="190" t="s">
        <v>482</v>
      </c>
      <c r="C83" s="190">
        <f>data!C337</f>
        <v>0</v>
      </c>
    </row>
    <row r="84" ht="20.1" customHeight="1">
      <c r="A84" s="188">
        <v>28</v>
      </c>
      <c r="B84" s="190" t="s">
        <v>483</v>
      </c>
      <c r="C84" s="190">
        <f>data!C338</f>
        <v>0</v>
      </c>
    </row>
    <row r="85" ht="20.1" customHeight="1">
      <c r="A85" s="188">
        <v>29</v>
      </c>
      <c r="B85" s="190" t="s">
        <v>614</v>
      </c>
      <c r="C85" s="190">
        <f>data!D339</f>
        <v>0</v>
      </c>
    </row>
    <row r="86" ht="20.1" customHeight="1">
      <c r="A86" s="188">
        <v>30</v>
      </c>
      <c r="B86" s="190" t="s">
        <v>941</v>
      </c>
      <c r="C86" s="190">
        <f>data!D340</f>
        <v>0</v>
      </c>
    </row>
    <row r="87" ht="20.1" customHeight="1">
      <c r="A87" s="188">
        <v>31</v>
      </c>
      <c r="B87" s="190" t="s">
        <v>942</v>
      </c>
      <c r="C87" s="190">
        <f>data!D341</f>
        <v>0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126090314.76999968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487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488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126090314.76999968</v>
      </c>
    </row>
    <row r="103" ht="20.1" customHeight="1">
      <c r="A103" s="188">
        <v>47</v>
      </c>
      <c r="B103" s="190" t="s">
        <v>950</v>
      </c>
      <c r="C103" s="190">
        <f>data!D352</f>
        <v>137252599.04999968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PeaceHealth St John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496</v>
      </c>
      <c r="C111" s="190">
        <f>data!C358</f>
        <v>377675378.53</v>
      </c>
    </row>
    <row r="112" ht="20.1" customHeight="1">
      <c r="A112" s="188">
        <v>3</v>
      </c>
      <c r="B112" s="190" t="s">
        <v>497</v>
      </c>
      <c r="C112" s="190">
        <f>data!C359</f>
        <v>660148790.04000008</v>
      </c>
    </row>
    <row r="113" ht="20.1" customHeight="1">
      <c r="A113" s="188">
        <v>4</v>
      </c>
      <c r="B113" s="190" t="s">
        <v>954</v>
      </c>
      <c r="C113" s="190">
        <f>data!D360</f>
        <v>1037824168.57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10655077.95</v>
      </c>
    </row>
    <row r="117" ht="20.1" customHeight="1">
      <c r="A117" s="188">
        <v>8</v>
      </c>
      <c r="B117" s="190" t="s">
        <v>500</v>
      </c>
      <c r="C117" s="203">
        <f>data!C363</f>
        <v>696731616.1500001</v>
      </c>
    </row>
    <row r="118" ht="20.1" customHeight="1">
      <c r="A118" s="188">
        <v>9</v>
      </c>
      <c r="B118" s="190" t="s">
        <v>957</v>
      </c>
      <c r="C118" s="203">
        <f>data!C364</f>
        <v>14929843.08</v>
      </c>
    </row>
    <row r="119" ht="20.1" customHeight="1">
      <c r="A119" s="188">
        <v>10</v>
      </c>
      <c r="B119" s="190" t="s">
        <v>958</v>
      </c>
      <c r="C119" s="203">
        <f>data!C365</f>
        <v>202954.55</v>
      </c>
    </row>
    <row r="120" ht="20.1" customHeight="1">
      <c r="A120" s="188">
        <v>11</v>
      </c>
      <c r="B120" s="190" t="s">
        <v>902</v>
      </c>
      <c r="C120" s="203">
        <f>data!D366</f>
        <v>722519491.73000014</v>
      </c>
    </row>
    <row r="121" ht="20.1" customHeight="1">
      <c r="A121" s="188">
        <v>12</v>
      </c>
      <c r="B121" s="190" t="s">
        <v>959</v>
      </c>
      <c r="C121" s="203">
        <f>data!D367</f>
        <v>315304676.83999991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504</v>
      </c>
      <c r="C123" s="189"/>
    </row>
    <row r="124" ht="20.1" customHeight="1">
      <c r="A124" s="188">
        <v>15</v>
      </c>
      <c r="B124" s="204" t="s">
        <v>505</v>
      </c>
      <c r="C124" s="205"/>
    </row>
    <row r="125" ht="20.1" customHeight="1">
      <c r="A125" s="209" t="s">
        <v>960</v>
      </c>
      <c r="B125" s="206" t="s">
        <v>506</v>
      </c>
      <c r="C125" s="205">
        <f>data!C370</f>
        <v>0</v>
      </c>
    </row>
    <row r="126" ht="20.1" customHeight="1">
      <c r="A126" s="209" t="s">
        <v>961</v>
      </c>
      <c r="B126" s="206" t="s">
        <v>507</v>
      </c>
      <c r="C126" s="205">
        <f>data!C371</f>
        <v>0</v>
      </c>
    </row>
    <row r="127" ht="20.1" customHeight="1">
      <c r="A127" s="209" t="s">
        <v>962</v>
      </c>
      <c r="B127" s="206" t="s">
        <v>508</v>
      </c>
      <c r="C127" s="205">
        <f>data!C372</f>
        <v>0</v>
      </c>
    </row>
    <row r="128" ht="20.1" customHeight="1">
      <c r="A128" s="209" t="s">
        <v>963</v>
      </c>
      <c r="B128" s="206" t="s">
        <v>509</v>
      </c>
      <c r="C128" s="205">
        <f>data!C373</f>
        <v>0</v>
      </c>
    </row>
    <row r="129" ht="20.1" customHeight="1">
      <c r="A129" s="209" t="s">
        <v>964</v>
      </c>
      <c r="B129" s="206" t="s">
        <v>510</v>
      </c>
      <c r="C129" s="205">
        <f>data!C374</f>
        <v>0</v>
      </c>
    </row>
    <row r="130" ht="20.1" customHeight="1">
      <c r="A130" s="209" t="s">
        <v>965</v>
      </c>
      <c r="B130" s="206" t="s">
        <v>511</v>
      </c>
      <c r="C130" s="205">
        <f>data!C375</f>
        <v>0</v>
      </c>
    </row>
    <row r="131" ht="20.1" customHeight="1">
      <c r="A131" s="209" t="s">
        <v>966</v>
      </c>
      <c r="B131" s="206" t="s">
        <v>512</v>
      </c>
      <c r="C131" s="205">
        <f>data!C376</f>
        <v>0</v>
      </c>
    </row>
    <row r="132" ht="20.1" customHeight="1">
      <c r="A132" s="209" t="s">
        <v>967</v>
      </c>
      <c r="B132" s="206" t="s">
        <v>513</v>
      </c>
      <c r="C132" s="205">
        <f>data!C377</f>
        <v>0</v>
      </c>
    </row>
    <row r="133" ht="20.1" customHeight="1">
      <c r="A133" s="209" t="s">
        <v>968</v>
      </c>
      <c r="B133" s="206" t="s">
        <v>514</v>
      </c>
      <c r="C133" s="205">
        <f>data!C378</f>
        <v>0</v>
      </c>
    </row>
    <row r="134" ht="20.1" customHeight="1">
      <c r="A134" s="209" t="s">
        <v>969</v>
      </c>
      <c r="B134" s="206" t="s">
        <v>515</v>
      </c>
      <c r="C134" s="205">
        <f>data!C379</f>
        <v>0</v>
      </c>
    </row>
    <row r="135" ht="20.1" customHeight="1">
      <c r="A135" s="209" t="s">
        <v>970</v>
      </c>
      <c r="B135" s="206" t="s">
        <v>516</v>
      </c>
      <c r="C135" s="205">
        <f>data!C380</f>
        <v>15458950.490000002</v>
      </c>
    </row>
    <row r="136" ht="20.1" customHeight="1">
      <c r="A136" s="188">
        <v>16</v>
      </c>
      <c r="B136" s="190" t="s">
        <v>518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15458950.490000002</v>
      </c>
    </row>
    <row r="138" ht="20.1" customHeight="1">
      <c r="A138" s="188">
        <v>18</v>
      </c>
      <c r="B138" s="190" t="s">
        <v>972</v>
      </c>
      <c r="C138" s="203">
        <f>data!D384</f>
        <v>330763627.32999992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522</v>
      </c>
      <c r="C141" s="203">
        <f>data!C389</f>
        <v>153350695.39000002</v>
      </c>
    </row>
    <row r="142" ht="20.1" customHeight="1">
      <c r="A142" s="188">
        <v>22</v>
      </c>
      <c r="B142" s="190" t="s">
        <v>11</v>
      </c>
      <c r="C142" s="203">
        <f>data!C390</f>
        <v>35063592.440000005</v>
      </c>
    </row>
    <row r="143" ht="20.1" customHeight="1">
      <c r="A143" s="188">
        <v>23</v>
      </c>
      <c r="B143" s="190" t="s">
        <v>264</v>
      </c>
      <c r="C143" s="203">
        <f>data!C391</f>
        <v>5989519.1</v>
      </c>
    </row>
    <row r="144" ht="20.1" customHeight="1">
      <c r="A144" s="188">
        <v>24</v>
      </c>
      <c r="B144" s="190" t="s">
        <v>265</v>
      </c>
      <c r="C144" s="203">
        <f>data!C392</f>
        <v>44350599.010000005</v>
      </c>
    </row>
    <row r="145" ht="20.1" customHeight="1">
      <c r="A145" s="188">
        <v>25</v>
      </c>
      <c r="B145" s="190" t="s">
        <v>974</v>
      </c>
      <c r="C145" s="203">
        <f>data!C393</f>
        <v>2776457.46</v>
      </c>
    </row>
    <row r="146" ht="20.1" customHeight="1">
      <c r="A146" s="188">
        <v>26</v>
      </c>
      <c r="B146" s="190" t="s">
        <v>975</v>
      </c>
      <c r="C146" s="203">
        <f>data!C394</f>
        <v>59238609.190000005</v>
      </c>
    </row>
    <row r="147" ht="20.1" customHeight="1">
      <c r="A147" s="188">
        <v>27</v>
      </c>
      <c r="B147" s="190" t="s">
        <v>16</v>
      </c>
      <c r="C147" s="203">
        <f>data!C395</f>
        <v>20423410.652179196</v>
      </c>
    </row>
    <row r="148" ht="20.1" customHeight="1">
      <c r="A148" s="188">
        <v>28</v>
      </c>
      <c r="B148" s="190" t="s">
        <v>976</v>
      </c>
      <c r="C148" s="203">
        <f>data!C396</f>
        <v>1149741.8399999989</v>
      </c>
    </row>
    <row r="149" ht="20.1" customHeight="1">
      <c r="A149" s="188">
        <v>29</v>
      </c>
      <c r="B149" s="190" t="s">
        <v>527</v>
      </c>
      <c r="C149" s="203">
        <f>data!C397</f>
        <v>2766595.3899999997</v>
      </c>
    </row>
    <row r="150" ht="20.1" customHeight="1">
      <c r="A150" s="188">
        <v>30</v>
      </c>
      <c r="B150" s="190" t="s">
        <v>977</v>
      </c>
      <c r="C150" s="203">
        <f>data!C398</f>
        <v>7033365.77</v>
      </c>
    </row>
    <row r="151" ht="20.1" customHeight="1">
      <c r="A151" s="188">
        <v>31</v>
      </c>
      <c r="B151" s="190" t="s">
        <v>529</v>
      </c>
      <c r="C151" s="203">
        <f>data!C399</f>
        <v>27662.53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1470543.5700000003</v>
      </c>
    </row>
    <row r="167" ht="20.1" customHeight="1">
      <c r="A167" s="188">
        <v>34</v>
      </c>
      <c r="B167" s="190" t="s">
        <v>994</v>
      </c>
      <c r="C167" s="203">
        <f>data!D416</f>
        <v>333640792.34217912</v>
      </c>
    </row>
    <row r="168" ht="20.1" customHeight="1">
      <c r="A168" s="188">
        <v>35</v>
      </c>
      <c r="B168" s="190" t="s">
        <v>995</v>
      </c>
      <c r="C168" s="203">
        <f>data!D417</f>
        <v>-2877165.0121791959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-161515.27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-3038680.2821791959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-3038680.2821791959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PeaceHealth St John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3690</v>
      </c>
      <c r="D9" s="287">
        <f>data!D59</f>
        <v>0</v>
      </c>
      <c r="E9" s="287">
        <f>data!E59</f>
        <v>23984</v>
      </c>
      <c r="F9" s="287">
        <f>data!F59</f>
        <v>1655</v>
      </c>
      <c r="G9" s="287">
        <f>data!G59</f>
        <v>0</v>
      </c>
      <c r="H9" s="287">
        <f>data!H59</f>
        <v>4315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39.112405572458783</v>
      </c>
      <c r="D10" s="294">
        <f>data!D60</f>
        <v>0</v>
      </c>
      <c r="E10" s="294">
        <f>data!E60</f>
        <v>184.07180090190911</v>
      </c>
      <c r="F10" s="294">
        <f>data!F60</f>
        <v>28.193229046145348</v>
      </c>
      <c r="G10" s="294">
        <f>data!G60</f>
        <v>0</v>
      </c>
      <c r="H10" s="294">
        <f>data!H60</f>
        <v>33.561788846668932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7105089.39</v>
      </c>
      <c r="D11" s="287">
        <f>data!D61</f>
        <v>0</v>
      </c>
      <c r="E11" s="287">
        <f>data!E61</f>
        <v>18878545.36</v>
      </c>
      <c r="F11" s="287">
        <f>data!F61</f>
        <v>3608334.283824</v>
      </c>
      <c r="G11" s="287">
        <f>data!G61</f>
        <v>0</v>
      </c>
      <c r="H11" s="287">
        <f>data!H61</f>
        <v>3538469.93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1142675</v>
      </c>
      <c r="D12" s="287">
        <f>data!D62</f>
        <v>0</v>
      </c>
      <c r="E12" s="287">
        <f>data!E62</f>
        <v>4439787</v>
      </c>
      <c r="F12" s="287">
        <f>data!F62</f>
        <v>933199</v>
      </c>
      <c r="G12" s="287">
        <f>data!G62</f>
        <v>0</v>
      </c>
      <c r="H12" s="287">
        <f>data!H62</f>
        <v>1016668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39081.960960000004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627297.74</v>
      </c>
      <c r="D14" s="287">
        <f>data!D64</f>
        <v>0</v>
      </c>
      <c r="E14" s="287">
        <f>data!E64</f>
        <v>1294404.6</v>
      </c>
      <c r="F14" s="287">
        <f>data!F64</f>
        <v>399296.90834400005</v>
      </c>
      <c r="G14" s="287">
        <f>data!G64</f>
        <v>0</v>
      </c>
      <c r="H14" s="287">
        <f>data!H64</f>
        <v>72513.34</v>
      </c>
      <c r="I14" s="287">
        <f>data!I64</f>
        <v>0</v>
      </c>
    </row>
    <row r="15" ht="20.1" customHeight="1">
      <c r="A15" s="279">
        <v>10</v>
      </c>
      <c r="B15" s="287" t="s">
        <v>524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525</v>
      </c>
      <c r="C16" s="287">
        <f>data!C66</f>
        <v>262.39999999999964</v>
      </c>
      <c r="D16" s="287">
        <f>data!D66</f>
        <v>0</v>
      </c>
      <c r="E16" s="287">
        <f>data!E66</f>
        <v>341.71000000000095</v>
      </c>
      <c r="F16" s="287">
        <f>data!F66</f>
        <v>82244.416416000007</v>
      </c>
      <c r="G16" s="287">
        <f>data!G66</f>
        <v>0</v>
      </c>
      <c r="H16" s="287">
        <f>data!H66</f>
        <v>878.27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280484</v>
      </c>
      <c r="D17" s="287">
        <f>data!D67</f>
        <v>0</v>
      </c>
      <c r="E17" s="287">
        <f>data!E67</f>
        <v>584422</v>
      </c>
      <c r="F17" s="287">
        <f>data!F67</f>
        <v>170693</v>
      </c>
      <c r="G17" s="287">
        <f>data!G67</f>
        <v>0</v>
      </c>
      <c r="H17" s="287">
        <f>data!H67</f>
        <v>97340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11414.16</v>
      </c>
      <c r="D18" s="287">
        <f>data!D68</f>
        <v>0</v>
      </c>
      <c r="E18" s="287">
        <f>data!E68</f>
        <v>11113.99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5970.98</v>
      </c>
      <c r="D19" s="287">
        <f>data!D69</f>
        <v>0</v>
      </c>
      <c r="E19" s="287">
        <f>data!E69</f>
        <v>10172.14</v>
      </c>
      <c r="F19" s="287">
        <f>data!F69</f>
        <v>11274.220344</v>
      </c>
      <c r="G19" s="287">
        <f>data!G69</f>
        <v>0</v>
      </c>
      <c r="H19" s="287">
        <f>data!H69</f>
        <v>908.38999999999987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9173193.67</v>
      </c>
      <c r="D21" s="287">
        <f>data!D85</f>
        <v>0</v>
      </c>
      <c r="E21" s="287">
        <f>data!E85</f>
        <v>25218786.8</v>
      </c>
      <c r="F21" s="287">
        <f>data!F85</f>
        <v>5244123.7898879992</v>
      </c>
      <c r="G21" s="287">
        <f>data!G85</f>
        <v>0</v>
      </c>
      <c r="H21" s="287">
        <f>data!H85</f>
        <v>4726777.9299999988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6255667</v>
      </c>
      <c r="D23" s="295">
        <f>+data!M669</f>
        <v>0</v>
      </c>
      <c r="E23" s="295">
        <f>+data!M670</f>
        <v>14659675</v>
      </c>
      <c r="F23" s="295">
        <f>+data!M671</f>
        <v>2904516</v>
      </c>
      <c r="G23" s="295">
        <f>+data!M672</f>
        <v>0</v>
      </c>
      <c r="H23" s="295">
        <f>+data!M673</f>
        <v>3133335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34049080</v>
      </c>
      <c r="D24" s="287">
        <f>data!D87</f>
        <v>0</v>
      </c>
      <c r="E24" s="287">
        <f>data!E87</f>
        <v>106474013</v>
      </c>
      <c r="F24" s="287">
        <f>data!F87</f>
        <v>17916860.624436</v>
      </c>
      <c r="G24" s="287">
        <f>data!G87</f>
        <v>0</v>
      </c>
      <c r="H24" s="287">
        <f>data!H87</f>
        <v>17348239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122134</v>
      </c>
      <c r="D25" s="287">
        <f>data!D88</f>
        <v>0</v>
      </c>
      <c r="E25" s="287">
        <f>data!E88</f>
        <v>11984443</v>
      </c>
      <c r="F25" s="287">
        <f>data!F88</f>
        <v>1200023.2272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34171214</v>
      </c>
      <c r="D26" s="287">
        <f>data!D89</f>
        <v>0</v>
      </c>
      <c r="E26" s="287">
        <f>data!E89</f>
        <v>118458456</v>
      </c>
      <c r="F26" s="287">
        <f>data!F89</f>
        <v>19116883.851636</v>
      </c>
      <c r="G26" s="287">
        <f>data!G89</f>
        <v>0</v>
      </c>
      <c r="H26" s="287">
        <f>data!H89</f>
        <v>17348239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23023</v>
      </c>
      <c r="D28" s="287">
        <f>data!D90</f>
        <v>0</v>
      </c>
      <c r="E28" s="287">
        <f>data!E90</f>
        <v>31270</v>
      </c>
      <c r="F28" s="287">
        <f>data!F90</f>
        <v>10465.8732</v>
      </c>
      <c r="G28" s="287">
        <f>data!G90</f>
        <v>0</v>
      </c>
      <c r="H28" s="287">
        <f>data!H90</f>
        <v>10127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30430</v>
      </c>
      <c r="D29" s="287">
        <f>data!D91</f>
        <v>0</v>
      </c>
      <c r="E29" s="287">
        <f>data!E91</f>
        <v>60456</v>
      </c>
      <c r="F29" s="287">
        <f>data!F91</f>
        <v>0</v>
      </c>
      <c r="G29" s="287">
        <f>data!G91</f>
        <v>0</v>
      </c>
      <c r="H29" s="287">
        <f>data!H91</f>
        <v>18673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6854.1767366121585</v>
      </c>
      <c r="D30" s="287">
        <f>data!D92</f>
        <v>0</v>
      </c>
      <c r="E30" s="287">
        <f>data!E92</f>
        <v>9309.3908940564743</v>
      </c>
      <c r="F30" s="287">
        <f>data!F92</f>
        <v>3100.1488120162753</v>
      </c>
      <c r="G30" s="287">
        <f>data!G92</f>
        <v>0</v>
      </c>
      <c r="H30" s="287">
        <f>data!H92</f>
        <v>3014.9089089897639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90186.171572967447</v>
      </c>
      <c r="D31" s="287">
        <f>data!D93</f>
        <v>0</v>
      </c>
      <c r="E31" s="287">
        <f>data!E93</f>
        <v>323624.71795188769</v>
      </c>
      <c r="F31" s="287">
        <f>data!F93</f>
        <v>69398.864229490879</v>
      </c>
      <c r="G31" s="287">
        <f>data!G93</f>
        <v>0</v>
      </c>
      <c r="H31" s="287">
        <f>data!H93</f>
        <v>39294.699765047626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28.58320589886673</v>
      </c>
      <c r="D32" s="294">
        <f>data!D94</f>
        <v>0</v>
      </c>
      <c r="E32" s="294">
        <f>data!E94</f>
        <v>102.56818518676491</v>
      </c>
      <c r="F32" s="294">
        <f>data!F94</f>
        <v>21.994968749883327</v>
      </c>
      <c r="G32" s="294">
        <f>data!G94</f>
        <v>0</v>
      </c>
      <c r="H32" s="294">
        <f>data!H94</f>
        <v>12.453888157451923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PeaceHealth St John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1360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17107</v>
      </c>
      <c r="H41" s="287">
        <f>data!O59</f>
        <v>780</v>
      </c>
      <c r="I41" s="287">
        <f>data!P59</f>
        <v>343538</v>
      </c>
    </row>
    <row r="42" ht="20.1" customHeight="1">
      <c r="A42" s="279">
        <v>5</v>
      </c>
      <c r="B42" s="287" t="s">
        <v>262</v>
      </c>
      <c r="C42" s="294">
        <f>data!J60</f>
        <v>5.5146009946788341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14.021139375</v>
      </c>
      <c r="H42" s="294">
        <f>data!O60</f>
        <v>0</v>
      </c>
      <c r="I42" s="294">
        <f>data!P60</f>
        <v>42.684100034684043</v>
      </c>
    </row>
    <row r="43" ht="20.1" customHeight="1">
      <c r="A43" s="279">
        <v>6</v>
      </c>
      <c r="B43" s="287" t="s">
        <v>263</v>
      </c>
      <c r="C43" s="287">
        <f>data!J61</f>
        <v>705790.87617599987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4943703.34</v>
      </c>
      <c r="H43" s="287">
        <f>data!O61</f>
        <v>0</v>
      </c>
      <c r="I43" s="287">
        <f>data!P61</f>
        <v>5267185.69</v>
      </c>
    </row>
    <row r="44" ht="20.1" customHeight="1">
      <c r="A44" s="279">
        <v>7</v>
      </c>
      <c r="B44" s="287" t="s">
        <v>11</v>
      </c>
      <c r="C44" s="287">
        <f>data!J62</f>
        <v>182534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711665</v>
      </c>
      <c r="H44" s="287">
        <f>data!O62</f>
        <v>0</v>
      </c>
      <c r="I44" s="287">
        <f>data!P62</f>
        <v>1308833</v>
      </c>
    </row>
    <row r="45" ht="20.1" customHeight="1">
      <c r="A45" s="279">
        <v>8</v>
      </c>
      <c r="B45" s="287" t="s">
        <v>264</v>
      </c>
      <c r="C45" s="287">
        <f>data!J63</f>
        <v>7644.4390399999984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397150</v>
      </c>
    </row>
    <row r="46" ht="20.1" customHeight="1">
      <c r="A46" s="279">
        <v>9</v>
      </c>
      <c r="B46" s="287" t="s">
        <v>265</v>
      </c>
      <c r="C46" s="287">
        <f>data!J64</f>
        <v>78102.551655999981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4872.47</v>
      </c>
      <c r="H46" s="287">
        <f>data!O64</f>
        <v>0</v>
      </c>
      <c r="I46" s="287">
        <f>data!P64</f>
        <v>8394676.39</v>
      </c>
    </row>
    <row r="47" ht="20.1" customHeight="1">
      <c r="A47" s="279">
        <v>10</v>
      </c>
      <c r="B47" s="287" t="s">
        <v>524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525</v>
      </c>
      <c r="C48" s="287">
        <f>data!J66</f>
        <v>16087.023583999997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1077.88</v>
      </c>
      <c r="H48" s="287">
        <f>data!O66</f>
        <v>0</v>
      </c>
      <c r="I48" s="287">
        <f>data!P66</f>
        <v>717038.88</v>
      </c>
    </row>
    <row r="49" ht="20.1" customHeight="1">
      <c r="A49" s="279">
        <v>12</v>
      </c>
      <c r="B49" s="287" t="s">
        <v>16</v>
      </c>
      <c r="C49" s="287">
        <f>data!J67</f>
        <v>33387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1035759</v>
      </c>
    </row>
    <row r="50" ht="20.1" customHeight="1">
      <c r="A50" s="279">
        <v>13</v>
      </c>
      <c r="B50" s="287" t="s">
        <v>1009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ht="20.1" customHeight="1">
      <c r="A51" s="279">
        <v>14</v>
      </c>
      <c r="B51" s="287" t="s">
        <v>1010</v>
      </c>
      <c r="C51" s="287">
        <f>data!J69</f>
        <v>2205.2396559999993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46303.05</v>
      </c>
      <c r="H51" s="287">
        <f>data!O69</f>
        <v>0</v>
      </c>
      <c r="I51" s="287">
        <f>data!P69</f>
        <v>43808.88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ht="20.1" customHeight="1">
      <c r="A53" s="279">
        <v>16</v>
      </c>
      <c r="B53" s="295" t="s">
        <v>1011</v>
      </c>
      <c r="C53" s="287">
        <f>data!J85</f>
        <v>1025751.1301119998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5707621.7399999993</v>
      </c>
      <c r="H53" s="287">
        <f>data!O85</f>
        <v>0</v>
      </c>
      <c r="I53" s="287">
        <f>data!P85</f>
        <v>17164451.84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569330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1550683</v>
      </c>
      <c r="H55" s="295">
        <f>+data!M680</f>
        <v>0</v>
      </c>
      <c r="I55" s="295">
        <f>+data!M681</f>
        <v>8291215</v>
      </c>
    </row>
    <row r="56" ht="20.1" customHeight="1">
      <c r="A56" s="279">
        <v>19</v>
      </c>
      <c r="B56" s="295" t="s">
        <v>1013</v>
      </c>
      <c r="C56" s="287">
        <f>data!J87</f>
        <v>3504541.3655639989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32548102</v>
      </c>
    </row>
    <row r="57" ht="20.1" customHeight="1">
      <c r="A57" s="279">
        <v>20</v>
      </c>
      <c r="B57" s="295" t="s">
        <v>1014</v>
      </c>
      <c r="C57" s="287">
        <f>data!J88</f>
        <v>234724.77279999995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7193345</v>
      </c>
      <c r="H57" s="287">
        <f>data!O88</f>
        <v>0</v>
      </c>
      <c r="I57" s="287">
        <f>data!P88</f>
        <v>95845987.77</v>
      </c>
    </row>
    <row r="58" ht="20.1" customHeight="1">
      <c r="A58" s="279">
        <v>21</v>
      </c>
      <c r="B58" s="295" t="s">
        <v>1015</v>
      </c>
      <c r="C58" s="287">
        <f>data!J89</f>
        <v>3739266.1383639988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7193345</v>
      </c>
      <c r="H58" s="287">
        <f>data!O89</f>
        <v>0</v>
      </c>
      <c r="I58" s="287">
        <f>data!P89</f>
        <v>128394089.77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2047.1268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24565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1019</v>
      </c>
      <c r="C62" s="287">
        <f>data!J92</f>
        <v>625.09609547744628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7313.2455168691176</v>
      </c>
    </row>
    <row r="63" ht="20.1" customHeight="1">
      <c r="A63" s="279">
        <v>25</v>
      </c>
      <c r="B63" s="287" t="s">
        <v>1020</v>
      </c>
      <c r="C63" s="287">
        <f>data!J93</f>
        <v>13574.43111901567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60946.751259090983</v>
      </c>
    </row>
    <row r="64" ht="20.1" customHeight="1">
      <c r="A64" s="279">
        <v>26</v>
      </c>
      <c r="B64" s="287" t="s">
        <v>294</v>
      </c>
      <c r="C64" s="294">
        <f>data!J94</f>
        <v>4.3022200950273932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19.316193488667597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PeaceHealth St John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343359</v>
      </c>
      <c r="D73" s="295">
        <f>data!R59</f>
        <v>343359</v>
      </c>
      <c r="E73" s="299"/>
      <c r="F73" s="299"/>
      <c r="G73" s="287">
        <f>data!U59</f>
        <v>427883</v>
      </c>
      <c r="H73" s="287">
        <f>data!V59</f>
        <v>0</v>
      </c>
      <c r="I73" s="287">
        <f>data!W59</f>
        <v>4030</v>
      </c>
    </row>
    <row r="74" ht="20.1" customHeight="1">
      <c r="A74" s="279">
        <v>5</v>
      </c>
      <c r="B74" s="287" t="s">
        <v>262</v>
      </c>
      <c r="C74" s="294">
        <f>data!Q60</f>
        <v>6.8136125317651306</v>
      </c>
      <c r="D74" s="294">
        <f>data!R60</f>
        <v>13.123026304945068</v>
      </c>
      <c r="E74" s="294">
        <f>data!S60</f>
        <v>8.1077912786744726</v>
      </c>
      <c r="F74" s="294">
        <f>data!T60</f>
        <v>11.186140975618139</v>
      </c>
      <c r="G74" s="294">
        <f>data!U60</f>
        <v>30.042966589457432</v>
      </c>
      <c r="H74" s="294">
        <f>data!V60</f>
        <v>0</v>
      </c>
      <c r="I74" s="294">
        <f>data!W60</f>
        <v>4.7497277446772017</v>
      </c>
    </row>
    <row r="75" ht="20.1" customHeight="1">
      <c r="A75" s="279">
        <v>6</v>
      </c>
      <c r="B75" s="287" t="s">
        <v>263</v>
      </c>
      <c r="C75" s="287">
        <f>data!Q61</f>
        <v>1111830.37</v>
      </c>
      <c r="D75" s="287">
        <f>data!R61</f>
        <v>4936249.84</v>
      </c>
      <c r="E75" s="287">
        <f>data!S61</f>
        <v>384455.87</v>
      </c>
      <c r="F75" s="287">
        <f>data!T61</f>
        <v>1352818.07</v>
      </c>
      <c r="G75" s="287">
        <f>data!U61</f>
        <v>2945152.86</v>
      </c>
      <c r="H75" s="287">
        <f>data!V61</f>
        <v>0</v>
      </c>
      <c r="I75" s="287">
        <f>data!W61</f>
        <v>611116.26</v>
      </c>
    </row>
    <row r="76" ht="20.1" customHeight="1">
      <c r="A76" s="279">
        <v>7</v>
      </c>
      <c r="B76" s="287" t="s">
        <v>11</v>
      </c>
      <c r="C76" s="287">
        <f>data!Q62</f>
        <v>288919</v>
      </c>
      <c r="D76" s="287">
        <f>data!R62</f>
        <v>808798</v>
      </c>
      <c r="E76" s="287">
        <f>data!S62</f>
        <v>143380</v>
      </c>
      <c r="F76" s="287">
        <f>data!T62</f>
        <v>383005</v>
      </c>
      <c r="G76" s="287">
        <f>data!U62</f>
        <v>691366</v>
      </c>
      <c r="H76" s="287">
        <f>data!V62</f>
        <v>0</v>
      </c>
      <c r="I76" s="287">
        <f>data!W62</f>
        <v>130569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42841.49</v>
      </c>
      <c r="D78" s="287">
        <f>data!R64</f>
        <v>4110.84</v>
      </c>
      <c r="E78" s="287">
        <f>data!S64</f>
        <v>171899.91</v>
      </c>
      <c r="F78" s="287">
        <f>data!T64</f>
        <v>285260.1</v>
      </c>
      <c r="G78" s="287">
        <f>data!U64</f>
        <v>650805.01</v>
      </c>
      <c r="H78" s="287">
        <f>data!V64</f>
        <v>0</v>
      </c>
      <c r="I78" s="287">
        <f>data!W64</f>
        <v>17745.65</v>
      </c>
    </row>
    <row r="79" ht="20.1" customHeight="1">
      <c r="A79" s="279">
        <v>10</v>
      </c>
      <c r="B79" s="287" t="s">
        <v>524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ht="20.1" customHeight="1">
      <c r="A80" s="279">
        <v>11</v>
      </c>
      <c r="B80" s="287" t="s">
        <v>525</v>
      </c>
      <c r="C80" s="287">
        <f>data!Q66</f>
        <v>2.24</v>
      </c>
      <c r="D80" s="287">
        <f>data!R66</f>
        <v>7945.24</v>
      </c>
      <c r="E80" s="287">
        <f>data!S66</f>
        <v>271.74</v>
      </c>
      <c r="F80" s="287">
        <f>data!T66</f>
        <v>4996.22</v>
      </c>
      <c r="G80" s="287">
        <f>data!U66</f>
        <v>4058343.8</v>
      </c>
      <c r="H80" s="287">
        <f>data!V66</f>
        <v>0</v>
      </c>
      <c r="I80" s="287">
        <f>data!W66</f>
        <v>4229</v>
      </c>
    </row>
    <row r="81" ht="20.1" customHeight="1">
      <c r="A81" s="279">
        <v>12</v>
      </c>
      <c r="B81" s="287" t="s">
        <v>16</v>
      </c>
      <c r="C81" s="287">
        <f>data!Q67</f>
        <v>21212</v>
      </c>
      <c r="D81" s="287">
        <f>data!R67</f>
        <v>0</v>
      </c>
      <c r="E81" s="287">
        <f>data!S67</f>
        <v>136706</v>
      </c>
      <c r="F81" s="287">
        <f>data!T67</f>
        <v>39579</v>
      </c>
      <c r="G81" s="287">
        <f>data!U67</f>
        <v>67679</v>
      </c>
      <c r="H81" s="287">
        <f>data!V67</f>
        <v>0</v>
      </c>
      <c r="I81" s="287">
        <f>data!W67</f>
        <v>2312</v>
      </c>
    </row>
    <row r="82" ht="20.1" customHeight="1">
      <c r="A82" s="279">
        <v>13</v>
      </c>
      <c r="B82" s="287" t="s">
        <v>1009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ht="20.1" customHeight="1">
      <c r="A83" s="279">
        <v>14</v>
      </c>
      <c r="B83" s="287" t="s">
        <v>1010</v>
      </c>
      <c r="C83" s="287">
        <f>data!Q69</f>
        <v>89.800000000000011</v>
      </c>
      <c r="D83" s="287">
        <f>data!R69</f>
        <v>26944.1</v>
      </c>
      <c r="E83" s="287">
        <f>data!S69</f>
        <v>8229.89</v>
      </c>
      <c r="F83" s="287">
        <f>data!T69</f>
        <v>8043.3700000000008</v>
      </c>
      <c r="G83" s="287">
        <f>data!U69</f>
        <v>18762.91</v>
      </c>
      <c r="H83" s="287">
        <f>data!V69</f>
        <v>0</v>
      </c>
      <c r="I83" s="287">
        <f>data!W69</f>
        <v>3082.4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30938.72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1464894.9000000001</v>
      </c>
      <c r="D85" s="287">
        <f>data!R85</f>
        <v>5784048.02</v>
      </c>
      <c r="E85" s="287">
        <f>data!S85</f>
        <v>844943.41</v>
      </c>
      <c r="F85" s="287">
        <f>data!T85</f>
        <v>2073701.76</v>
      </c>
      <c r="G85" s="287">
        <f>data!U85</f>
        <v>8401170.86</v>
      </c>
      <c r="H85" s="287">
        <f>data!V85</f>
        <v>0</v>
      </c>
      <c r="I85" s="287">
        <f>data!W85</f>
        <v>769054.31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797765</v>
      </c>
      <c r="D87" s="295">
        <f>+data!M683</f>
        <v>1581571</v>
      </c>
      <c r="E87" s="295">
        <f>+data!M684</f>
        <v>673591</v>
      </c>
      <c r="F87" s="295">
        <f>+data!M685</f>
        <v>1189843</v>
      </c>
      <c r="G87" s="295">
        <f>+data!M686</f>
        <v>3393254</v>
      </c>
      <c r="H87" s="295">
        <f>+data!M687</f>
        <v>0</v>
      </c>
      <c r="I87" s="295">
        <f>+data!M688</f>
        <v>345931</v>
      </c>
    </row>
    <row r="88" ht="20.1" customHeight="1">
      <c r="A88" s="279">
        <v>19</v>
      </c>
      <c r="B88" s="295" t="s">
        <v>1013</v>
      </c>
      <c r="C88" s="287">
        <f>data!Q87</f>
        <v>1336766</v>
      </c>
      <c r="D88" s="287">
        <f>data!R87</f>
        <v>0</v>
      </c>
      <c r="E88" s="287">
        <f>data!S87</f>
        <v>0</v>
      </c>
      <c r="F88" s="287">
        <f>data!T87</f>
        <v>1668543</v>
      </c>
      <c r="G88" s="287">
        <f>data!U87</f>
        <v>28539800.16</v>
      </c>
      <c r="H88" s="287">
        <f>data!V87</f>
        <v>0</v>
      </c>
      <c r="I88" s="287">
        <f>data!W87</f>
        <v>2619496.8</v>
      </c>
    </row>
    <row r="89" ht="20.1" customHeight="1">
      <c r="A89" s="279">
        <v>20</v>
      </c>
      <c r="B89" s="295" t="s">
        <v>1014</v>
      </c>
      <c r="C89" s="287">
        <f>data!Q88</f>
        <v>5180274</v>
      </c>
      <c r="D89" s="287">
        <f>data!R88</f>
        <v>8273750.25</v>
      </c>
      <c r="E89" s="287">
        <f>data!S88</f>
        <v>0</v>
      </c>
      <c r="F89" s="287">
        <f>data!T88</f>
        <v>12686226.99</v>
      </c>
      <c r="G89" s="287">
        <f>data!U88</f>
        <v>32665786.84</v>
      </c>
      <c r="H89" s="287">
        <f>data!V88</f>
        <v>0</v>
      </c>
      <c r="I89" s="287">
        <f>data!W88</f>
        <v>10849852.3</v>
      </c>
    </row>
    <row r="90" ht="20.1" customHeight="1">
      <c r="A90" s="279">
        <v>21</v>
      </c>
      <c r="B90" s="295" t="s">
        <v>1015</v>
      </c>
      <c r="C90" s="287">
        <f>data!Q89</f>
        <v>6517040</v>
      </c>
      <c r="D90" s="287">
        <f>data!R89</f>
        <v>8273750.25</v>
      </c>
      <c r="E90" s="287">
        <f>data!S89</f>
        <v>0</v>
      </c>
      <c r="F90" s="287">
        <f>data!T89</f>
        <v>14354769.99</v>
      </c>
      <c r="G90" s="287">
        <f>data!U89</f>
        <v>61205587</v>
      </c>
      <c r="H90" s="287">
        <f>data!V89</f>
        <v>0</v>
      </c>
      <c r="I90" s="287">
        <f>data!W89</f>
        <v>13469349.100000002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2498</v>
      </c>
      <c r="D92" s="287">
        <f>data!R90</f>
        <v>0</v>
      </c>
      <c r="E92" s="287">
        <f>data!S90</f>
        <v>5561</v>
      </c>
      <c r="F92" s="287">
        <f>data!T90</f>
        <v>3599</v>
      </c>
      <c r="G92" s="287">
        <f>data!U90</f>
        <v>6826</v>
      </c>
      <c r="H92" s="287">
        <f>data!V90</f>
        <v>0</v>
      </c>
      <c r="I92" s="287">
        <f>data!W90</f>
        <v>0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743.67951561730331</v>
      </c>
      <c r="D94" s="287">
        <f>data!R92</f>
        <v>0</v>
      </c>
      <c r="E94" s="287">
        <f>data!S92</f>
        <v>1655.5651666724675</v>
      </c>
      <c r="F94" s="287">
        <f>data!T92</f>
        <v>1071.4581972404624</v>
      </c>
      <c r="G94" s="287">
        <f>data!U92</f>
        <v>2032.16828406874</v>
      </c>
      <c r="H94" s="287">
        <f>data!V92</f>
        <v>0</v>
      </c>
      <c r="I94" s="287">
        <f>data!W92</f>
        <v>0</v>
      </c>
    </row>
    <row r="95" ht="20.1" customHeight="1">
      <c r="A95" s="279">
        <v>25</v>
      </c>
      <c r="B95" s="287" t="s">
        <v>1020</v>
      </c>
      <c r="C95" s="287">
        <f>data!Q93</f>
        <v>20654.591945705281</v>
      </c>
      <c r="D95" s="287">
        <f>data!R93</f>
        <v>0</v>
      </c>
      <c r="E95" s="287">
        <f>data!S93</f>
        <v>0</v>
      </c>
      <c r="F95" s="287">
        <f>data!T93</f>
        <v>28924.006395814053</v>
      </c>
      <c r="G95" s="287">
        <f>data!U93</f>
        <v>0</v>
      </c>
      <c r="H95" s="287">
        <f>data!V93</f>
        <v>0</v>
      </c>
      <c r="I95" s="287">
        <f>data!W93</f>
        <v>24.270892063934994</v>
      </c>
    </row>
    <row r="96" ht="20.1" customHeight="1">
      <c r="A96" s="279">
        <v>26</v>
      </c>
      <c r="B96" s="287" t="s">
        <v>294</v>
      </c>
      <c r="C96" s="294">
        <f>data!Q94</f>
        <v>6.5461749184409141</v>
      </c>
      <c r="D96" s="294">
        <f>data!R94</f>
        <v>0</v>
      </c>
      <c r="E96" s="294">
        <f>data!S94</f>
        <v>0</v>
      </c>
      <c r="F96" s="294">
        <f>data!T94</f>
        <v>9.1670465195741819</v>
      </c>
      <c r="G96" s="294">
        <f>data!U94</f>
        <v>0</v>
      </c>
      <c r="H96" s="294">
        <f>data!V94</f>
        <v>0</v>
      </c>
      <c r="I96" s="294">
        <f>data!W94</f>
        <v>0.0076923090659340859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PeaceHealth St John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25271</v>
      </c>
      <c r="D105" s="287">
        <f>data!Y59</f>
        <v>76394</v>
      </c>
      <c r="E105" s="287">
        <f>data!Z59</f>
        <v>10239</v>
      </c>
      <c r="F105" s="287">
        <f>data!AA59</f>
        <v>1759</v>
      </c>
      <c r="G105" s="299"/>
      <c r="H105" s="287">
        <f>data!AC59</f>
        <v>35571</v>
      </c>
      <c r="I105" s="287">
        <f>data!AD59</f>
        <v>974</v>
      </c>
    </row>
    <row r="106" ht="20.1" customHeight="1">
      <c r="A106" s="279">
        <v>5</v>
      </c>
      <c r="B106" s="287" t="s">
        <v>262</v>
      </c>
      <c r="C106" s="294">
        <f>data!X60</f>
        <v>10.503637162087889</v>
      </c>
      <c r="D106" s="294">
        <f>data!Y60</f>
        <v>54.207972352506879</v>
      </c>
      <c r="E106" s="294">
        <f>data!Z60</f>
        <v>6.0323351868132011</v>
      </c>
      <c r="F106" s="294">
        <f>data!AA60</f>
        <v>5.1626744450549475</v>
      </c>
      <c r="G106" s="294">
        <f>data!AB60</f>
        <v>42.686247581215667</v>
      </c>
      <c r="H106" s="294">
        <f>data!AC60</f>
        <v>16.745393661229407</v>
      </c>
      <c r="I106" s="294">
        <f>data!AD60</f>
        <v>0.055494549450549518</v>
      </c>
    </row>
    <row r="107" ht="20.1" customHeight="1">
      <c r="A107" s="279">
        <v>6</v>
      </c>
      <c r="B107" s="287" t="s">
        <v>263</v>
      </c>
      <c r="C107" s="287">
        <f>data!X61</f>
        <v>1201187.29</v>
      </c>
      <c r="D107" s="287">
        <f>data!Y61</f>
        <v>5488217.55</v>
      </c>
      <c r="E107" s="287">
        <f>data!Z61</f>
        <v>863283.92</v>
      </c>
      <c r="F107" s="287">
        <f>data!AA61</f>
        <v>821774.02</v>
      </c>
      <c r="G107" s="287">
        <f>data!AB61</f>
        <v>4919658.96</v>
      </c>
      <c r="H107" s="287">
        <f>data!AC61</f>
        <v>2327749.05</v>
      </c>
      <c r="I107" s="287">
        <f>data!AD61</f>
        <v>17314</v>
      </c>
    </row>
    <row r="108" ht="20.1" customHeight="1">
      <c r="A108" s="279">
        <v>7</v>
      </c>
      <c r="B108" s="287" t="s">
        <v>11</v>
      </c>
      <c r="C108" s="287">
        <f>data!X62</f>
        <v>310765</v>
      </c>
      <c r="D108" s="287">
        <f>data!Y62</f>
        <v>1505371</v>
      </c>
      <c r="E108" s="287">
        <f>data!Z62</f>
        <v>246024</v>
      </c>
      <c r="F108" s="287">
        <f>data!AA62</f>
        <v>200596</v>
      </c>
      <c r="G108" s="287">
        <f>data!AB62</f>
        <v>1230634</v>
      </c>
      <c r="H108" s="287">
        <f>data!AC62</f>
        <v>367173</v>
      </c>
      <c r="I108" s="287">
        <f>data!AD62</f>
        <v>1552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12600</v>
      </c>
      <c r="E109" s="287">
        <f>data!Z63</f>
        <v>36000</v>
      </c>
      <c r="F109" s="287">
        <f>data!AA63</f>
        <v>0</v>
      </c>
      <c r="G109" s="287">
        <f>data!AB63</f>
        <v>0</v>
      </c>
      <c r="H109" s="287">
        <f>data!AC63</f>
        <v>1800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255550.2</v>
      </c>
      <c r="D110" s="287">
        <f>data!Y64</f>
        <v>2714569.69</v>
      </c>
      <c r="E110" s="287">
        <f>data!Z64</f>
        <v>24882.7</v>
      </c>
      <c r="F110" s="287">
        <f>data!AA64</f>
        <v>307577.2</v>
      </c>
      <c r="G110" s="287">
        <f>data!AB64</f>
        <v>18676878.23</v>
      </c>
      <c r="H110" s="287">
        <f>data!AC64</f>
        <v>336160.63</v>
      </c>
      <c r="I110" s="287">
        <f>data!AD64</f>
        <v>20727.35</v>
      </c>
    </row>
    <row r="111" ht="20.1" customHeight="1">
      <c r="A111" s="279">
        <v>10</v>
      </c>
      <c r="B111" s="287" t="s">
        <v>524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525</v>
      </c>
      <c r="C112" s="287">
        <f>data!X66</f>
        <v>4259.6</v>
      </c>
      <c r="D112" s="287">
        <f>data!Y66</f>
        <v>30670.49</v>
      </c>
      <c r="E112" s="287">
        <f>data!Z66</f>
        <v>5041.41</v>
      </c>
      <c r="F112" s="287">
        <f>data!AA66</f>
        <v>28367.73</v>
      </c>
      <c r="G112" s="287">
        <f>data!AB66</f>
        <v>1913438.17</v>
      </c>
      <c r="H112" s="287">
        <f>data!AC66</f>
        <v>28.01</v>
      </c>
      <c r="I112" s="287">
        <f>data!AD66</f>
        <v>732794.49</v>
      </c>
    </row>
    <row r="113" ht="20.1" customHeight="1">
      <c r="A113" s="279">
        <v>12</v>
      </c>
      <c r="B113" s="287" t="s">
        <v>16</v>
      </c>
      <c r="C113" s="287">
        <f>data!X67</f>
        <v>271945</v>
      </c>
      <c r="D113" s="287">
        <f>data!Y67</f>
        <v>948437</v>
      </c>
      <c r="E113" s="287">
        <f>data!Z67</f>
        <v>117882</v>
      </c>
      <c r="F113" s="287">
        <f>data!AA67</f>
        <v>88473</v>
      </c>
      <c r="G113" s="287">
        <f>data!AB67</f>
        <v>61779</v>
      </c>
      <c r="H113" s="287">
        <f>data!AC67</f>
        <v>48431</v>
      </c>
      <c r="I113" s="287">
        <f>data!AD67</f>
        <v>13656</v>
      </c>
    </row>
    <row r="114" ht="20.1" customHeight="1">
      <c r="A114" s="279">
        <v>13</v>
      </c>
      <c r="B114" s="287" t="s">
        <v>1009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399234.39</v>
      </c>
      <c r="H114" s="287">
        <f>data!AC68</f>
        <v>0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807.7</v>
      </c>
      <c r="D115" s="287">
        <f>data!Y69</f>
        <v>44822.19</v>
      </c>
      <c r="E115" s="287">
        <f>data!Z69</f>
        <v>512.59000000000015</v>
      </c>
      <c r="F115" s="287">
        <f>data!AA69</f>
        <v>2077.84</v>
      </c>
      <c r="G115" s="287">
        <f>data!AB69</f>
        <v>23522.16</v>
      </c>
      <c r="H115" s="287">
        <f>data!AC69</f>
        <v>1454.72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-31124.28</v>
      </c>
      <c r="E116" s="287">
        <f>-data!Z84</f>
        <v>0</v>
      </c>
      <c r="F116" s="287">
        <f>-data!AA84</f>
        <v>0</v>
      </c>
      <c r="G116" s="287">
        <f>-data!AB84</f>
        <v>-10540487.54</v>
      </c>
      <c r="H116" s="287">
        <f>-data!AC84</f>
        <v>0</v>
      </c>
      <c r="I116" s="287">
        <f>-data!AD84</f>
        <v>-16068</v>
      </c>
    </row>
    <row r="117" ht="20.1" customHeight="1">
      <c r="A117" s="279">
        <v>16</v>
      </c>
      <c r="B117" s="295" t="s">
        <v>1011</v>
      </c>
      <c r="C117" s="287">
        <f>data!X85</f>
        <v>2044514.79</v>
      </c>
      <c r="D117" s="287">
        <f>data!Y85</f>
        <v>10713563.64</v>
      </c>
      <c r="E117" s="287">
        <f>data!Z85</f>
        <v>1293626.6199999999</v>
      </c>
      <c r="F117" s="287">
        <f>data!AA85</f>
        <v>1448865.79</v>
      </c>
      <c r="G117" s="287">
        <f>data!AB85</f>
        <v>16684657.370000001</v>
      </c>
      <c r="H117" s="287">
        <f>data!AC85</f>
        <v>3082796.4099999997</v>
      </c>
      <c r="I117" s="287">
        <f>data!AD85</f>
        <v>769975.84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1375125</v>
      </c>
      <c r="D119" s="295">
        <f>+data!M690</f>
        <v>6043995</v>
      </c>
      <c r="E119" s="295">
        <f>+data!M691</f>
        <v>1136641</v>
      </c>
      <c r="F119" s="295">
        <f>+data!M692</f>
        <v>669939</v>
      </c>
      <c r="G119" s="295">
        <f>+data!M693</f>
        <v>5548640</v>
      </c>
      <c r="H119" s="295">
        <f>+data!M694</f>
        <v>1163400</v>
      </c>
      <c r="I119" s="295">
        <f>+data!M695</f>
        <v>286019</v>
      </c>
    </row>
    <row r="120" ht="20.1" customHeight="1">
      <c r="A120" s="279">
        <v>19</v>
      </c>
      <c r="B120" s="295" t="s">
        <v>1013</v>
      </c>
      <c r="C120" s="287">
        <f>data!X87</f>
        <v>16535298.2</v>
      </c>
      <c r="D120" s="287">
        <f>data!Y87</f>
        <v>33488575.93</v>
      </c>
      <c r="E120" s="287">
        <f>data!Z87</f>
        <v>383699</v>
      </c>
      <c r="F120" s="287">
        <f>data!AA87</f>
        <v>952138.25</v>
      </c>
      <c r="G120" s="287">
        <f>data!AB87</f>
        <v>21905733.27</v>
      </c>
      <c r="H120" s="287">
        <f>data!AC87</f>
        <v>18613001</v>
      </c>
      <c r="I120" s="287">
        <f>data!AD87</f>
        <v>2517971</v>
      </c>
    </row>
    <row r="121" ht="20.1" customHeight="1">
      <c r="A121" s="279">
        <v>20</v>
      </c>
      <c r="B121" s="295" t="s">
        <v>1014</v>
      </c>
      <c r="C121" s="287">
        <f>data!X88</f>
        <v>61294899.15</v>
      </c>
      <c r="D121" s="287">
        <f>data!Y88</f>
        <v>68424318.31</v>
      </c>
      <c r="E121" s="287">
        <f>data!Z88</f>
        <v>19689642</v>
      </c>
      <c r="F121" s="287">
        <f>data!AA88</f>
        <v>11680083.45</v>
      </c>
      <c r="G121" s="287">
        <f>data!AB88</f>
        <v>58061488.6</v>
      </c>
      <c r="H121" s="287">
        <f>data!AC88</f>
        <v>3458951</v>
      </c>
      <c r="I121" s="287">
        <f>data!AD88</f>
        <v>256329</v>
      </c>
    </row>
    <row r="122" ht="20.1" customHeight="1">
      <c r="A122" s="279">
        <v>21</v>
      </c>
      <c r="B122" s="295" t="s">
        <v>1015</v>
      </c>
      <c r="C122" s="287">
        <f>data!X89</f>
        <v>77830197.35</v>
      </c>
      <c r="D122" s="287">
        <f>data!Y89</f>
        <v>101912894.24000001</v>
      </c>
      <c r="E122" s="287">
        <f>data!Z89</f>
        <v>20073341</v>
      </c>
      <c r="F122" s="287">
        <f>data!AA89</f>
        <v>12632221.7</v>
      </c>
      <c r="G122" s="287">
        <f>data!AB89</f>
        <v>79967221.87</v>
      </c>
      <c r="H122" s="287">
        <f>data!AC89</f>
        <v>22071952</v>
      </c>
      <c r="I122" s="287">
        <f>data!AD89</f>
        <v>2774300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0</v>
      </c>
      <c r="D124" s="287">
        <f>data!Y90</f>
        <v>24987</v>
      </c>
      <c r="E124" s="287">
        <f>data!Z90</f>
        <v>7191</v>
      </c>
      <c r="F124" s="287">
        <f>data!AA90</f>
        <v>1892</v>
      </c>
      <c r="G124" s="287">
        <f>data!AB90</f>
        <v>3258</v>
      </c>
      <c r="H124" s="287">
        <f>data!AC90</f>
        <v>1504</v>
      </c>
      <c r="I124" s="287">
        <f>data!AD90</f>
        <v>715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92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0</v>
      </c>
      <c r="D126" s="287">
        <f>data!Y92</f>
        <v>7438.8791259926174</v>
      </c>
      <c r="E126" s="287">
        <f>data!Z92</f>
        <v>2140.83242466134</v>
      </c>
      <c r="F126" s="287">
        <f>data!AA92</f>
        <v>563.26727123616411</v>
      </c>
      <c r="G126" s="287">
        <f>data!AB92</f>
        <v>969.93909602929307</v>
      </c>
      <c r="H126" s="287">
        <f>data!AC92</f>
        <v>447.75580123635876</v>
      </c>
      <c r="I126" s="287">
        <f>data!AD92</f>
        <v>212.86263157180619</v>
      </c>
    </row>
    <row r="127" ht="20.1" customHeight="1">
      <c r="A127" s="279">
        <v>25</v>
      </c>
      <c r="B127" s="287" t="s">
        <v>1020</v>
      </c>
      <c r="C127" s="287">
        <f>data!X93</f>
        <v>107.53959887941461</v>
      </c>
      <c r="D127" s="287">
        <f>data!Y93</f>
        <v>16738.767849406693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51.954869046705525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0.03408312431318683</v>
      </c>
      <c r="D128" s="294">
        <f>data!Y94</f>
        <v>5.3051109675480763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0.016466346153846154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PeaceHealth St John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30322</v>
      </c>
      <c r="D137" s="287">
        <f>data!AF59</f>
        <v>8320</v>
      </c>
      <c r="E137" s="287">
        <f>data!AG59</f>
        <v>50381</v>
      </c>
      <c r="F137" s="287">
        <f>data!AH59</f>
        <v>0</v>
      </c>
      <c r="G137" s="287">
        <f>data!AI59</f>
        <v>8240</v>
      </c>
      <c r="H137" s="287">
        <f>data!AJ59</f>
        <v>174250</v>
      </c>
      <c r="I137" s="287">
        <f>data!AK59</f>
        <v>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11.898873361435427</v>
      </c>
      <c r="D138" s="294">
        <f>data!AF60</f>
        <v>20.7310180676511</v>
      </c>
      <c r="E138" s="294">
        <f>data!AG60</f>
        <v>84.2280786217375</v>
      </c>
      <c r="F138" s="294">
        <f>data!AH60</f>
        <v>0</v>
      </c>
      <c r="G138" s="294">
        <f>data!AI60</f>
        <v>23.370458739010981</v>
      </c>
      <c r="H138" s="294">
        <f>data!AJ60</f>
        <v>323.51909677748637</v>
      </c>
      <c r="I138" s="294">
        <f>data!AK60</f>
        <v>0</v>
      </c>
    </row>
    <row r="139" ht="20.1" customHeight="1">
      <c r="A139" s="279">
        <v>6</v>
      </c>
      <c r="B139" s="287" t="s">
        <v>263</v>
      </c>
      <c r="C139" s="287">
        <f>data!AE61</f>
        <v>1165688.61</v>
      </c>
      <c r="D139" s="287">
        <f>data!AF61</f>
        <v>3163774.5</v>
      </c>
      <c r="E139" s="287">
        <f>data!AG61</f>
        <v>12654619.96</v>
      </c>
      <c r="F139" s="287">
        <f>data!AH61</f>
        <v>0</v>
      </c>
      <c r="G139" s="287">
        <f>data!AI61</f>
        <v>2626595.92</v>
      </c>
      <c r="H139" s="287">
        <f>data!AJ61</f>
        <v>39569168.59</v>
      </c>
      <c r="I139" s="287">
        <f>data!AK61</f>
        <v>0</v>
      </c>
    </row>
    <row r="140" ht="20.1" customHeight="1">
      <c r="A140" s="279">
        <v>7</v>
      </c>
      <c r="B140" s="287" t="s">
        <v>11</v>
      </c>
      <c r="C140" s="287">
        <f>data!AE62</f>
        <v>298589</v>
      </c>
      <c r="D140" s="287">
        <f>data!AF62</f>
        <v>682523</v>
      </c>
      <c r="E140" s="287">
        <f>data!AG62</f>
        <v>2071277</v>
      </c>
      <c r="F140" s="287">
        <f>data!AH62</f>
        <v>0</v>
      </c>
      <c r="G140" s="287">
        <f>data!AI62</f>
        <v>809937</v>
      </c>
      <c r="H140" s="287">
        <f>data!AJ62</f>
        <v>8489832</v>
      </c>
      <c r="I140" s="287">
        <f>data!AK62</f>
        <v>0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497016.64</v>
      </c>
      <c r="F141" s="287">
        <f>data!AH63</f>
        <v>0</v>
      </c>
      <c r="G141" s="287">
        <f>data!AI63</f>
        <v>0</v>
      </c>
      <c r="H141" s="287">
        <f>data!AJ63</f>
        <v>4044047.06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9232.87</v>
      </c>
      <c r="D142" s="287">
        <f>data!AF64</f>
        <v>138859.71</v>
      </c>
      <c r="E142" s="287">
        <f>data!AG64</f>
        <v>1296059.59</v>
      </c>
      <c r="F142" s="287">
        <f>data!AH64</f>
        <v>0</v>
      </c>
      <c r="G142" s="287">
        <f>data!AI64</f>
        <v>1556217.9</v>
      </c>
      <c r="H142" s="287">
        <f>data!AJ64</f>
        <v>3937996.29</v>
      </c>
      <c r="I142" s="287">
        <f>data!AK64</f>
        <v>0</v>
      </c>
    </row>
    <row r="143" ht="20.1" customHeight="1">
      <c r="A143" s="279">
        <v>10</v>
      </c>
      <c r="B143" s="287" t="s">
        <v>524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1023.08</v>
      </c>
      <c r="I143" s="287">
        <f>data!AK65</f>
        <v>0</v>
      </c>
    </row>
    <row r="144" ht="20.1" customHeight="1">
      <c r="A144" s="279">
        <v>11</v>
      </c>
      <c r="B144" s="287" t="s">
        <v>525</v>
      </c>
      <c r="C144" s="287">
        <f>data!AE66</f>
        <v>19.889999999999986</v>
      </c>
      <c r="D144" s="287">
        <f>data!AF66</f>
        <v>8645.34</v>
      </c>
      <c r="E144" s="287">
        <f>data!AG66</f>
        <v>168572.34</v>
      </c>
      <c r="F144" s="287">
        <f>data!AH66</f>
        <v>0</v>
      </c>
      <c r="G144" s="287">
        <f>data!AI66</f>
        <v>18133.55</v>
      </c>
      <c r="H144" s="287">
        <f>data!AJ66</f>
        <v>239634.73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47723</v>
      </c>
      <c r="D145" s="287">
        <f>data!AF67</f>
        <v>164505</v>
      </c>
      <c r="E145" s="287">
        <f>data!AG67</f>
        <v>293120</v>
      </c>
      <c r="F145" s="287">
        <f>data!AH67</f>
        <v>0</v>
      </c>
      <c r="G145" s="287">
        <f>data!AI67</f>
        <v>350650</v>
      </c>
      <c r="H145" s="287">
        <f>data!AJ67</f>
        <v>875940</v>
      </c>
      <c r="I145" s="287">
        <f>data!AK67</f>
        <v>0</v>
      </c>
    </row>
    <row r="146" ht="20.1" customHeight="1">
      <c r="A146" s="279">
        <v>13</v>
      </c>
      <c r="B146" s="287" t="s">
        <v>1009</v>
      </c>
      <c r="C146" s="287">
        <f>data!AE68</f>
        <v>240</v>
      </c>
      <c r="D146" s="287">
        <f>data!AF68</f>
        <v>0</v>
      </c>
      <c r="E146" s="287">
        <f>data!AG68</f>
        <v>471.67</v>
      </c>
      <c r="F146" s="287">
        <f>data!AH68</f>
        <v>0</v>
      </c>
      <c r="G146" s="287">
        <f>data!AI68</f>
        <v>25451.06</v>
      </c>
      <c r="H146" s="287">
        <f>data!AJ68</f>
        <v>41847.65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2522.34</v>
      </c>
      <c r="D147" s="287">
        <f>data!AF69</f>
        <v>69418.49</v>
      </c>
      <c r="E147" s="287">
        <f>data!AG69</f>
        <v>26101.3</v>
      </c>
      <c r="F147" s="287">
        <f>data!AH69</f>
        <v>0</v>
      </c>
      <c r="G147" s="287">
        <f>data!AI69</f>
        <v>22330.07</v>
      </c>
      <c r="H147" s="287">
        <f>data!AJ69</f>
        <v>204788.64</v>
      </c>
      <c r="I147" s="287">
        <f>data!AK69</f>
        <v>0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-41640.22</v>
      </c>
      <c r="E148" s="287">
        <f>-data!AG84</f>
        <v>-4064.26</v>
      </c>
      <c r="F148" s="287">
        <f>-data!AH84</f>
        <v>0</v>
      </c>
      <c r="G148" s="287">
        <f>-data!AI84</f>
        <v>0</v>
      </c>
      <c r="H148" s="287">
        <f>-data!AJ84</f>
        <v>-922751.96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1524015.7100000002</v>
      </c>
      <c r="D149" s="287">
        <f>data!AF85</f>
        <v>4186085.82</v>
      </c>
      <c r="E149" s="287">
        <f>data!AG85</f>
        <v>17003174.240000002</v>
      </c>
      <c r="F149" s="287">
        <f>data!AH85</f>
        <v>0</v>
      </c>
      <c r="G149" s="287">
        <f>data!AI85</f>
        <v>5409315.5</v>
      </c>
      <c r="H149" s="287">
        <f>data!AJ85</f>
        <v>56481526.08</v>
      </c>
      <c r="I149" s="287">
        <f>data!AK85</f>
        <v>0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903431</v>
      </c>
      <c r="D151" s="295">
        <f>+data!M697</f>
        <v>2737497</v>
      </c>
      <c r="E151" s="295">
        <f>+data!M698</f>
        <v>8883779</v>
      </c>
      <c r="F151" s="295">
        <f>+data!M699</f>
        <v>0</v>
      </c>
      <c r="G151" s="295">
        <f>+data!M700</f>
        <v>3624258</v>
      </c>
      <c r="H151" s="295">
        <f>+data!M701</f>
        <v>23816712</v>
      </c>
      <c r="I151" s="295">
        <f>+data!M702</f>
        <v>0</v>
      </c>
    </row>
    <row r="152" ht="20.1" customHeight="1">
      <c r="A152" s="279">
        <v>19</v>
      </c>
      <c r="B152" s="295" t="s">
        <v>1013</v>
      </c>
      <c r="C152" s="287">
        <f>data!AE87</f>
        <v>4465014</v>
      </c>
      <c r="D152" s="287">
        <f>data!AF87</f>
        <v>0</v>
      </c>
      <c r="E152" s="287">
        <f>data!AG87</f>
        <v>30589357</v>
      </c>
      <c r="F152" s="287">
        <f>data!AH87</f>
        <v>0</v>
      </c>
      <c r="G152" s="287">
        <f>data!AI87</f>
        <v>1839064.06</v>
      </c>
      <c r="H152" s="287">
        <f>data!AJ87</f>
        <v>357434.87</v>
      </c>
      <c r="I152" s="287">
        <f>data!AK87</f>
        <v>0</v>
      </c>
    </row>
    <row r="153" ht="20.1" customHeight="1">
      <c r="A153" s="279">
        <v>20</v>
      </c>
      <c r="B153" s="295" t="s">
        <v>1014</v>
      </c>
      <c r="C153" s="287">
        <f>data!AE88</f>
        <v>1583927</v>
      </c>
      <c r="D153" s="287">
        <f>data!AF88</f>
        <v>4620081.27</v>
      </c>
      <c r="E153" s="287">
        <f>data!AG88</f>
        <v>123324254.5</v>
      </c>
      <c r="F153" s="287">
        <f>data!AH88</f>
        <v>0</v>
      </c>
      <c r="G153" s="287">
        <f>data!AI88</f>
        <v>24053208.8</v>
      </c>
      <c r="H153" s="287">
        <f>data!AJ88</f>
        <v>84546697.48</v>
      </c>
      <c r="I153" s="287">
        <f>data!AK88</f>
        <v>0</v>
      </c>
    </row>
    <row r="154" ht="20.1" customHeight="1">
      <c r="A154" s="279">
        <v>21</v>
      </c>
      <c r="B154" s="295" t="s">
        <v>1015</v>
      </c>
      <c r="C154" s="287">
        <f>data!AE89</f>
        <v>6048941</v>
      </c>
      <c r="D154" s="287">
        <f>data!AF89</f>
        <v>4620081.27</v>
      </c>
      <c r="E154" s="287">
        <f>data!AG89</f>
        <v>153913611.5</v>
      </c>
      <c r="F154" s="287">
        <f>data!AH89</f>
        <v>0</v>
      </c>
      <c r="G154" s="287">
        <f>data!AI89</f>
        <v>25892272.86</v>
      </c>
      <c r="H154" s="287">
        <f>data!AJ89</f>
        <v>84904132.350000009</v>
      </c>
      <c r="I154" s="287">
        <f>data!AK89</f>
        <v>0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5422</v>
      </c>
      <c r="D156" s="287">
        <f>data!AF90</f>
        <v>19373</v>
      </c>
      <c r="E156" s="287">
        <f>data!AG90</f>
        <v>20928</v>
      </c>
      <c r="F156" s="287">
        <f>data!AH90</f>
        <v>0</v>
      </c>
      <c r="G156" s="287">
        <f>data!AI90</f>
        <v>19574</v>
      </c>
      <c r="H156" s="287">
        <f>data!AJ90</f>
        <v>93341</v>
      </c>
      <c r="I156" s="287">
        <f>data!AK90</f>
        <v>0</v>
      </c>
    </row>
    <row r="157" ht="20.1" customHeight="1">
      <c r="A157" s="279">
        <v>23</v>
      </c>
      <c r="B157" s="287" t="s">
        <v>1018</v>
      </c>
      <c r="C157" s="287">
        <f>data!AE91</f>
        <v>11</v>
      </c>
      <c r="D157" s="287">
        <f>data!AF91</f>
        <v>0</v>
      </c>
      <c r="E157" s="287">
        <f>data!AG91</f>
        <v>7515</v>
      </c>
      <c r="F157" s="287">
        <f>data!AH91</f>
        <v>0</v>
      </c>
      <c r="G157" s="287">
        <f>data!AI91</f>
        <v>758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1614.1834802550113</v>
      </c>
      <c r="D158" s="287">
        <f>data!AF92</f>
        <v>5767.5353306861562</v>
      </c>
      <c r="E158" s="287">
        <f>data!AG92</f>
        <v>6230.4743406080561</v>
      </c>
      <c r="F158" s="287">
        <f>data!AH92</f>
        <v>0</v>
      </c>
      <c r="G158" s="287">
        <f>data!AI92</f>
        <v>5827.3750355056427</v>
      </c>
      <c r="H158" s="287">
        <f>data!AJ92</f>
        <v>27788.546704257285</v>
      </c>
      <c r="I158" s="287">
        <f>data!AK92</f>
        <v>0</v>
      </c>
    </row>
    <row r="159" ht="20.1" customHeight="1">
      <c r="A159" s="279">
        <v>25</v>
      </c>
      <c r="B159" s="287" t="s">
        <v>1020</v>
      </c>
      <c r="C159" s="287">
        <f>data!AE93</f>
        <v>0</v>
      </c>
      <c r="D159" s="287">
        <f>data!AF93</f>
        <v>4020.4360746052575</v>
      </c>
      <c r="E159" s="287">
        <f>data!AG93</f>
        <v>121986.01284604248</v>
      </c>
      <c r="F159" s="287">
        <f>data!AH93</f>
        <v>0</v>
      </c>
      <c r="G159" s="287">
        <f>data!AI93</f>
        <v>45619.46263748889</v>
      </c>
      <c r="H159" s="287">
        <f>data!AJ93</f>
        <v>90002.7336798037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1.2742192081043942</v>
      </c>
      <c r="E160" s="294">
        <f>data!AG94</f>
        <v>38.661706791037119</v>
      </c>
      <c r="F160" s="294">
        <f>data!AH94</f>
        <v>0</v>
      </c>
      <c r="G160" s="294">
        <f>data!AI94</f>
        <v>14.458430497939567</v>
      </c>
      <c r="H160" s="294">
        <f>data!AJ94</f>
        <v>28.52506790521976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PeaceHealth St John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27707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34.921274772864031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3799594.66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979129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93000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443250.54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524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3964.01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525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18911.630000000005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52206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542749.55999999994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21176.61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5953982.01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1671634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1013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10630954.33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1015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10630954.33</v>
      </c>
      <c r="H186" s="287">
        <f>data!AQ89</f>
        <v>0</v>
      </c>
      <c r="I186" s="287">
        <f>data!AR89</f>
        <v>0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1100.587313643168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0.34881527008928559</v>
      </c>
      <c r="H192" s="294">
        <f>data!AQ94</f>
        <v>0</v>
      </c>
      <c r="I192" s="294">
        <f>data!AR94</f>
        <v>0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PeaceHealth St John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117935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2.7803672948145612</v>
      </c>
      <c r="G202" s="294">
        <f>data!AW60</f>
        <v>0</v>
      </c>
      <c r="H202" s="294">
        <f>data!AX60</f>
        <v>0</v>
      </c>
      <c r="I202" s="294">
        <f>data!AY60</f>
        <v>34.295125218406582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240852.85</v>
      </c>
      <c r="G203" s="287">
        <f>data!AW61</f>
        <v>0</v>
      </c>
      <c r="H203" s="287">
        <f>data!AX61</f>
        <v>0</v>
      </c>
      <c r="I203" s="287">
        <f>data!AY61</f>
        <v>1730660.93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79844</v>
      </c>
      <c r="G204" s="287">
        <f>data!AW62</f>
        <v>0</v>
      </c>
      <c r="H204" s="287">
        <f>data!AX62</f>
        <v>0</v>
      </c>
      <c r="I204" s="287">
        <f>data!AY62</f>
        <v>640449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9111.56</v>
      </c>
      <c r="G206" s="287">
        <f>data!AW64</f>
        <v>0</v>
      </c>
      <c r="H206" s="287">
        <f>data!AX64</f>
        <v>0</v>
      </c>
      <c r="I206" s="287">
        <f>data!AY64</f>
        <v>811173.41</v>
      </c>
    </row>
    <row r="207" ht="20.1" customHeight="1">
      <c r="A207" s="279">
        <v>10</v>
      </c>
      <c r="B207" s="287" t="s">
        <v>524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525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774.6</v>
      </c>
      <c r="G208" s="287">
        <f>data!AW66</f>
        <v>0</v>
      </c>
      <c r="H208" s="287">
        <f>data!AX66</f>
        <v>0</v>
      </c>
      <c r="I208" s="287">
        <f>data!AY66</f>
        <v>54753.82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52143</v>
      </c>
      <c r="G209" s="287">
        <f>data!AW67</f>
        <v>0</v>
      </c>
      <c r="H209" s="287">
        <f>data!AX67</f>
        <v>0</v>
      </c>
      <c r="I209" s="287">
        <f>data!AY67</f>
        <v>132769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866.52</v>
      </c>
      <c r="G211" s="287">
        <f>data!AW69</f>
        <v>0</v>
      </c>
      <c r="H211" s="287">
        <f>data!AX69</f>
        <v>0</v>
      </c>
      <c r="I211" s="287">
        <f>data!AY69</f>
        <v>3032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-872717.46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383592.52999999997</v>
      </c>
      <c r="G213" s="287">
        <f>data!AW85</f>
        <v>0</v>
      </c>
      <c r="H213" s="287">
        <f>data!AX85</f>
        <v>0</v>
      </c>
      <c r="I213" s="287">
        <f>data!AY85</f>
        <v>2500120.6999999997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396178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22650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2287407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2310057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3340</v>
      </c>
      <c r="G220" s="287">
        <f>data!AW90</f>
        <v>0</v>
      </c>
      <c r="H220" s="287">
        <f>data!AX90</f>
        <v>0</v>
      </c>
      <c r="I220" s="287">
        <f>data!AY90</f>
        <v>12128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994.35131391584991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PeaceHealth St John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802141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0</v>
      </c>
      <c r="E234" s="294">
        <f>data!BB60</f>
        <v>19.777109546359867</v>
      </c>
      <c r="F234" s="294">
        <f>data!BC60</f>
        <v>5.8374004249656588</v>
      </c>
      <c r="G234" s="294">
        <f>data!BD60</f>
        <v>0</v>
      </c>
      <c r="H234" s="294">
        <f>data!BE60</f>
        <v>30.359706968406574</v>
      </c>
      <c r="I234" s="294">
        <f>data!BF60</f>
        <v>50.370666951751396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0</v>
      </c>
      <c r="E235" s="287">
        <f>data!BB61</f>
        <v>2158571.98</v>
      </c>
      <c r="F235" s="287">
        <f>data!BC61</f>
        <v>262752.17</v>
      </c>
      <c r="G235" s="287">
        <f>data!BD61</f>
        <v>0</v>
      </c>
      <c r="H235" s="287">
        <f>data!BE61</f>
        <v>2378081.77</v>
      </c>
      <c r="I235" s="287">
        <f>data!BF61</f>
        <v>2474589.59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0</v>
      </c>
      <c r="E236" s="287">
        <f>data!BB62</f>
        <v>535795</v>
      </c>
      <c r="F236" s="287">
        <f>data!BC62</f>
        <v>111093</v>
      </c>
      <c r="G236" s="287">
        <f>data!BD62</f>
        <v>0</v>
      </c>
      <c r="H236" s="287">
        <f>data!BE62</f>
        <v>713243</v>
      </c>
      <c r="I236" s="287">
        <f>data!BF62</f>
        <v>1034656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304465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2883.89</v>
      </c>
      <c r="F238" s="287">
        <f>data!BC64</f>
        <v>52666.74</v>
      </c>
      <c r="G238" s="287">
        <f>data!BD64</f>
        <v>0</v>
      </c>
      <c r="H238" s="287">
        <f>data!BE64</f>
        <v>189811.45</v>
      </c>
      <c r="I238" s="287">
        <f>data!BF64</f>
        <v>420645.8</v>
      </c>
    </row>
    <row r="239" ht="20.1" customHeight="1">
      <c r="A239" s="279">
        <v>10</v>
      </c>
      <c r="B239" s="287" t="s">
        <v>524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2469667.72</v>
      </c>
      <c r="I239" s="287">
        <f>data!BF65</f>
        <v>301802.65</v>
      </c>
    </row>
    <row r="240" ht="20.1" customHeight="1">
      <c r="A240" s="279">
        <v>11</v>
      </c>
      <c r="B240" s="287" t="s">
        <v>525</v>
      </c>
      <c r="C240" s="287">
        <f>data!AZ66</f>
        <v>0</v>
      </c>
      <c r="D240" s="287">
        <f>data!BA66</f>
        <v>0</v>
      </c>
      <c r="E240" s="287">
        <f>data!BB66</f>
        <v>251633.11</v>
      </c>
      <c r="F240" s="287">
        <f>data!BC66</f>
        <v>0</v>
      </c>
      <c r="G240" s="287">
        <f>data!BD66</f>
        <v>0</v>
      </c>
      <c r="H240" s="287">
        <f>data!BE66</f>
        <v>7816407.4799999995</v>
      </c>
      <c r="I240" s="287">
        <f>data!BF66</f>
        <v>869267.07000000007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0</v>
      </c>
      <c r="E241" s="287">
        <f>data!BB67</f>
        <v>32573</v>
      </c>
      <c r="F241" s="287">
        <f>data!BC67</f>
        <v>1231</v>
      </c>
      <c r="G241" s="287">
        <f>data!BD67</f>
        <v>31002</v>
      </c>
      <c r="H241" s="287">
        <f>data!BE67</f>
        <v>2776422</v>
      </c>
      <c r="I241" s="287">
        <f>data!BF67</f>
        <v>47174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106975.03</v>
      </c>
      <c r="I242" s="287">
        <f>data!BF68</f>
        <v>48.1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81236.75</v>
      </c>
      <c r="F243" s="287">
        <f>data!BC69</f>
        <v>0</v>
      </c>
      <c r="G243" s="287">
        <f>data!BD69</f>
        <v>0</v>
      </c>
      <c r="H243" s="287">
        <f>data!BE69</f>
        <v>17690.750000000007</v>
      </c>
      <c r="I243" s="287">
        <f>data!BF69</f>
        <v>5876.22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-4064.26</v>
      </c>
      <c r="G244" s="287">
        <f>-data!BD84</f>
        <v>0</v>
      </c>
      <c r="H244" s="287">
        <f>-data!BE84</f>
        <v>-700000</v>
      </c>
      <c r="I244" s="287">
        <f>-data!BF84</f>
        <v>-2992.85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0</v>
      </c>
      <c r="E245" s="287">
        <f>data!BB85</f>
        <v>3367158.73</v>
      </c>
      <c r="F245" s="287">
        <f>data!BC85</f>
        <v>423678.64999999997</v>
      </c>
      <c r="G245" s="287">
        <f>data!BD85</f>
        <v>31002</v>
      </c>
      <c r="H245" s="287">
        <f>data!BE85</f>
        <v>15768299.2</v>
      </c>
      <c r="I245" s="287">
        <f>data!BF85</f>
        <v>5151066.58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0</v>
      </c>
      <c r="E252" s="303">
        <f>data!BB90</f>
        <v>3836</v>
      </c>
      <c r="F252" s="303">
        <f>data!BC90</f>
        <v>0</v>
      </c>
      <c r="G252" s="303">
        <f>data!BD90</f>
        <v>3651</v>
      </c>
      <c r="H252" s="303">
        <f>data!BE90</f>
        <v>303084</v>
      </c>
      <c r="I252" s="303">
        <f>data!BF90</f>
        <v>4105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0</v>
      </c>
      <c r="E254" s="303">
        <f>data!BB92</f>
        <v>1142.0154611320959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PeaceHealth St John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10.992262292410688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518022.63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239916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21277.11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ht="20.1" customHeight="1">
      <c r="A271" s="279">
        <v>10</v>
      </c>
      <c r="B271" s="287" t="s">
        <v>524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525</v>
      </c>
      <c r="C272" s="287">
        <f>data!BG66</f>
        <v>61.86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28871</v>
      </c>
      <c r="D273" s="287">
        <f>data!BH67</f>
        <v>29219</v>
      </c>
      <c r="E273" s="287">
        <f>data!BI67</f>
        <v>0</v>
      </c>
      <c r="F273" s="287">
        <f>data!BJ67</f>
        <v>0</v>
      </c>
      <c r="G273" s="287">
        <f>data!BK67</f>
        <v>24532</v>
      </c>
      <c r="H273" s="287">
        <f>data!BL67</f>
        <v>0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108.87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808257.47</v>
      </c>
      <c r="D277" s="287">
        <f>data!BH85</f>
        <v>29219</v>
      </c>
      <c r="E277" s="287">
        <f>data!BI85</f>
        <v>0</v>
      </c>
      <c r="F277" s="287">
        <f>data!BJ85</f>
        <v>0</v>
      </c>
      <c r="G277" s="287">
        <f>data!BK85</f>
        <v>24532</v>
      </c>
      <c r="H277" s="287">
        <f>data!BL85</f>
        <v>0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1626</v>
      </c>
      <c r="D284" s="303">
        <f>data!BH90</f>
        <v>3441</v>
      </c>
      <c r="E284" s="303">
        <f>data!BI90</f>
        <v>0</v>
      </c>
      <c r="F284" s="303">
        <f>data!BJ90</f>
        <v>0</v>
      </c>
      <c r="G284" s="303">
        <f>data!BK90</f>
        <v>2889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1024.4200213127065</v>
      </c>
      <c r="E286" s="303">
        <f>data!BI92</f>
        <v>0</v>
      </c>
      <c r="F286" s="302" t="str">
        <f>IF(data!BJ78&gt;0,data!BJ78,"")</f>
      </c>
      <c r="G286" s="303">
        <f>data!BK92</f>
        <v>860.08411553978749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PeaceHealth St John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6.5436502692307839</v>
      </c>
      <c r="D298" s="294">
        <f>data!BO60</f>
        <v>1.5199015194024712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8.8870073497596351</v>
      </c>
      <c r="I298" s="294">
        <f>data!BT60</f>
        <v>4.9179800429258265</v>
      </c>
    </row>
    <row r="299" ht="20.1" customHeight="1">
      <c r="A299" s="279">
        <v>6</v>
      </c>
      <c r="B299" s="287" t="s">
        <v>263</v>
      </c>
      <c r="C299" s="287">
        <f>data!BN61</f>
        <v>2312535.55</v>
      </c>
      <c r="D299" s="287">
        <f>data!BO61</f>
        <v>147348.96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409592.25</v>
      </c>
      <c r="I299" s="287">
        <f>data!BT61</f>
        <v>460825.24</v>
      </c>
    </row>
    <row r="300" ht="20.1" customHeight="1">
      <c r="A300" s="279">
        <v>7</v>
      </c>
      <c r="B300" s="287" t="s">
        <v>11</v>
      </c>
      <c r="C300" s="287">
        <f>data!BN62</f>
        <v>400129</v>
      </c>
      <c r="D300" s="287">
        <f>data!BO62</f>
        <v>38138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176052</v>
      </c>
      <c r="I300" s="287">
        <f>data!BT62</f>
        <v>104617</v>
      </c>
    </row>
    <row r="301" ht="20.1" customHeight="1">
      <c r="A301" s="279">
        <v>8</v>
      </c>
      <c r="B301" s="287" t="s">
        <v>264</v>
      </c>
      <c r="C301" s="287">
        <f>data!BN63</f>
        <v>500004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24003.52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55566.47</v>
      </c>
      <c r="I302" s="287">
        <f>data!BT64</f>
        <v>27287.69</v>
      </c>
    </row>
    <row r="303" ht="20.1" customHeight="1">
      <c r="A303" s="279">
        <v>10</v>
      </c>
      <c r="B303" s="287" t="s">
        <v>524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525</v>
      </c>
      <c r="C304" s="287">
        <f>data!BN66</f>
        <v>31901225.37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16.46</v>
      </c>
      <c r="I304" s="287">
        <f>data!BT66</f>
        <v>4809.94</v>
      </c>
    </row>
    <row r="305" ht="20.1" customHeight="1">
      <c r="A305" s="279">
        <v>12</v>
      </c>
      <c r="B305" s="287" t="s">
        <v>16</v>
      </c>
      <c r="C305" s="287">
        <f>data!BN67</f>
        <v>8199345</v>
      </c>
      <c r="D305" s="287">
        <f>data!BO67</f>
        <v>39910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15972</v>
      </c>
      <c r="I305" s="287">
        <f>data!BT67</f>
        <v>18342</v>
      </c>
    </row>
    <row r="306" ht="20.1" customHeight="1">
      <c r="A306" s="279">
        <v>13</v>
      </c>
      <c r="B306" s="287" t="s">
        <v>1009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1010</v>
      </c>
      <c r="C307" s="287">
        <f>data!BN69</f>
        <v>83969.88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1227.2</v>
      </c>
      <c r="I307" s="287">
        <f>data!BT69</f>
        <v>13428.61</v>
      </c>
    </row>
    <row r="308" ht="20.1" customHeight="1">
      <c r="A308" s="279">
        <v>15</v>
      </c>
      <c r="B308" s="287" t="s">
        <v>284</v>
      </c>
      <c r="C308" s="287">
        <f>-data!BN84</f>
        <v>-21990.57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-25874.56</v>
      </c>
      <c r="I308" s="287">
        <f>-data!BT84</f>
        <v>-10955.91</v>
      </c>
    </row>
    <row r="309" ht="20.1" customHeight="1">
      <c r="A309" s="279">
        <v>16</v>
      </c>
      <c r="B309" s="295" t="s">
        <v>1011</v>
      </c>
      <c r="C309" s="287">
        <f>data!BN85</f>
        <v>43399221.75</v>
      </c>
      <c r="D309" s="287">
        <f>data!BO85</f>
        <v>225396.96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632551.81999999983</v>
      </c>
      <c r="I309" s="287">
        <f>data!BT85</f>
        <v>618354.56999999983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5740</v>
      </c>
      <c r="D316" s="303">
        <f>data!BO90</f>
        <v>4700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1881</v>
      </c>
      <c r="I316" s="303">
        <f>data!BT90</f>
        <v>2160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559.99246151967475</v>
      </c>
      <c r="I318" s="303">
        <f>data!BT92</f>
        <v>643.05354432881313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PeaceHealth St John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0.42032989010988991</v>
      </c>
      <c r="D330" s="294">
        <f>data!BV60</f>
        <v>0</v>
      </c>
      <c r="E330" s="294">
        <f>data!BW60</f>
        <v>3.0758687927541222</v>
      </c>
      <c r="F330" s="294">
        <f>data!BX60</f>
        <v>11.290853971668943</v>
      </c>
      <c r="G330" s="294">
        <f>data!BY60</f>
        <v>22.6951399223901</v>
      </c>
      <c r="H330" s="294">
        <f>data!BZ60</f>
        <v>1.6031518844436812</v>
      </c>
      <c r="I330" s="294">
        <f>data!CA60</f>
        <v>0</v>
      </c>
    </row>
    <row r="331" ht="20.1" customHeight="1">
      <c r="A331" s="279">
        <v>6</v>
      </c>
      <c r="B331" s="287" t="s">
        <v>263</v>
      </c>
      <c r="C331" s="306">
        <f>data!BU61</f>
        <v>47807.66</v>
      </c>
      <c r="D331" s="306">
        <f>data!BV61</f>
        <v>0</v>
      </c>
      <c r="E331" s="306">
        <f>data!BW61</f>
        <v>326740.4</v>
      </c>
      <c r="F331" s="306">
        <f>data!BX61</f>
        <v>549604.23</v>
      </c>
      <c r="G331" s="306">
        <f>data!BY61</f>
        <v>3146392.92</v>
      </c>
      <c r="H331" s="306">
        <f>data!BZ61</f>
        <v>203679.21</v>
      </c>
      <c r="I331" s="306">
        <f>data!CA61</f>
        <v>0</v>
      </c>
    </row>
    <row r="332" ht="20.1" customHeight="1">
      <c r="A332" s="279">
        <v>7</v>
      </c>
      <c r="B332" s="287" t="s">
        <v>11</v>
      </c>
      <c r="C332" s="306">
        <f>data!BU62</f>
        <v>18909</v>
      </c>
      <c r="D332" s="306">
        <f>data!BV62</f>
        <v>0</v>
      </c>
      <c r="E332" s="306">
        <f>data!BW62</f>
        <v>111227</v>
      </c>
      <c r="F332" s="306">
        <f>data!BX62</f>
        <v>155151</v>
      </c>
      <c r="G332" s="306">
        <f>data!BY62</f>
        <v>742145</v>
      </c>
      <c r="H332" s="306">
        <f>data!BZ62</f>
        <v>134508</v>
      </c>
      <c r="I332" s="306">
        <f>data!CA62</f>
        <v>0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56710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158.22</v>
      </c>
      <c r="D334" s="306">
        <f>data!BV64</f>
        <v>0</v>
      </c>
      <c r="E334" s="306">
        <f>data!BW64</f>
        <v>71668.02</v>
      </c>
      <c r="F334" s="306">
        <f>data!BX64</f>
        <v>943142.77</v>
      </c>
      <c r="G334" s="306">
        <f>data!BY64</f>
        <v>10379.31</v>
      </c>
      <c r="H334" s="306">
        <f>data!BZ64</f>
        <v>0</v>
      </c>
      <c r="I334" s="306">
        <f>data!CA64</f>
        <v>0</v>
      </c>
    </row>
    <row r="335" ht="20.1" customHeight="1">
      <c r="A335" s="279">
        <v>10</v>
      </c>
      <c r="B335" s="287" t="s">
        <v>524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525</v>
      </c>
      <c r="C336" s="306">
        <f>data!BU66</f>
        <v>0</v>
      </c>
      <c r="D336" s="306">
        <f>data!BV66</f>
        <v>100.35</v>
      </c>
      <c r="E336" s="306">
        <f>data!BW66</f>
        <v>-92.81</v>
      </c>
      <c r="F336" s="306">
        <f>data!BX66</f>
        <v>-5411.94</v>
      </c>
      <c r="G336" s="306">
        <f>data!BY66</f>
        <v>428.11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7226</v>
      </c>
      <c r="D337" s="306">
        <f>data!BV67</f>
        <v>51560</v>
      </c>
      <c r="E337" s="306">
        <f>data!BW67</f>
        <v>3566</v>
      </c>
      <c r="F337" s="306">
        <f>data!BX67</f>
        <v>19267</v>
      </c>
      <c r="G337" s="306">
        <f>data!BY67</f>
        <v>463868</v>
      </c>
      <c r="H337" s="306">
        <f>data!BZ67</f>
        <v>0</v>
      </c>
      <c r="I337" s="306">
        <f>data!CA67</f>
        <v>33923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10196.23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4971</v>
      </c>
      <c r="D339" s="306">
        <f>data!BV69</f>
        <v>0</v>
      </c>
      <c r="E339" s="306">
        <f>data!BW69</f>
        <v>3090.64</v>
      </c>
      <c r="F339" s="306">
        <f>data!BX69</f>
        <v>3235.42</v>
      </c>
      <c r="G339" s="306">
        <f>data!BY69</f>
        <v>29355.64</v>
      </c>
      <c r="H339" s="306">
        <f>data!BZ69</f>
        <v>395</v>
      </c>
      <c r="I339" s="306">
        <f>data!CA69</f>
        <v>250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-100000</v>
      </c>
      <c r="G340" s="287">
        <f>-data!BY84</f>
        <v>-43931.57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79071.88</v>
      </c>
      <c r="D341" s="287">
        <f>data!BV85</f>
        <v>51660.35</v>
      </c>
      <c r="E341" s="287">
        <f>data!BW85</f>
        <v>572909.25</v>
      </c>
      <c r="F341" s="287">
        <f>data!BX85</f>
        <v>1575184.71</v>
      </c>
      <c r="G341" s="287">
        <f>data!BY85</f>
        <v>4348637.4099999992</v>
      </c>
      <c r="H341" s="287">
        <f>data!BZ85</f>
        <v>338582.20999999996</v>
      </c>
      <c r="I341" s="287">
        <f>data!CA85</f>
        <v>34173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851</v>
      </c>
      <c r="D348" s="303">
        <f>data!BV90</f>
        <v>6072</v>
      </c>
      <c r="E348" s="303">
        <f>data!BW90</f>
        <v>420</v>
      </c>
      <c r="F348" s="303">
        <f>data!BX90</f>
        <v>2269</v>
      </c>
      <c r="G348" s="303">
        <f>data!BY90</f>
        <v>2602</v>
      </c>
      <c r="H348" s="303">
        <f>data!BZ90</f>
        <v>0</v>
      </c>
      <c r="I348" s="303">
        <f>data!CA90</f>
        <v>3995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253.35118806658329</v>
      </c>
      <c r="D350" s="303">
        <f>data!BV92</f>
        <v>1807.6949635021078</v>
      </c>
      <c r="E350" s="303">
        <f>data!BW92</f>
        <v>125.038189175047</v>
      </c>
      <c r="F350" s="303">
        <f>data!BX92</f>
        <v>675.50393151948</v>
      </c>
      <c r="G350" s="303">
        <f>data!BY92</f>
        <v>774.64135293683876</v>
      </c>
      <c r="H350" s="303">
        <f>data!BZ92</f>
        <v>0</v>
      </c>
      <c r="I350" s="303">
        <f>data!CA92</f>
        <v>1189.3513470340779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PeaceHealth St John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12.846581091517878</v>
      </c>
      <c r="E362" s="309"/>
      <c r="F362" s="297"/>
      <c r="G362" s="297"/>
      <c r="H362" s="297"/>
      <c r="I362" s="310">
        <f>data!CE60</f>
        <v>1283.4579889065453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1975267.88</v>
      </c>
      <c r="E363" s="311"/>
      <c r="F363" s="311"/>
      <c r="G363" s="311"/>
      <c r="H363" s="311"/>
      <c r="I363" s="306">
        <f>data!CE61</f>
        <v>153350695.39000002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452917</v>
      </c>
      <c r="E364" s="311"/>
      <c r="F364" s="311"/>
      <c r="G364" s="311"/>
      <c r="H364" s="311"/>
      <c r="I364" s="306">
        <f>data!CE62</f>
        <v>35063589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5989519.1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-50966.850000000006</v>
      </c>
      <c r="E366" s="311"/>
      <c r="F366" s="311"/>
      <c r="G366" s="311"/>
      <c r="H366" s="311"/>
      <c r="I366" s="306">
        <f>data!CE64</f>
        <v>44350599.010000005</v>
      </c>
    </row>
    <row r="367" ht="20.1" customHeight="1">
      <c r="A367" s="279">
        <v>10</v>
      </c>
      <c r="B367" s="287" t="s">
        <v>524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2776457.46</v>
      </c>
    </row>
    <row r="368" ht="20.1" customHeight="1">
      <c r="A368" s="279">
        <v>11</v>
      </c>
      <c r="B368" s="287" t="s">
        <v>525</v>
      </c>
      <c r="C368" s="306">
        <f>data!CB66</f>
        <v>0</v>
      </c>
      <c r="D368" s="306">
        <f>data!CC66</f>
        <v>10282399.57</v>
      </c>
      <c r="E368" s="311"/>
      <c r="F368" s="311"/>
      <c r="G368" s="311"/>
      <c r="H368" s="311"/>
      <c r="I368" s="306">
        <f>data!CE66</f>
        <v>59238609.190000005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2610174</v>
      </c>
      <c r="E369" s="311"/>
      <c r="F369" s="311"/>
      <c r="G369" s="311"/>
      <c r="H369" s="311"/>
      <c r="I369" s="306">
        <f>data!CE67</f>
        <v>20423409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1149741.84</v>
      </c>
    </row>
    <row r="371" ht="20.1" customHeight="1">
      <c r="A371" s="279">
        <v>14</v>
      </c>
      <c r="B371" s="287" t="s">
        <v>1010</v>
      </c>
      <c r="C371" s="306">
        <f>data!CB69</f>
        <v>0</v>
      </c>
      <c r="D371" s="306">
        <f>data!CC69</f>
        <v>616479.05000000028</v>
      </c>
      <c r="E371" s="306">
        <f>data!CD69</f>
        <v>9827623.69</v>
      </c>
      <c r="F371" s="311"/>
      <c r="G371" s="311"/>
      <c r="H371" s="311"/>
      <c r="I371" s="306">
        <f>data!CE69</f>
        <v>26757117.75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-1117399.54</v>
      </c>
      <c r="E372" s="287">
        <f>-data!CD84</f>
        <v>-971948.79</v>
      </c>
      <c r="F372" s="297"/>
      <c r="G372" s="297"/>
      <c r="H372" s="297"/>
      <c r="I372" s="287">
        <f>-data!CE84</f>
        <v>-15458950.490000002</v>
      </c>
    </row>
    <row r="373" ht="20.1" customHeight="1">
      <c r="A373" s="279">
        <v>16</v>
      </c>
      <c r="B373" s="295" t="s">
        <v>1011</v>
      </c>
      <c r="C373" s="306">
        <f>data!CB85</f>
        <v>0</v>
      </c>
      <c r="D373" s="306">
        <f>data!CC85</f>
        <v>14768871.11</v>
      </c>
      <c r="E373" s="306">
        <f>data!CD85</f>
        <v>8855674.8999999985</v>
      </c>
      <c r="F373" s="311"/>
      <c r="G373" s="311"/>
      <c r="H373" s="311"/>
      <c r="I373" s="287">
        <f>data!CE85</f>
        <v>318181836.76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377675378.53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660148790.04000008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1037824168.5700002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115184</v>
      </c>
      <c r="E380" s="297"/>
      <c r="F380" s="297"/>
      <c r="G380" s="297"/>
      <c r="H380" s="297"/>
      <c r="I380" s="287">
        <f>data!CE90</f>
        <v>802141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117935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104770.987259643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926255.99999999965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293.56347543414819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W85" transitionEvaluation="1" transitionEntry="1" codeName="Sheet12">
    <tabColor rgb="FF92D050"/>
    <pageSetUpPr autoPageBreaks="0" fitToPage="1"/>
  </sheetPr>
  <dimension ref="A1:CF717"/>
  <sheetViews>
    <sheetView topLeftCell="AW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4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5" t="s">
        <v>28</v>
      </c>
      <c r="B37" s="336"/>
      <c r="C37" s="337"/>
      <c r="D37" s="336"/>
      <c r="E37" s="336"/>
      <c r="F37" s="336"/>
      <c r="G37" s="336"/>
    </row>
    <row r="38">
      <c r="A38" s="338" t="s">
        <v>29</v>
      </c>
      <c r="B38" s="339"/>
      <c r="C38" s="337"/>
      <c r="D38" s="336"/>
      <c r="E38" s="336"/>
      <c r="F38" s="336"/>
      <c r="G38" s="336"/>
    </row>
    <row r="39">
      <c r="A39" s="340" t="s">
        <v>1068</v>
      </c>
      <c r="B39" s="339"/>
      <c r="C39" s="337"/>
      <c r="D39" s="336"/>
      <c r="E39" s="336"/>
      <c r="F39" s="336"/>
      <c r="G39" s="336"/>
    </row>
    <row r="40">
      <c r="A40" s="341" t="s">
        <v>31</v>
      </c>
      <c r="B40" s="336"/>
      <c r="C40" s="337"/>
      <c r="D40" s="336"/>
      <c r="E40" s="336"/>
      <c r="F40" s="336"/>
      <c r="G40" s="336"/>
    </row>
    <row r="41">
      <c r="A41" s="340" t="s">
        <v>1069</v>
      </c>
      <c r="B41" s="336"/>
      <c r="C41" s="337"/>
      <c r="D41" s="336"/>
      <c r="E41" s="336"/>
      <c r="F41" s="336"/>
      <c r="G41" s="336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3"/>
      <c r="D108" s="42"/>
      <c r="E108" s="43"/>
      <c r="F108" s="16"/>
    </row>
    <row r="109">
      <c r="A109" s="32" t="s">
        <v>320</v>
      </c>
      <c r="B109" s="40" t="s">
        <v>299</v>
      </c>
      <c r="C109" s="343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323</v>
      </c>
      <c r="B111" s="40" t="s">
        <v>299</v>
      </c>
      <c r="C111" s="328"/>
      <c r="D111" s="42"/>
      <c r="E111" s="43"/>
      <c r="F111" s="16"/>
    </row>
    <row r="112">
      <c r="A112" s="38" t="s">
        <v>325</v>
      </c>
      <c r="B112" s="38"/>
      <c r="C112" s="38"/>
      <c r="D112" s="38"/>
      <c r="E112" s="38"/>
    </row>
    <row r="113">
      <c r="A113" s="45" t="s">
        <v>326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327</v>
      </c>
      <c r="B116" s="46" t="s">
        <v>299</v>
      </c>
      <c r="C116" s="47" t="s">
        <v>1070</v>
      </c>
      <c r="D116" s="20"/>
      <c r="E116" s="20"/>
    </row>
    <row r="117">
      <c r="A117" s="45" t="s">
        <v>328</v>
      </c>
      <c r="B117" s="45"/>
      <c r="C117" s="45"/>
      <c r="D117" s="45"/>
      <c r="E117" s="45"/>
    </row>
    <row r="118">
      <c r="A118" s="20" t="s">
        <v>329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330</v>
      </c>
      <c r="B120" s="45"/>
      <c r="C120" s="45"/>
      <c r="D120" s="45"/>
      <c r="E120" s="45"/>
    </row>
    <row r="121">
      <c r="A121" s="20" t="s">
        <v>331</v>
      </c>
      <c r="B121" s="46" t="s">
        <v>299</v>
      </c>
      <c r="C121" s="47" t="s">
        <v>1070</v>
      </c>
      <c r="D121" s="20"/>
      <c r="E121" s="20"/>
    </row>
    <row r="122">
      <c r="A122" s="20" t="s">
        <v>332</v>
      </c>
      <c r="B122" s="46" t="s">
        <v>299</v>
      </c>
      <c r="C122" s="47" t="s">
        <v>1070</v>
      </c>
      <c r="D122" s="20"/>
      <c r="E122" s="20"/>
    </row>
    <row r="123">
      <c r="A123" s="20" t="s">
        <v>333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334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335</v>
      </c>
      <c r="B127" s="20"/>
      <c r="C127" s="21" t="s">
        <v>336</v>
      </c>
      <c r="D127" s="22" t="s">
        <v>242</v>
      </c>
      <c r="E127" s="20"/>
    </row>
    <row r="128">
      <c r="A128" s="20" t="s">
        <v>337</v>
      </c>
      <c r="B128" s="46" t="s">
        <v>299</v>
      </c>
      <c r="C128" s="216"/>
      <c r="D128" s="220"/>
      <c r="E128" s="20"/>
    </row>
    <row r="129">
      <c r="A129" s="20" t="s">
        <v>338</v>
      </c>
      <c r="B129" s="46" t="s">
        <v>299</v>
      </c>
      <c r="C129" s="216"/>
      <c r="D129" s="220"/>
      <c r="E129" s="20"/>
    </row>
    <row r="130">
      <c r="A130" s="20" t="s">
        <v>339</v>
      </c>
      <c r="B130" s="46" t="s">
        <v>299</v>
      </c>
      <c r="C130" s="216"/>
      <c r="D130" s="220"/>
      <c r="E130" s="20"/>
    </row>
    <row r="131">
      <c r="A131" s="20" t="s">
        <v>340</v>
      </c>
      <c r="B131" s="46" t="s">
        <v>299</v>
      </c>
      <c r="C131" s="216"/>
      <c r="D131" s="220"/>
      <c r="E131" s="20"/>
    </row>
    <row r="132">
      <c r="A132" s="26" t="s">
        <v>341</v>
      </c>
      <c r="B132" s="20"/>
      <c r="C132" s="21" t="s">
        <v>194</v>
      </c>
      <c r="D132" s="20"/>
      <c r="E132" s="20"/>
    </row>
    <row r="133">
      <c r="A133" s="20" t="s">
        <v>342</v>
      </c>
      <c r="B133" s="46" t="s">
        <v>299</v>
      </c>
      <c r="C133" s="216"/>
      <c r="D133" s="20"/>
      <c r="E133" s="20"/>
    </row>
    <row r="134">
      <c r="A134" s="20" t="s">
        <v>343</v>
      </c>
      <c r="B134" s="46" t="s">
        <v>299</v>
      </c>
      <c r="C134" s="216"/>
      <c r="D134" s="20"/>
      <c r="E134" s="20"/>
    </row>
    <row r="135">
      <c r="A135" s="20" t="s">
        <v>344</v>
      </c>
      <c r="B135" s="46" t="s">
        <v>299</v>
      </c>
      <c r="C135" s="216"/>
      <c r="D135" s="20"/>
      <c r="E135" s="20"/>
    </row>
    <row r="136">
      <c r="A136" s="20" t="s">
        <v>345</v>
      </c>
      <c r="B136" s="46" t="s">
        <v>299</v>
      </c>
      <c r="C136" s="216"/>
      <c r="D136" s="20"/>
      <c r="E136" s="20"/>
    </row>
    <row r="137">
      <c r="A137" s="20" t="s">
        <v>346</v>
      </c>
      <c r="B137" s="46" t="s">
        <v>299</v>
      </c>
      <c r="C137" s="216"/>
      <c r="D137" s="20"/>
      <c r="E137" s="20"/>
    </row>
    <row r="138">
      <c r="A138" s="20" t="s">
        <v>347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348</v>
      </c>
      <c r="B140" s="46" t="s">
        <v>299</v>
      </c>
      <c r="C140" s="216"/>
      <c r="D140" s="20"/>
      <c r="E140" s="20"/>
    </row>
    <row r="141">
      <c r="A141" s="20" t="s">
        <v>349</v>
      </c>
      <c r="B141" s="46"/>
      <c r="C141" s="216"/>
      <c r="D141" s="20"/>
      <c r="E141" s="20"/>
    </row>
    <row r="142">
      <c r="A142" s="20" t="s">
        <v>339</v>
      </c>
      <c r="B142" s="46" t="s">
        <v>299</v>
      </c>
      <c r="C142" s="216"/>
      <c r="D142" s="20"/>
      <c r="E142" s="20"/>
    </row>
    <row r="143">
      <c r="A143" s="20" t="s">
        <v>350</v>
      </c>
      <c r="B143" s="46" t="s">
        <v>299</v>
      </c>
      <c r="C143" s="216"/>
      <c r="D143" s="20"/>
      <c r="E143" s="20"/>
    </row>
    <row r="144">
      <c r="A144" s="20" t="s">
        <v>351</v>
      </c>
      <c r="B144" s="20"/>
      <c r="C144" s="27"/>
      <c r="D144" s="20"/>
      <c r="E144" s="32">
        <f>SUM(C133:C143)</f>
        <v>0</v>
      </c>
    </row>
    <row r="145">
      <c r="A145" s="20" t="s">
        <v>352</v>
      </c>
      <c r="B145" s="46" t="s">
        <v>299</v>
      </c>
      <c r="C145" s="47"/>
      <c r="D145" s="20"/>
      <c r="E145" s="20"/>
    </row>
    <row r="146">
      <c r="A146" s="20" t="s">
        <v>353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354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355</v>
      </c>
      <c r="B153" s="49"/>
      <c r="C153" s="49"/>
      <c r="D153" s="49"/>
      <c r="E153" s="49"/>
    </row>
    <row r="154">
      <c r="A154" s="51" t="s">
        <v>356</v>
      </c>
      <c r="B154" s="52" t="s">
        <v>357</v>
      </c>
      <c r="C154" s="53" t="s">
        <v>358</v>
      </c>
      <c r="D154" s="52" t="s">
        <v>159</v>
      </c>
      <c r="E154" s="52" t="s">
        <v>230</v>
      </c>
    </row>
    <row r="155">
      <c r="A155" s="20" t="s">
        <v>336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359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360</v>
      </c>
      <c r="B160" s="52" t="s">
        <v>357</v>
      </c>
      <c r="C160" s="53" t="s">
        <v>358</v>
      </c>
      <c r="D160" s="52" t="s">
        <v>159</v>
      </c>
      <c r="E160" s="52" t="s">
        <v>230</v>
      </c>
    </row>
    <row r="161">
      <c r="A161" s="20" t="s">
        <v>336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359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361</v>
      </c>
      <c r="B166" s="52" t="s">
        <v>357</v>
      </c>
      <c r="C166" s="53" t="s">
        <v>358</v>
      </c>
      <c r="D166" s="52" t="s">
        <v>159</v>
      </c>
      <c r="E166" s="52" t="s">
        <v>230</v>
      </c>
    </row>
    <row r="167">
      <c r="A167" s="20" t="s">
        <v>336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359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362</v>
      </c>
      <c r="B173" s="52" t="s">
        <v>363</v>
      </c>
      <c r="C173" s="53" t="s">
        <v>364</v>
      </c>
      <c r="D173" s="20"/>
      <c r="E173" s="20"/>
    </row>
    <row r="174">
      <c r="A174" s="25" t="s">
        <v>365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366</v>
      </c>
      <c r="B180" s="38"/>
      <c r="C180" s="38"/>
      <c r="D180" s="38"/>
      <c r="E180" s="38"/>
    </row>
    <row r="181">
      <c r="A181" s="45" t="s">
        <v>367</v>
      </c>
      <c r="B181" s="45"/>
      <c r="C181" s="45"/>
      <c r="D181" s="45"/>
      <c r="E181" s="45"/>
    </row>
    <row r="182">
      <c r="A182" s="20" t="s">
        <v>368</v>
      </c>
      <c r="B182" s="46" t="s">
        <v>299</v>
      </c>
      <c r="C182" s="216"/>
      <c r="D182" s="20"/>
      <c r="E182" s="20"/>
    </row>
    <row r="183">
      <c r="A183" s="20" t="s">
        <v>369</v>
      </c>
      <c r="B183" s="46" t="s">
        <v>299</v>
      </c>
      <c r="C183" s="216"/>
      <c r="D183" s="20"/>
      <c r="E183" s="20"/>
    </row>
    <row r="184">
      <c r="A184" s="25" t="s">
        <v>370</v>
      </c>
      <c r="B184" s="46" t="s">
        <v>299</v>
      </c>
      <c r="C184" s="216"/>
      <c r="D184" s="20"/>
      <c r="E184" s="20"/>
    </row>
    <row r="185">
      <c r="A185" s="20" t="s">
        <v>371</v>
      </c>
      <c r="B185" s="46" t="s">
        <v>299</v>
      </c>
      <c r="C185" s="216"/>
      <c r="D185" s="20"/>
      <c r="E185" s="20"/>
    </row>
    <row r="186">
      <c r="A186" s="20" t="s">
        <v>372</v>
      </c>
      <c r="B186" s="46" t="s">
        <v>299</v>
      </c>
      <c r="C186" s="216"/>
      <c r="D186" s="20"/>
      <c r="E186" s="20"/>
    </row>
    <row r="187">
      <c r="A187" s="20" t="s">
        <v>373</v>
      </c>
      <c r="B187" s="46" t="s">
        <v>299</v>
      </c>
      <c r="C187" s="216"/>
      <c r="D187" s="20"/>
      <c r="E187" s="20"/>
    </row>
    <row r="188">
      <c r="A188" s="20" t="s">
        <v>374</v>
      </c>
      <c r="B188" s="46" t="s">
        <v>299</v>
      </c>
      <c r="C188" s="216"/>
      <c r="D188" s="20"/>
      <c r="E188" s="20"/>
    </row>
    <row r="189">
      <c r="A189" s="20" t="s">
        <v>374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375</v>
      </c>
      <c r="B191" s="45"/>
      <c r="C191" s="45"/>
      <c r="D191" s="45"/>
      <c r="E191" s="45"/>
    </row>
    <row r="192">
      <c r="A192" s="20" t="s">
        <v>376</v>
      </c>
      <c r="B192" s="46" t="s">
        <v>299</v>
      </c>
      <c r="C192" s="216"/>
      <c r="D192" s="20"/>
      <c r="E192" s="20"/>
    </row>
    <row r="193">
      <c r="A193" s="20" t="s">
        <v>377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378</v>
      </c>
      <c r="B195" s="45"/>
      <c r="C195" s="45"/>
      <c r="D195" s="45"/>
      <c r="E195" s="45"/>
    </row>
    <row r="196">
      <c r="A196" s="20" t="s">
        <v>379</v>
      </c>
      <c r="B196" s="46" t="s">
        <v>299</v>
      </c>
      <c r="C196" s="47"/>
      <c r="D196" s="20"/>
      <c r="E196" s="20"/>
    </row>
    <row r="197">
      <c r="A197" s="20" t="s">
        <v>380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381</v>
      </c>
      <c r="B199" s="45"/>
      <c r="C199" s="45"/>
      <c r="D199" s="45"/>
      <c r="E199" s="45"/>
    </row>
    <row r="200">
      <c r="A200" s="20" t="s">
        <v>382</v>
      </c>
      <c r="B200" s="46" t="s">
        <v>299</v>
      </c>
      <c r="C200" s="47"/>
      <c r="D200" s="20"/>
      <c r="E200" s="20"/>
    </row>
    <row r="201">
      <c r="A201" s="20" t="s">
        <v>383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384</v>
      </c>
      <c r="B204" s="45"/>
      <c r="C204" s="45"/>
      <c r="D204" s="45"/>
      <c r="E204" s="45"/>
    </row>
    <row r="205">
      <c r="A205" s="20" t="s">
        <v>385</v>
      </c>
      <c r="B205" s="46" t="s">
        <v>299</v>
      </c>
      <c r="C205" s="47"/>
      <c r="D205" s="20"/>
      <c r="E205" s="20"/>
    </row>
    <row r="206">
      <c r="A206" s="20" t="s">
        <v>386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387</v>
      </c>
      <c r="B209" s="38"/>
      <c r="C209" s="38"/>
      <c r="D209" s="38"/>
      <c r="E209" s="38"/>
    </row>
    <row r="210">
      <c r="A210" s="49" t="s">
        <v>388</v>
      </c>
      <c r="B210" s="38"/>
      <c r="C210" s="38"/>
      <c r="D210" s="38"/>
      <c r="E210" s="38"/>
    </row>
    <row r="211">
      <c r="A211" s="26"/>
      <c r="B211" s="22" t="s">
        <v>389</v>
      </c>
      <c r="C211" s="21" t="s">
        <v>390</v>
      </c>
      <c r="D211" s="22" t="s">
        <v>391</v>
      </c>
      <c r="E211" s="22" t="s">
        <v>392</v>
      </c>
    </row>
    <row r="212">
      <c r="A212" s="20" t="s">
        <v>393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394</v>
      </c>
      <c r="B213" s="220"/>
      <c r="C213" s="216"/>
      <c r="D213" s="220"/>
      <c r="E213" s="32">
        <f t="shared" si="16"/>
        <v>0</v>
      </c>
    </row>
    <row r="214">
      <c r="A214" s="20" t="s">
        <v>395</v>
      </c>
      <c r="B214" s="220"/>
      <c r="C214" s="216"/>
      <c r="D214" s="220"/>
      <c r="E214" s="32">
        <f t="shared" si="16"/>
        <v>0</v>
      </c>
    </row>
    <row r="215">
      <c r="A215" s="20" t="s">
        <v>396</v>
      </c>
      <c r="B215" s="220"/>
      <c r="C215" s="216"/>
      <c r="D215" s="220"/>
      <c r="E215" s="32">
        <f t="shared" si="16"/>
        <v>0</v>
      </c>
    </row>
    <row r="216">
      <c r="A216" s="20" t="s">
        <v>397</v>
      </c>
      <c r="B216" s="220"/>
      <c r="C216" s="216"/>
      <c r="D216" s="220"/>
      <c r="E216" s="32">
        <f t="shared" si="16"/>
        <v>0</v>
      </c>
    </row>
    <row r="217">
      <c r="A217" s="20" t="s">
        <v>398</v>
      </c>
      <c r="B217" s="220"/>
      <c r="C217" s="216"/>
      <c r="D217" s="220"/>
      <c r="E217" s="32">
        <f t="shared" si="16"/>
        <v>0</v>
      </c>
    </row>
    <row r="218">
      <c r="A218" s="20" t="s">
        <v>399</v>
      </c>
      <c r="B218" s="220"/>
      <c r="C218" s="216"/>
      <c r="D218" s="220"/>
      <c r="E218" s="32">
        <f t="shared" si="16"/>
        <v>0</v>
      </c>
    </row>
    <row r="219">
      <c r="A219" s="20" t="s">
        <v>400</v>
      </c>
      <c r="B219" s="220"/>
      <c r="C219" s="216"/>
      <c r="D219" s="220"/>
      <c r="E219" s="32">
        <f t="shared" si="16"/>
        <v>0</v>
      </c>
    </row>
    <row r="220">
      <c r="A220" s="20" t="s">
        <v>401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402</v>
      </c>
      <c r="B223" s="49"/>
      <c r="C223" s="49"/>
      <c r="D223" s="49"/>
      <c r="E223" s="49"/>
    </row>
    <row r="224">
      <c r="A224" s="26"/>
      <c r="B224" s="22" t="s">
        <v>389</v>
      </c>
      <c r="C224" s="21" t="s">
        <v>390</v>
      </c>
      <c r="D224" s="22" t="s">
        <v>391</v>
      </c>
      <c r="E224" s="22" t="s">
        <v>392</v>
      </c>
    </row>
    <row r="225">
      <c r="A225" s="20" t="s">
        <v>393</v>
      </c>
      <c r="B225" s="55"/>
      <c r="C225" s="54"/>
      <c r="D225" s="55"/>
      <c r="E225" s="20"/>
    </row>
    <row r="226">
      <c r="A226" s="20" t="s">
        <v>394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395</v>
      </c>
      <c r="B227" s="220"/>
      <c r="C227" s="216"/>
      <c r="D227" s="220"/>
      <c r="E227" s="32">
        <f t="shared" si="17"/>
        <v>0</v>
      </c>
    </row>
    <row r="228">
      <c r="A228" s="20" t="s">
        <v>396</v>
      </c>
      <c r="B228" s="220"/>
      <c r="C228" s="216"/>
      <c r="D228" s="220"/>
      <c r="E228" s="32">
        <f t="shared" si="17"/>
        <v>0</v>
      </c>
    </row>
    <row r="229">
      <c r="A229" s="20" t="s">
        <v>397</v>
      </c>
      <c r="B229" s="220"/>
      <c r="C229" s="216"/>
      <c r="D229" s="220"/>
      <c r="E229" s="32">
        <f t="shared" si="17"/>
        <v>0</v>
      </c>
    </row>
    <row r="230">
      <c r="A230" s="20" t="s">
        <v>398</v>
      </c>
      <c r="B230" s="220"/>
      <c r="C230" s="216"/>
      <c r="D230" s="220"/>
      <c r="E230" s="32">
        <f t="shared" si="17"/>
        <v>0</v>
      </c>
    </row>
    <row r="231">
      <c r="A231" s="20" t="s">
        <v>399</v>
      </c>
      <c r="B231" s="220"/>
      <c r="C231" s="216"/>
      <c r="D231" s="220"/>
      <c r="E231" s="32">
        <f t="shared" si="17"/>
        <v>0</v>
      </c>
    </row>
    <row r="232">
      <c r="A232" s="20" t="s">
        <v>400</v>
      </c>
      <c r="B232" s="220"/>
      <c r="C232" s="216"/>
      <c r="D232" s="220"/>
      <c r="E232" s="32">
        <f t="shared" si="17"/>
        <v>0</v>
      </c>
    </row>
    <row r="233">
      <c r="A233" s="20" t="s">
        <v>401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403</v>
      </c>
      <c r="B236" s="38"/>
      <c r="C236" s="38"/>
      <c r="D236" s="38"/>
      <c r="E236" s="38"/>
    </row>
    <row r="237">
      <c r="A237" s="38"/>
      <c r="B237" s="345" t="s">
        <v>404</v>
      </c>
      <c r="C237" s="345"/>
      <c r="D237" s="38"/>
      <c r="E237" s="38"/>
    </row>
    <row r="238">
      <c r="A238" s="56" t="s">
        <v>404</v>
      </c>
      <c r="B238" s="38"/>
      <c r="C238" s="216"/>
      <c r="D238" s="40">
        <f>C238</f>
        <v>0</v>
      </c>
      <c r="E238" s="38"/>
    </row>
    <row r="239">
      <c r="A239" s="45" t="s">
        <v>405</v>
      </c>
      <c r="B239" s="45"/>
      <c r="C239" s="45"/>
      <c r="D239" s="45"/>
      <c r="E239" s="45"/>
    </row>
    <row r="240">
      <c r="A240" s="20" t="s">
        <v>406</v>
      </c>
      <c r="B240" s="46" t="s">
        <v>299</v>
      </c>
      <c r="C240" s="216"/>
      <c r="D240" s="20"/>
      <c r="E240" s="20"/>
    </row>
    <row r="241">
      <c r="A241" s="20" t="s">
        <v>407</v>
      </c>
      <c r="B241" s="46" t="s">
        <v>299</v>
      </c>
      <c r="C241" s="216"/>
      <c r="D241" s="20"/>
      <c r="E241" s="20"/>
    </row>
    <row r="242">
      <c r="A242" s="20" t="s">
        <v>408</v>
      </c>
      <c r="B242" s="46" t="s">
        <v>299</v>
      </c>
      <c r="C242" s="216"/>
      <c r="D242" s="20"/>
      <c r="E242" s="20"/>
    </row>
    <row r="243">
      <c r="A243" s="20" t="s">
        <v>409</v>
      </c>
      <c r="B243" s="46" t="s">
        <v>299</v>
      </c>
      <c r="C243" s="216"/>
      <c r="D243" s="20"/>
      <c r="E243" s="20"/>
    </row>
    <row r="244">
      <c r="A244" s="20" t="s">
        <v>410</v>
      </c>
      <c r="B244" s="46" t="s">
        <v>299</v>
      </c>
      <c r="C244" s="216"/>
      <c r="D244" s="20"/>
      <c r="E244" s="20"/>
    </row>
    <row r="245">
      <c r="A245" s="20" t="s">
        <v>411</v>
      </c>
      <c r="B245" s="46" t="s">
        <v>299</v>
      </c>
      <c r="C245" s="216"/>
      <c r="D245" s="20"/>
      <c r="E245" s="20"/>
    </row>
    <row r="246">
      <c r="A246" s="20" t="s">
        <v>412</v>
      </c>
      <c r="B246" s="20"/>
      <c r="C246" s="27"/>
      <c r="D246" s="32">
        <f>SUM(C240:C245)</f>
        <v>0</v>
      </c>
      <c r="E246" s="20"/>
    </row>
    <row r="247">
      <c r="A247" s="45" t="s">
        <v>413</v>
      </c>
      <c r="B247" s="45"/>
      <c r="C247" s="45"/>
      <c r="D247" s="45"/>
      <c r="E247" s="45"/>
    </row>
    <row r="248">
      <c r="A248" s="26" t="s">
        <v>414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415</v>
      </c>
      <c r="B250" s="46" t="s">
        <v>299</v>
      </c>
      <c r="C250" s="216"/>
      <c r="D250" s="20"/>
      <c r="E250" s="20"/>
    </row>
    <row r="251">
      <c r="A251" s="26" t="s">
        <v>416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417</v>
      </c>
      <c r="B253" s="20"/>
      <c r="C253" s="27"/>
      <c r="D253" s="32">
        <f>SUM(C250:C252)</f>
        <v>0</v>
      </c>
      <c r="E253" s="20"/>
    </row>
    <row r="254">
      <c r="A254" s="45" t="s">
        <v>418</v>
      </c>
      <c r="B254" s="45"/>
      <c r="C254" s="45"/>
      <c r="D254" s="45"/>
      <c r="E254" s="45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418</v>
      </c>
      <c r="B256" s="46" t="s">
        <v>299</v>
      </c>
      <c r="C256" s="47"/>
      <c r="D256" s="20"/>
      <c r="E256" s="20"/>
    </row>
    <row r="257">
      <c r="A257" s="20" t="s">
        <v>420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421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422</v>
      </c>
      <c r="B265" s="38"/>
      <c r="C265" s="38"/>
      <c r="D265" s="38"/>
      <c r="E265" s="38"/>
    </row>
    <row r="266">
      <c r="A266" s="45" t="s">
        <v>423</v>
      </c>
      <c r="B266" s="45"/>
      <c r="C266" s="45"/>
      <c r="D266" s="45"/>
      <c r="E266" s="45"/>
    </row>
    <row r="267">
      <c r="A267" s="20" t="s">
        <v>424</v>
      </c>
      <c r="B267" s="46" t="s">
        <v>299</v>
      </c>
      <c r="C267" s="216"/>
      <c r="D267" s="20"/>
      <c r="E267" s="20"/>
    </row>
    <row r="268">
      <c r="A268" s="20" t="s">
        <v>425</v>
      </c>
      <c r="B268" s="46" t="s">
        <v>299</v>
      </c>
      <c r="C268" s="216"/>
      <c r="D268" s="20"/>
      <c r="E268" s="20"/>
    </row>
    <row r="269">
      <c r="A269" s="20" t="s">
        <v>426</v>
      </c>
      <c r="B269" s="46" t="s">
        <v>299</v>
      </c>
      <c r="C269" s="216"/>
      <c r="D269" s="20"/>
      <c r="E269" s="20"/>
    </row>
    <row r="270">
      <c r="A270" s="20" t="s">
        <v>427</v>
      </c>
      <c r="B270" s="46" t="s">
        <v>299</v>
      </c>
      <c r="C270" s="216"/>
      <c r="D270" s="20"/>
      <c r="E270" s="20"/>
    </row>
    <row r="271">
      <c r="A271" s="20" t="s">
        <v>428</v>
      </c>
      <c r="B271" s="46" t="s">
        <v>299</v>
      </c>
      <c r="C271" s="216"/>
      <c r="D271" s="20"/>
      <c r="E271" s="20"/>
    </row>
    <row r="272">
      <c r="A272" s="20" t="s">
        <v>429</v>
      </c>
      <c r="B272" s="46" t="s">
        <v>299</v>
      </c>
      <c r="C272" s="216"/>
      <c r="D272" s="20"/>
      <c r="E272" s="20"/>
    </row>
    <row r="273">
      <c r="A273" s="20" t="s">
        <v>430</v>
      </c>
      <c r="B273" s="46" t="s">
        <v>299</v>
      </c>
      <c r="C273" s="216"/>
      <c r="D273" s="20"/>
      <c r="E273" s="20"/>
    </row>
    <row r="274">
      <c r="A274" s="20" t="s">
        <v>431</v>
      </c>
      <c r="B274" s="46" t="s">
        <v>299</v>
      </c>
      <c r="C274" s="216"/>
      <c r="D274" s="20"/>
      <c r="E274" s="20"/>
    </row>
    <row r="275">
      <c r="A275" s="20" t="s">
        <v>432</v>
      </c>
      <c r="B275" s="46" t="s">
        <v>299</v>
      </c>
      <c r="C275" s="216"/>
      <c r="D275" s="20"/>
      <c r="E275" s="20"/>
    </row>
    <row r="276">
      <c r="A276" s="20" t="s">
        <v>433</v>
      </c>
      <c r="B276" s="46" t="s">
        <v>299</v>
      </c>
      <c r="C276" s="216"/>
      <c r="D276" s="20"/>
      <c r="E276" s="20"/>
    </row>
    <row r="277">
      <c r="A277" s="20" t="s">
        <v>434</v>
      </c>
      <c r="B277" s="20"/>
      <c r="C277" s="27"/>
      <c r="D277" s="32">
        <f>SUM(C267:C269)-C270+SUM(C271:C276)</f>
        <v>0</v>
      </c>
      <c r="E277" s="20"/>
    </row>
    <row r="278">
      <c r="A278" s="45" t="s">
        <v>435</v>
      </c>
      <c r="B278" s="45"/>
      <c r="C278" s="45"/>
      <c r="D278" s="45"/>
      <c r="E278" s="45"/>
    </row>
    <row r="279">
      <c r="A279" s="20" t="s">
        <v>424</v>
      </c>
      <c r="B279" s="46" t="s">
        <v>299</v>
      </c>
      <c r="C279" s="47"/>
      <c r="D279" s="20"/>
      <c r="E279" s="20"/>
    </row>
    <row r="280">
      <c r="A280" s="20" t="s">
        <v>425</v>
      </c>
      <c r="B280" s="46" t="s">
        <v>299</v>
      </c>
      <c r="C280" s="47"/>
      <c r="D280" s="20"/>
      <c r="E280" s="20"/>
    </row>
    <row r="281">
      <c r="A281" s="20" t="s">
        <v>436</v>
      </c>
      <c r="B281" s="46" t="s">
        <v>299</v>
      </c>
      <c r="C281" s="47"/>
      <c r="D281" s="20"/>
      <c r="E281" s="20"/>
    </row>
    <row r="282">
      <c r="A282" s="20" t="s">
        <v>437</v>
      </c>
      <c r="B282" s="20"/>
      <c r="C282" s="27"/>
      <c r="D282" s="32">
        <f>SUM(C279:C281)</f>
        <v>0</v>
      </c>
      <c r="E282" s="20"/>
    </row>
    <row r="283">
      <c r="A283" s="45" t="s">
        <v>438</v>
      </c>
      <c r="B283" s="45"/>
      <c r="C283" s="45"/>
      <c r="D283" s="45"/>
      <c r="E283" s="45"/>
    </row>
    <row r="284">
      <c r="A284" s="20" t="s">
        <v>393</v>
      </c>
      <c r="B284" s="46" t="s">
        <v>299</v>
      </c>
      <c r="C284" s="216"/>
      <c r="D284" s="20"/>
      <c r="E284" s="20"/>
    </row>
    <row r="285">
      <c r="A285" s="20" t="s">
        <v>394</v>
      </c>
      <c r="B285" s="46" t="s">
        <v>299</v>
      </c>
      <c r="C285" s="216"/>
      <c r="D285" s="20"/>
      <c r="E285" s="20"/>
    </row>
    <row r="286">
      <c r="A286" s="20" t="s">
        <v>395</v>
      </c>
      <c r="B286" s="46" t="s">
        <v>299</v>
      </c>
      <c r="C286" s="216"/>
      <c r="D286" s="20"/>
      <c r="E286" s="20"/>
    </row>
    <row r="287">
      <c r="A287" s="20" t="s">
        <v>439</v>
      </c>
      <c r="B287" s="46" t="s">
        <v>299</v>
      </c>
      <c r="C287" s="216"/>
      <c r="D287" s="20"/>
      <c r="E287" s="20"/>
    </row>
    <row r="288">
      <c r="A288" s="20" t="s">
        <v>440</v>
      </c>
      <c r="B288" s="46" t="s">
        <v>299</v>
      </c>
      <c r="C288" s="216"/>
      <c r="D288" s="20"/>
      <c r="E288" s="20"/>
    </row>
    <row r="289">
      <c r="A289" s="20" t="s">
        <v>441</v>
      </c>
      <c r="B289" s="46" t="s">
        <v>299</v>
      </c>
      <c r="C289" s="216"/>
      <c r="D289" s="20"/>
      <c r="E289" s="20"/>
    </row>
    <row r="290">
      <c r="A290" s="20" t="s">
        <v>400</v>
      </c>
      <c r="B290" s="46" t="s">
        <v>299</v>
      </c>
      <c r="C290" s="216"/>
      <c r="D290" s="20"/>
      <c r="E290" s="20"/>
    </row>
    <row r="291">
      <c r="A291" s="20" t="s">
        <v>401</v>
      </c>
      <c r="B291" s="46" t="s">
        <v>299</v>
      </c>
      <c r="C291" s="216"/>
      <c r="D291" s="20"/>
      <c r="E291" s="20"/>
    </row>
    <row r="292">
      <c r="A292" s="20" t="s">
        <v>442</v>
      </c>
      <c r="B292" s="20"/>
      <c r="C292" s="27"/>
      <c r="D292" s="32">
        <f>SUM(C284:C291)</f>
        <v>0</v>
      </c>
      <c r="E292" s="20"/>
    </row>
    <row r="293">
      <c r="A293" s="20" t="s">
        <v>443</v>
      </c>
      <c r="B293" s="46" t="s">
        <v>299</v>
      </c>
      <c r="C293" s="47"/>
      <c r="D293" s="20"/>
      <c r="E293" s="20"/>
    </row>
    <row r="294">
      <c r="A294" s="20" t="s">
        <v>444</v>
      </c>
      <c r="B294" s="20"/>
      <c r="C294" s="27"/>
      <c r="D294" s="32">
        <f>D292-C293</f>
        <v>0</v>
      </c>
      <c r="E294" s="20"/>
    </row>
    <row r="295">
      <c r="A295" s="45" t="s">
        <v>445</v>
      </c>
      <c r="B295" s="45"/>
      <c r="C295" s="45"/>
      <c r="D295" s="45"/>
      <c r="E295" s="45"/>
    </row>
    <row r="296">
      <c r="A296" s="20" t="s">
        <v>446</v>
      </c>
      <c r="B296" s="46" t="s">
        <v>299</v>
      </c>
      <c r="C296" s="216"/>
      <c r="D296" s="20"/>
      <c r="E296" s="20"/>
    </row>
    <row r="297">
      <c r="A297" s="20" t="s">
        <v>447</v>
      </c>
      <c r="B297" s="46" t="s">
        <v>299</v>
      </c>
      <c r="C297" s="216"/>
      <c r="D297" s="20"/>
      <c r="E297" s="20"/>
    </row>
    <row r="298">
      <c r="A298" s="20" t="s">
        <v>448</v>
      </c>
      <c r="B298" s="46" t="s">
        <v>299</v>
      </c>
      <c r="C298" s="216"/>
      <c r="D298" s="20"/>
      <c r="E298" s="20"/>
    </row>
    <row r="299">
      <c r="A299" s="20" t="s">
        <v>436</v>
      </c>
      <c r="B299" s="46" t="s">
        <v>299</v>
      </c>
      <c r="C299" s="216"/>
      <c r="D299" s="20"/>
      <c r="E299" s="20"/>
    </row>
    <row r="300">
      <c r="A300" s="20" t="s">
        <v>449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450</v>
      </c>
      <c r="B302" s="45"/>
      <c r="C302" s="45"/>
      <c r="D302" s="45"/>
      <c r="E302" s="45"/>
    </row>
    <row r="303">
      <c r="A303" s="20" t="s">
        <v>451</v>
      </c>
      <c r="B303" s="46" t="s">
        <v>299</v>
      </c>
      <c r="C303" s="216"/>
      <c r="D303" s="20"/>
      <c r="E303" s="20"/>
    </row>
    <row r="304">
      <c r="A304" s="20" t="s">
        <v>452</v>
      </c>
      <c r="B304" s="46" t="s">
        <v>299</v>
      </c>
      <c r="C304" s="216"/>
      <c r="D304" s="20"/>
      <c r="E304" s="20"/>
    </row>
    <row r="305">
      <c r="A305" s="20" t="s">
        <v>453</v>
      </c>
      <c r="B305" s="46" t="s">
        <v>299</v>
      </c>
      <c r="C305" s="216"/>
      <c r="D305" s="20"/>
      <c r="E305" s="20"/>
    </row>
    <row r="306">
      <c r="A306" s="20" t="s">
        <v>454</v>
      </c>
      <c r="B306" s="46" t="s">
        <v>299</v>
      </c>
      <c r="C306" s="216"/>
      <c r="D306" s="20"/>
      <c r="E306" s="20"/>
    </row>
    <row r="307">
      <c r="A307" s="20" t="s">
        <v>455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456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457</v>
      </c>
      <c r="B313" s="38"/>
      <c r="C313" s="38"/>
      <c r="D313" s="38"/>
      <c r="E313" s="38"/>
    </row>
    <row r="314">
      <c r="A314" s="45" t="s">
        <v>458</v>
      </c>
      <c r="B314" s="45"/>
      <c r="C314" s="45"/>
      <c r="D314" s="45"/>
      <c r="E314" s="45"/>
    </row>
    <row r="315">
      <c r="A315" s="20" t="s">
        <v>459</v>
      </c>
      <c r="B315" s="46" t="s">
        <v>299</v>
      </c>
      <c r="C315" s="216"/>
      <c r="D315" s="20"/>
      <c r="E315" s="20"/>
    </row>
    <row r="316">
      <c r="A316" s="20" t="s">
        <v>460</v>
      </c>
      <c r="B316" s="46" t="s">
        <v>299</v>
      </c>
      <c r="C316" s="216"/>
      <c r="D316" s="20"/>
      <c r="E316" s="20"/>
    </row>
    <row r="317">
      <c r="A317" s="20" t="s">
        <v>461</v>
      </c>
      <c r="B317" s="46" t="s">
        <v>299</v>
      </c>
      <c r="C317" s="216"/>
      <c r="D317" s="20"/>
      <c r="E317" s="20"/>
    </row>
    <row r="318">
      <c r="A318" s="20" t="s">
        <v>462</v>
      </c>
      <c r="B318" s="46" t="s">
        <v>299</v>
      </c>
      <c r="C318" s="216"/>
      <c r="D318" s="20"/>
      <c r="E318" s="20"/>
    </row>
    <row r="319">
      <c r="A319" s="20" t="s">
        <v>463</v>
      </c>
      <c r="B319" s="46" t="s">
        <v>299</v>
      </c>
      <c r="C319" s="216"/>
      <c r="D319" s="20"/>
      <c r="E319" s="20"/>
    </row>
    <row r="320">
      <c r="A320" s="20" t="s">
        <v>464</v>
      </c>
      <c r="B320" s="46" t="s">
        <v>299</v>
      </c>
      <c r="C320" s="216"/>
      <c r="D320" s="20"/>
      <c r="E320" s="20"/>
    </row>
    <row r="321">
      <c r="A321" s="20" t="s">
        <v>465</v>
      </c>
      <c r="B321" s="46" t="s">
        <v>299</v>
      </c>
      <c r="C321" s="216"/>
      <c r="D321" s="20"/>
      <c r="E321" s="20"/>
    </row>
    <row r="322">
      <c r="A322" s="20" t="s">
        <v>466</v>
      </c>
      <c r="B322" s="46" t="s">
        <v>299</v>
      </c>
      <c r="C322" s="216"/>
      <c r="D322" s="20"/>
      <c r="E322" s="20"/>
    </row>
    <row r="323">
      <c r="A323" s="20" t="s">
        <v>467</v>
      </c>
      <c r="B323" s="46" t="s">
        <v>299</v>
      </c>
      <c r="C323" s="216"/>
      <c r="D323" s="20"/>
      <c r="E323" s="20"/>
    </row>
    <row r="324">
      <c r="A324" s="20" t="s">
        <v>468</v>
      </c>
      <c r="B324" s="46" t="s">
        <v>299</v>
      </c>
      <c r="C324" s="216"/>
      <c r="D324" s="20"/>
      <c r="E324" s="20"/>
    </row>
    <row r="325">
      <c r="A325" s="20" t="s">
        <v>469</v>
      </c>
      <c r="B325" s="20"/>
      <c r="C325" s="27"/>
      <c r="D325" s="32">
        <f>SUM(C315:C324)</f>
        <v>0</v>
      </c>
      <c r="E325" s="20"/>
    </row>
    <row r="326">
      <c r="A326" s="45" t="s">
        <v>470</v>
      </c>
      <c r="B326" s="45"/>
      <c r="C326" s="45"/>
      <c r="D326" s="45"/>
      <c r="E326" s="45"/>
    </row>
    <row r="327">
      <c r="A327" s="20" t="s">
        <v>471</v>
      </c>
      <c r="B327" s="46" t="s">
        <v>299</v>
      </c>
      <c r="C327" s="216"/>
      <c r="D327" s="20"/>
      <c r="E327" s="20"/>
    </row>
    <row r="328">
      <c r="A328" s="20" t="s">
        <v>472</v>
      </c>
      <c r="B328" s="46" t="s">
        <v>299</v>
      </c>
      <c r="C328" s="216"/>
      <c r="D328" s="20"/>
      <c r="E328" s="20"/>
    </row>
    <row r="329">
      <c r="A329" s="20" t="s">
        <v>473</v>
      </c>
      <c r="B329" s="46" t="s">
        <v>299</v>
      </c>
      <c r="C329" s="216"/>
      <c r="D329" s="20"/>
      <c r="E329" s="20"/>
    </row>
    <row r="330">
      <c r="A330" s="20" t="s">
        <v>474</v>
      </c>
      <c r="B330" s="20"/>
      <c r="C330" s="27"/>
      <c r="D330" s="32">
        <f>SUM(C327:C329)</f>
        <v>0</v>
      </c>
      <c r="E330" s="20"/>
    </row>
    <row r="331">
      <c r="A331" s="45" t="s">
        <v>475</v>
      </c>
      <c r="B331" s="45"/>
      <c r="C331" s="45"/>
      <c r="D331" s="45"/>
      <c r="E331" s="45"/>
    </row>
    <row r="332">
      <c r="A332" s="20" t="s">
        <v>476</v>
      </c>
      <c r="B332" s="46" t="s">
        <v>299</v>
      </c>
      <c r="C332" s="216"/>
      <c r="D332" s="20"/>
      <c r="E332" s="20"/>
    </row>
    <row r="333">
      <c r="A333" s="20" t="s">
        <v>477</v>
      </c>
      <c r="B333" s="46" t="s">
        <v>299</v>
      </c>
      <c r="C333" s="216"/>
      <c r="D333" s="20"/>
      <c r="E333" s="20"/>
    </row>
    <row r="334">
      <c r="A334" s="20" t="s">
        <v>478</v>
      </c>
      <c r="B334" s="46" t="s">
        <v>299</v>
      </c>
      <c r="C334" s="216"/>
      <c r="D334" s="20"/>
      <c r="E334" s="20"/>
    </row>
    <row r="335">
      <c r="A335" s="26" t="s">
        <v>479</v>
      </c>
      <c r="B335" s="46" t="s">
        <v>299</v>
      </c>
      <c r="C335" s="216"/>
      <c r="D335" s="20"/>
      <c r="E335" s="20"/>
    </row>
    <row r="336">
      <c r="A336" s="20" t="s">
        <v>480</v>
      </c>
      <c r="B336" s="46" t="s">
        <v>299</v>
      </c>
      <c r="C336" s="216"/>
      <c r="D336" s="20"/>
      <c r="E336" s="20"/>
    </row>
    <row r="337">
      <c r="A337" s="26" t="s">
        <v>481</v>
      </c>
      <c r="B337" s="46" t="s">
        <v>299</v>
      </c>
      <c r="C337" s="216"/>
      <c r="D337" s="20"/>
      <c r="E337" s="20"/>
    </row>
    <row r="338">
      <c r="A338" s="26" t="s">
        <v>482</v>
      </c>
      <c r="B338" s="46" t="s">
        <v>299</v>
      </c>
      <c r="C338" s="272"/>
      <c r="D338" s="20"/>
      <c r="E338" s="20"/>
    </row>
    <row r="339">
      <c r="A339" s="20" t="s">
        <v>483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484</v>
      </c>
      <c r="B341" s="20"/>
      <c r="C341" s="27"/>
      <c r="D341" s="32">
        <f>C324</f>
        <v>0</v>
      </c>
      <c r="E341" s="20"/>
    </row>
    <row r="342">
      <c r="A342" s="20" t="s">
        <v>485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486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487</v>
      </c>
      <c r="B346" s="46" t="s">
        <v>299</v>
      </c>
      <c r="C346" s="234"/>
      <c r="D346" s="20"/>
      <c r="E346" s="20"/>
    </row>
    <row r="347">
      <c r="A347" s="20" t="s">
        <v>488</v>
      </c>
      <c r="B347" s="46" t="s">
        <v>299</v>
      </c>
      <c r="C347" s="234"/>
      <c r="D347" s="20"/>
      <c r="E347" s="20"/>
    </row>
    <row r="348">
      <c r="A348" s="20" t="s">
        <v>489</v>
      </c>
      <c r="B348" s="46" t="s">
        <v>299</v>
      </c>
      <c r="C348" s="234"/>
      <c r="D348" s="20"/>
      <c r="E348" s="20"/>
    </row>
    <row r="349">
      <c r="A349" s="20" t="s">
        <v>490</v>
      </c>
      <c r="B349" s="46" t="s">
        <v>299</v>
      </c>
      <c r="C349" s="234"/>
      <c r="D349" s="20"/>
      <c r="E349" s="20"/>
    </row>
    <row r="350">
      <c r="A350" s="20" t="s">
        <v>491</v>
      </c>
      <c r="B350" s="46" t="s">
        <v>299</v>
      </c>
      <c r="C350" s="234"/>
      <c r="D350" s="20"/>
      <c r="E350" s="20"/>
    </row>
    <row r="351">
      <c r="A351" s="20" t="s">
        <v>492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493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494</v>
      </c>
      <c r="B357" s="38"/>
      <c r="C357" s="38"/>
      <c r="D357" s="38"/>
      <c r="E357" s="38"/>
    </row>
    <row r="358">
      <c r="A358" s="45" t="s">
        <v>495</v>
      </c>
      <c r="B358" s="45"/>
      <c r="C358" s="45"/>
      <c r="D358" s="45"/>
      <c r="E358" s="45"/>
    </row>
    <row r="359">
      <c r="A359" s="20" t="s">
        <v>496</v>
      </c>
      <c r="B359" s="46" t="s">
        <v>299</v>
      </c>
      <c r="C359" s="235"/>
      <c r="D359" s="20"/>
      <c r="E359" s="20"/>
    </row>
    <row r="360">
      <c r="A360" s="20" t="s">
        <v>497</v>
      </c>
      <c r="B360" s="46" t="s">
        <v>299</v>
      </c>
      <c r="C360" s="235"/>
      <c r="D360" s="20"/>
      <c r="E360" s="20"/>
    </row>
    <row r="361">
      <c r="A361" s="20" t="s">
        <v>498</v>
      </c>
      <c r="B361" s="20"/>
      <c r="C361" s="27"/>
      <c r="D361" s="32">
        <f>SUM(C359:C360)</f>
        <v>0</v>
      </c>
      <c r="E361" s="20"/>
    </row>
    <row r="362">
      <c r="A362" s="45" t="s">
        <v>499</v>
      </c>
      <c r="B362" s="45"/>
      <c r="C362" s="45"/>
      <c r="D362" s="45"/>
      <c r="E362" s="45"/>
    </row>
    <row r="363">
      <c r="A363" s="20" t="s">
        <v>404</v>
      </c>
      <c r="B363" s="45"/>
      <c r="C363" s="216"/>
      <c r="D363" s="20"/>
      <c r="E363" s="45"/>
    </row>
    <row r="364">
      <c r="A364" s="20" t="s">
        <v>500</v>
      </c>
      <c r="B364" s="46" t="s">
        <v>299</v>
      </c>
      <c r="C364" s="216"/>
      <c r="D364" s="20"/>
      <c r="E364" s="20"/>
    </row>
    <row r="365">
      <c r="A365" s="20" t="s">
        <v>501</v>
      </c>
      <c r="B365" s="46" t="s">
        <v>299</v>
      </c>
      <c r="C365" s="216"/>
      <c r="D365" s="20"/>
      <c r="E365" s="20"/>
    </row>
    <row r="366">
      <c r="A366" s="20" t="s">
        <v>502</v>
      </c>
      <c r="B366" s="46" t="s">
        <v>299</v>
      </c>
      <c r="C366" s="216"/>
      <c r="D366" s="20"/>
      <c r="E366" s="20"/>
    </row>
    <row r="367">
      <c r="A367" s="20" t="s">
        <v>421</v>
      </c>
      <c r="B367" s="20"/>
      <c r="C367" s="27"/>
      <c r="D367" s="32">
        <f>SUM(C363:C366)</f>
        <v>0</v>
      </c>
      <c r="E367" s="20"/>
    </row>
    <row r="368">
      <c r="A368" s="20" t="s">
        <v>503</v>
      </c>
      <c r="B368" s="20"/>
      <c r="C368" s="27"/>
      <c r="D368" s="32">
        <f>D361-D367</f>
        <v>0</v>
      </c>
      <c r="E368" s="20"/>
    </row>
    <row r="369">
      <c r="A369" s="58" t="s">
        <v>504</v>
      </c>
      <c r="B369" s="45"/>
      <c r="C369" s="45"/>
      <c r="D369" s="45"/>
      <c r="E369" s="45"/>
    </row>
    <row r="370">
      <c r="A370" s="32" t="s">
        <v>505</v>
      </c>
      <c r="B370" s="20"/>
      <c r="C370" s="20"/>
      <c r="D370" s="20"/>
      <c r="E370" s="20"/>
    </row>
    <row r="371">
      <c r="A371" s="59" t="s">
        <v>506</v>
      </c>
      <c r="B371" s="40" t="s">
        <v>299</v>
      </c>
      <c r="C371" s="273"/>
      <c r="D371" s="32"/>
      <c r="E371" s="32"/>
    </row>
    <row r="372">
      <c r="A372" s="59" t="s">
        <v>507</v>
      </c>
      <c r="B372" s="40" t="s">
        <v>299</v>
      </c>
      <c r="C372" s="273"/>
      <c r="D372" s="32"/>
      <c r="E372" s="32"/>
    </row>
    <row r="373">
      <c r="A373" s="59" t="s">
        <v>508</v>
      </c>
      <c r="B373" s="40" t="s">
        <v>299</v>
      </c>
      <c r="C373" s="273"/>
      <c r="D373" s="32"/>
      <c r="E373" s="32"/>
    </row>
    <row r="374">
      <c r="A374" s="59" t="s">
        <v>509</v>
      </c>
      <c r="B374" s="40" t="s">
        <v>299</v>
      </c>
      <c r="C374" s="273"/>
      <c r="D374" s="32"/>
      <c r="E374" s="32"/>
    </row>
    <row r="375">
      <c r="A375" s="59" t="s">
        <v>510</v>
      </c>
      <c r="B375" s="40" t="s">
        <v>299</v>
      </c>
      <c r="C375" s="273"/>
      <c r="D375" s="32"/>
      <c r="E375" s="32"/>
    </row>
    <row r="376">
      <c r="A376" s="59" t="s">
        <v>511</v>
      </c>
      <c r="B376" s="40" t="s">
        <v>299</v>
      </c>
      <c r="C376" s="273"/>
      <c r="D376" s="32"/>
      <c r="E376" s="32"/>
    </row>
    <row r="377">
      <c r="A377" s="59" t="s">
        <v>512</v>
      </c>
      <c r="B377" s="40" t="s">
        <v>299</v>
      </c>
      <c r="C377" s="273"/>
      <c r="D377" s="32"/>
      <c r="E377" s="32"/>
    </row>
    <row r="378">
      <c r="A378" s="59" t="s">
        <v>513</v>
      </c>
      <c r="B378" s="40" t="s">
        <v>299</v>
      </c>
      <c r="C378" s="273"/>
      <c r="D378" s="32"/>
      <c r="E378" s="32"/>
    </row>
    <row r="379">
      <c r="A379" s="59" t="s">
        <v>514</v>
      </c>
      <c r="B379" s="40" t="s">
        <v>299</v>
      </c>
      <c r="C379" s="273"/>
      <c r="D379" s="32"/>
      <c r="E379" s="32"/>
    </row>
    <row r="380">
      <c r="A380" s="59" t="s">
        <v>515</v>
      </c>
      <c r="B380" s="40" t="s">
        <v>299</v>
      </c>
      <c r="C380" s="273"/>
      <c r="D380" s="32"/>
      <c r="E380" s="32"/>
    </row>
    <row r="381">
      <c r="A381" s="59" t="s">
        <v>516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517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518</v>
      </c>
      <c r="B383" s="46" t="s">
        <v>299</v>
      </c>
      <c r="C383" s="47"/>
      <c r="D383" s="32"/>
      <c r="E383" s="20"/>
    </row>
    <row r="384">
      <c r="A384" s="20" t="s">
        <v>519</v>
      </c>
      <c r="B384" s="20"/>
      <c r="C384" s="27"/>
      <c r="D384" s="32">
        <f>D382+C383</f>
        <v>0</v>
      </c>
      <c r="E384" s="20"/>
    </row>
    <row r="385">
      <c r="A385" s="20" t="s">
        <v>520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521</v>
      </c>
      <c r="B389" s="45"/>
      <c r="C389" s="45"/>
      <c r="D389" s="45"/>
      <c r="E389" s="45"/>
    </row>
    <row r="390">
      <c r="A390" s="20" t="s">
        <v>522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523</v>
      </c>
      <c r="B393" s="46" t="s">
        <v>299</v>
      </c>
      <c r="C393" s="216"/>
      <c r="D393" s="20"/>
      <c r="E393" s="20"/>
    </row>
    <row r="394">
      <c r="A394" s="20" t="s">
        <v>524</v>
      </c>
      <c r="B394" s="46" t="s">
        <v>299</v>
      </c>
      <c r="C394" s="216"/>
      <c r="D394" s="20"/>
      <c r="E394" s="20"/>
    </row>
    <row r="395">
      <c r="A395" s="20" t="s">
        <v>525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526</v>
      </c>
      <c r="B397" s="46" t="s">
        <v>299</v>
      </c>
      <c r="C397" s="216"/>
      <c r="D397" s="20"/>
      <c r="E397" s="20"/>
    </row>
    <row r="398">
      <c r="A398" s="20" t="s">
        <v>527</v>
      </c>
      <c r="B398" s="46" t="s">
        <v>299</v>
      </c>
      <c r="C398" s="216"/>
      <c r="D398" s="20"/>
      <c r="E398" s="20"/>
    </row>
    <row r="399">
      <c r="A399" s="20" t="s">
        <v>528</v>
      </c>
      <c r="B399" s="46" t="s">
        <v>299</v>
      </c>
      <c r="C399" s="216"/>
      <c r="D399" s="20"/>
      <c r="E399" s="20"/>
    </row>
    <row r="400">
      <c r="A400" s="20" t="s">
        <v>529</v>
      </c>
      <c r="B400" s="46" t="s">
        <v>299</v>
      </c>
      <c r="C400" s="216"/>
      <c r="D400" s="20"/>
      <c r="E400" s="20"/>
    </row>
    <row r="401">
      <c r="A401" s="32" t="s">
        <v>530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531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532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533</v>
      </c>
      <c r="B417" s="20"/>
      <c r="C417" s="27"/>
      <c r="D417" s="32">
        <f>SUM(C390:C400,D416)</f>
        <v>0</v>
      </c>
      <c r="E417" s="32"/>
    </row>
    <row r="418">
      <c r="A418" s="32" t="s">
        <v>534</v>
      </c>
      <c r="B418" s="20"/>
      <c r="C418" s="27"/>
      <c r="D418" s="32">
        <f>D385-D417</f>
        <v>0</v>
      </c>
      <c r="E418" s="32"/>
    </row>
    <row r="419">
      <c r="A419" s="32" t="s">
        <v>535</v>
      </c>
      <c r="B419" s="20"/>
      <c r="C419" s="236"/>
      <c r="D419" s="32"/>
      <c r="E419" s="32"/>
    </row>
    <row r="420">
      <c r="A420" s="59" t="s">
        <v>536</v>
      </c>
      <c r="B420" s="46" t="s">
        <v>299</v>
      </c>
      <c r="C420" s="273"/>
      <c r="D420" s="32"/>
      <c r="E420" s="32"/>
    </row>
    <row r="421">
      <c r="A421" s="61" t="s">
        <v>537</v>
      </c>
      <c r="B421" s="20"/>
      <c r="C421" s="20"/>
      <c r="D421" s="32">
        <f>SUM(C419:C420)</f>
        <v>0</v>
      </c>
      <c r="E421" s="32"/>
    </row>
    <row r="422">
      <c r="A422" s="32" t="s">
        <v>538</v>
      </c>
      <c r="B422" s="20"/>
      <c r="C422" s="27"/>
      <c r="D422" s="32">
        <f>D418+D421</f>
        <v>0</v>
      </c>
      <c r="E422" s="32"/>
      <c r="F422" s="63"/>
    </row>
    <row r="423">
      <c r="A423" s="32" t="s">
        <v>539</v>
      </c>
      <c r="B423" s="46" t="s">
        <v>299</v>
      </c>
      <c r="C423" s="47"/>
      <c r="D423" s="32"/>
      <c r="E423" s="20"/>
    </row>
    <row r="424">
      <c r="A424" s="20" t="s">
        <v>540</v>
      </c>
      <c r="B424" s="46" t="s">
        <v>299</v>
      </c>
      <c r="C424" s="47"/>
      <c r="D424" s="32"/>
      <c r="E424" s="20"/>
    </row>
    <row r="425">
      <c r="A425" s="20" t="s">
        <v>541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542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543</v>
      </c>
      <c r="D614" s="257" t="s">
        <v>544</v>
      </c>
      <c r="E614" s="259" t="s">
        <v>545</v>
      </c>
      <c r="F614" s="260" t="s">
        <v>546</v>
      </c>
      <c r="G614" s="257" t="s">
        <v>547</v>
      </c>
      <c r="H614" s="260" t="s">
        <v>548</v>
      </c>
      <c r="I614" s="257" t="s">
        <v>549</v>
      </c>
      <c r="J614" s="257" t="s">
        <v>550</v>
      </c>
      <c r="K614" s="249" t="s">
        <v>551</v>
      </c>
      <c r="L614" s="250" t="s">
        <v>552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553</v>
      </c>
    </row>
    <row r="616" ht="12.6" customHeight="1" s="231" customFormat="1">
      <c r="A616" s="251"/>
      <c r="B616" s="250" t="s">
        <v>554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555</v>
      </c>
    </row>
    <row r="617" ht="12.6" customHeight="1" s="231" customFormat="1">
      <c r="A617" s="251">
        <v>8310</v>
      </c>
      <c r="B617" s="255" t="s">
        <v>556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557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558</v>
      </c>
    </row>
    <row r="619" ht="12.6" customHeight="1" s="231" customFormat="1">
      <c r="A619" s="251">
        <v>8470</v>
      </c>
      <c r="B619" s="255" t="s">
        <v>559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560</v>
      </c>
    </row>
    <row r="620" ht="12.6" customHeight="1" s="231" customFormat="1">
      <c r="A620" s="251">
        <v>8610</v>
      </c>
      <c r="B620" s="255" t="s">
        <v>561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562</v>
      </c>
    </row>
    <row r="621" ht="12.6" customHeight="1" s="231" customFormat="1">
      <c r="A621" s="251">
        <v>8790</v>
      </c>
      <c r="B621" s="255" t="s">
        <v>563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564</v>
      </c>
    </row>
    <row r="622" ht="12.6" customHeight="1" s="231" customFormat="1">
      <c r="A622" s="251">
        <v>8630</v>
      </c>
      <c r="B622" s="255" t="s">
        <v>565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566</v>
      </c>
    </row>
    <row r="623" ht="12.6" customHeight="1" s="231" customFormat="1">
      <c r="A623" s="251">
        <v>8770</v>
      </c>
      <c r="B623" s="250" t="s">
        <v>567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568</v>
      </c>
    </row>
    <row r="624" ht="12.6" customHeight="1" s="231" customFormat="1">
      <c r="A624" s="251">
        <v>8640</v>
      </c>
      <c r="B624" s="255" t="s">
        <v>569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570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571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572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573</v>
      </c>
    </row>
    <row r="628" ht="12.6" customHeight="1" s="231" customFormat="1">
      <c r="A628" s="251">
        <v>8620</v>
      </c>
      <c r="B628" s="250" t="s">
        <v>574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575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576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577</v>
      </c>
    </row>
    <row r="631" ht="12.6" customHeight="1" s="231" customFormat="1">
      <c r="A631" s="251">
        <v>8350</v>
      </c>
      <c r="B631" s="255" t="s">
        <v>578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579</v>
      </c>
    </row>
    <row r="632" ht="12.6" customHeight="1" s="231" customFormat="1">
      <c r="A632" s="251">
        <v>8200</v>
      </c>
      <c r="B632" s="255" t="s">
        <v>580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581</v>
      </c>
    </row>
    <row r="633" ht="12.6" customHeight="1" s="231" customFormat="1">
      <c r="A633" s="251">
        <v>8360</v>
      </c>
      <c r="B633" s="255" t="s">
        <v>582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583</v>
      </c>
    </row>
    <row r="634" ht="12.6" customHeight="1" s="231" customFormat="1">
      <c r="A634" s="251">
        <v>8370</v>
      </c>
      <c r="B634" s="255" t="s">
        <v>584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585</v>
      </c>
    </row>
    <row r="635" ht="12.6" customHeight="1" s="231" customFormat="1">
      <c r="A635" s="251">
        <v>8490</v>
      </c>
      <c r="B635" s="255" t="s">
        <v>586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587</v>
      </c>
    </row>
    <row r="636" ht="12.6" customHeight="1" s="231" customFormat="1">
      <c r="A636" s="251">
        <v>8530</v>
      </c>
      <c r="B636" s="255" t="s">
        <v>588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589</v>
      </c>
    </row>
    <row r="637" ht="12.6" customHeight="1" s="231" customFormat="1">
      <c r="A637" s="251">
        <v>8480</v>
      </c>
      <c r="B637" s="255" t="s">
        <v>590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591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592</v>
      </c>
    </row>
    <row r="639" ht="12.6" customHeight="1" s="231" customFormat="1">
      <c r="A639" s="251">
        <v>8590</v>
      </c>
      <c r="B639" s="255" t="s">
        <v>593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594</v>
      </c>
    </row>
    <row r="640" ht="12.6" customHeight="1" s="231" customFormat="1">
      <c r="A640" s="251">
        <v>8660</v>
      </c>
      <c r="B640" s="255" t="s">
        <v>595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596</v>
      </c>
    </row>
    <row r="641" ht="12.6" customHeight="1" s="231" customFormat="1">
      <c r="A641" s="251">
        <v>8670</v>
      </c>
      <c r="B641" s="255" t="s">
        <v>597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598</v>
      </c>
    </row>
    <row r="642" ht="12.6" customHeight="1" s="231" customFormat="1">
      <c r="A642" s="251">
        <v>8680</v>
      </c>
      <c r="B642" s="255" t="s">
        <v>599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600</v>
      </c>
    </row>
    <row r="643" ht="12.6" customHeight="1" s="231" customFormat="1">
      <c r="A643" s="251">
        <v>8690</v>
      </c>
      <c r="B643" s="255" t="s">
        <v>601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602</v>
      </c>
    </row>
    <row r="644" ht="12.6" customHeight="1" s="231" customFormat="1">
      <c r="A644" s="251">
        <v>8700</v>
      </c>
      <c r="B644" s="255" t="s">
        <v>603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604</v>
      </c>
    </row>
    <row r="645" ht="12.6" customHeight="1" s="231" customFormat="1">
      <c r="A645" s="251">
        <v>8710</v>
      </c>
      <c r="B645" s="255" t="s">
        <v>605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606</v>
      </c>
    </row>
    <row r="646" ht="12.6" customHeight="1" s="231" customFormat="1">
      <c r="A646" s="251">
        <v>8720</v>
      </c>
      <c r="B646" s="255" t="s">
        <v>607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608</v>
      </c>
    </row>
    <row r="647" ht="12.6" customHeight="1" s="231" customFormat="1">
      <c r="A647" s="251">
        <v>8730</v>
      </c>
      <c r="B647" s="255" t="s">
        <v>609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610</v>
      </c>
    </row>
    <row r="648" ht="12.6" customHeight="1" s="231" customFormat="1">
      <c r="A648" s="251">
        <v>8740</v>
      </c>
      <c r="B648" s="255" t="s">
        <v>611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612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613</v>
      </c>
      <c r="M667" s="249" t="s">
        <v>614</v>
      </c>
    </row>
    <row r="668" ht="12.6" customHeight="1" s="231" customFormat="1">
      <c r="C668" s="249" t="s">
        <v>543</v>
      </c>
      <c r="D668" s="249" t="s">
        <v>544</v>
      </c>
      <c r="E668" s="250" t="s">
        <v>545</v>
      </c>
      <c r="F668" s="249" t="s">
        <v>546</v>
      </c>
      <c r="G668" s="249" t="s">
        <v>547</v>
      </c>
      <c r="H668" s="249" t="s">
        <v>548</v>
      </c>
      <c r="I668" s="249" t="s">
        <v>549</v>
      </c>
      <c r="J668" s="249" t="s">
        <v>550</v>
      </c>
      <c r="K668" s="249" t="s">
        <v>551</v>
      </c>
      <c r="L668" s="250" t="s">
        <v>552</v>
      </c>
      <c r="M668" s="249" t="s">
        <v>615</v>
      </c>
    </row>
    <row r="669" ht="12.6" customHeight="1" s="231" customFormat="1">
      <c r="A669" s="251">
        <v>6010</v>
      </c>
      <c r="B669" s="250" t="s">
        <v>342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616</v>
      </c>
    </row>
    <row r="670" ht="12.6" customHeight="1" s="231" customFormat="1">
      <c r="A670" s="251">
        <v>6030</v>
      </c>
      <c r="B670" s="250" t="s">
        <v>343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617</v>
      </c>
    </row>
    <row r="671" ht="12.6" customHeight="1" s="231" customFormat="1">
      <c r="A671" s="251">
        <v>6070</v>
      </c>
      <c r="B671" s="250" t="s">
        <v>618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619</v>
      </c>
    </row>
    <row r="672" ht="12.6" customHeight="1" s="231" customFormat="1">
      <c r="A672" s="251">
        <v>6100</v>
      </c>
      <c r="B672" s="250" t="s">
        <v>620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621</v>
      </c>
    </row>
    <row r="673" ht="12.6" customHeight="1" s="231" customFormat="1">
      <c r="A673" s="251">
        <v>6120</v>
      </c>
      <c r="B673" s="250" t="s">
        <v>622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623</v>
      </c>
    </row>
    <row r="674" ht="12.6" customHeight="1" s="231" customFormat="1">
      <c r="A674" s="251">
        <v>6140</v>
      </c>
      <c r="B674" s="250" t="s">
        <v>624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625</v>
      </c>
    </row>
    <row r="675" ht="12.6" customHeight="1" s="231" customFormat="1">
      <c r="A675" s="251">
        <v>6150</v>
      </c>
      <c r="B675" s="250" t="s">
        <v>626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627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628</v>
      </c>
    </row>
    <row r="677" ht="12.6" customHeight="1" s="231" customFormat="1">
      <c r="A677" s="251">
        <v>6200</v>
      </c>
      <c r="B677" s="250" t="s">
        <v>348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629</v>
      </c>
    </row>
    <row r="678" ht="12.6" customHeight="1" s="231" customFormat="1">
      <c r="A678" s="251">
        <v>6210</v>
      </c>
      <c r="B678" s="250" t="s">
        <v>349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630</v>
      </c>
    </row>
    <row r="679" ht="12.6" customHeight="1" s="231" customFormat="1">
      <c r="A679" s="251">
        <v>6330</v>
      </c>
      <c r="B679" s="250" t="s">
        <v>631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632</v>
      </c>
    </row>
    <row r="680" ht="12.6" customHeight="1" s="231" customFormat="1">
      <c r="A680" s="251">
        <v>6400</v>
      </c>
      <c r="B680" s="250" t="s">
        <v>633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634</v>
      </c>
    </row>
    <row r="681" ht="12.6" customHeight="1" s="231" customFormat="1">
      <c r="A681" s="251">
        <v>7010</v>
      </c>
      <c r="B681" s="250" t="s">
        <v>635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636</v>
      </c>
    </row>
    <row r="682" ht="12.6" customHeight="1" s="231" customFormat="1">
      <c r="A682" s="251">
        <v>7020</v>
      </c>
      <c r="B682" s="250" t="s">
        <v>637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638</v>
      </c>
    </row>
    <row r="683" ht="12.6" customHeight="1" s="231" customFormat="1">
      <c r="A683" s="251">
        <v>7030</v>
      </c>
      <c r="B683" s="250" t="s">
        <v>639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640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641</v>
      </c>
    </row>
    <row r="685" ht="12.6" customHeight="1" s="231" customFormat="1">
      <c r="A685" s="251">
        <v>7050</v>
      </c>
      <c r="B685" s="250" t="s">
        <v>642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643</v>
      </c>
    </row>
    <row r="686" ht="12.6" customHeight="1" s="231" customFormat="1">
      <c r="A686" s="251">
        <v>7060</v>
      </c>
      <c r="B686" s="250" t="s">
        <v>644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645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646</v>
      </c>
    </row>
    <row r="688" ht="12.6" customHeight="1" s="231" customFormat="1">
      <c r="A688" s="251">
        <v>7110</v>
      </c>
      <c r="B688" s="250" t="s">
        <v>647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648</v>
      </c>
    </row>
    <row r="689" ht="12.6" customHeight="1" s="231" customFormat="1">
      <c r="A689" s="251">
        <v>7120</v>
      </c>
      <c r="B689" s="250" t="s">
        <v>649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650</v>
      </c>
    </row>
    <row r="690" ht="12.6" customHeight="1" s="231" customFormat="1">
      <c r="A690" s="251">
        <v>7130</v>
      </c>
      <c r="B690" s="250" t="s">
        <v>651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652</v>
      </c>
    </row>
    <row r="691" ht="12.6" customHeight="1" s="231" customFormat="1">
      <c r="A691" s="251">
        <v>7140</v>
      </c>
      <c r="B691" s="250" t="s">
        <v>653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654</v>
      </c>
    </row>
    <row r="692" ht="12.6" customHeight="1" s="231" customFormat="1">
      <c r="A692" s="251">
        <v>7150</v>
      </c>
      <c r="B692" s="250" t="s">
        <v>655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656</v>
      </c>
    </row>
    <row r="693" ht="12.6" customHeight="1" s="231" customFormat="1">
      <c r="A693" s="251">
        <v>7160</v>
      </c>
      <c r="B693" s="250" t="s">
        <v>657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658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659</v>
      </c>
    </row>
    <row r="695" ht="12.6" customHeight="1" s="231" customFormat="1">
      <c r="A695" s="251">
        <v>7180</v>
      </c>
      <c r="B695" s="250" t="s">
        <v>660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661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662</v>
      </c>
    </row>
    <row r="697" ht="12.6" customHeight="1" s="231" customFormat="1">
      <c r="A697" s="251">
        <v>7200</v>
      </c>
      <c r="B697" s="250" t="s">
        <v>663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664</v>
      </c>
    </row>
    <row r="698" ht="12.6" customHeight="1" s="231" customFormat="1">
      <c r="A698" s="251">
        <v>7220</v>
      </c>
      <c r="B698" s="250" t="s">
        <v>665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666</v>
      </c>
    </row>
    <row r="699" ht="12.6" customHeight="1" s="231" customFormat="1">
      <c r="A699" s="251">
        <v>7230</v>
      </c>
      <c r="B699" s="250" t="s">
        <v>667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668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669</v>
      </c>
    </row>
    <row r="701" ht="12.6" customHeight="1" s="231" customFormat="1">
      <c r="A701" s="251">
        <v>7250</v>
      </c>
      <c r="B701" s="250" t="s">
        <v>670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671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672</v>
      </c>
    </row>
    <row r="703" ht="12.6" customHeight="1" s="231" customFormat="1">
      <c r="A703" s="251">
        <v>7310</v>
      </c>
      <c r="B703" s="250" t="s">
        <v>673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674</v>
      </c>
    </row>
    <row r="704" ht="12.6" customHeight="1" s="231" customFormat="1">
      <c r="A704" s="251">
        <v>7320</v>
      </c>
      <c r="B704" s="250" t="s">
        <v>675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676</v>
      </c>
    </row>
    <row r="705" ht="12.6" customHeight="1" s="231" customFormat="1">
      <c r="A705" s="251">
        <v>7330</v>
      </c>
      <c r="B705" s="250" t="s">
        <v>677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678</v>
      </c>
    </row>
    <row r="706" ht="12.6" customHeight="1" s="231" customFormat="1">
      <c r="A706" s="251">
        <v>7340</v>
      </c>
      <c r="B706" s="250" t="s">
        <v>679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680</v>
      </c>
    </row>
    <row r="707" ht="12.6" customHeight="1" s="231" customFormat="1">
      <c r="A707" s="251">
        <v>7350</v>
      </c>
      <c r="B707" s="250" t="s">
        <v>681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682</v>
      </c>
    </row>
    <row r="708" ht="12.6" customHeight="1" s="231" customFormat="1">
      <c r="A708" s="251">
        <v>7380</v>
      </c>
      <c r="B708" s="250" t="s">
        <v>683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684</v>
      </c>
    </row>
    <row r="709" ht="12.6" customHeight="1" s="231" customFormat="1">
      <c r="A709" s="251">
        <v>7390</v>
      </c>
      <c r="B709" s="250" t="s">
        <v>685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686</v>
      </c>
    </row>
    <row r="710" ht="12.6" customHeight="1" s="231" customFormat="1">
      <c r="A710" s="251">
        <v>7400</v>
      </c>
      <c r="B710" s="250" t="s">
        <v>687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688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689</v>
      </c>
    </row>
    <row r="712" ht="12.6" customHeight="1" s="231" customFormat="1">
      <c r="A712" s="251">
        <v>7420</v>
      </c>
      <c r="B712" s="250" t="s">
        <v>690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691</v>
      </c>
    </row>
    <row r="713" ht="12.6" customHeight="1" s="231" customFormat="1">
      <c r="A713" s="251">
        <v>7430</v>
      </c>
      <c r="B713" s="250" t="s">
        <v>692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693</v>
      </c>
    </row>
    <row r="714" ht="12.6" customHeight="1" s="231" customFormat="1">
      <c r="A714" s="251">
        <v>7490</v>
      </c>
      <c r="B714" s="250" t="s">
        <v>694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695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696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697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026</v>
      </c>
      <c r="C2" s="12" t="str">
        <f>SUBSTITUTE(LEFT(data!C98,49),",","")</f>
        <v>PeaceHealth St John Medical Center</v>
      </c>
      <c r="D2" s="12" t="str">
        <f>LEFT(data!C99,49)</f>
        <v>Box 3002</v>
      </c>
      <c r="E2" s="12" t="str">
        <f>RIGHT(data!C100,100)</f>
        <v>Longview</v>
      </c>
      <c r="F2" s="12" t="str">
        <f>RIGHT(data!C101,100)</f>
        <v>WA</v>
      </c>
      <c r="G2" s="12" t="str">
        <f>RIGHT(data!C102,100)</f>
        <v>98632</v>
      </c>
      <c r="H2" s="12" t="str">
        <f>RIGHT(data!C103,100)</f>
        <v>Cowlitz</v>
      </c>
      <c r="I2" s="12" t="str">
        <f>LEFT(data!C104,49)</f>
        <v>Sean Gregory, CEO</v>
      </c>
      <c r="J2" s="12" t="str">
        <f>LEFT(data!C105,49)</f>
        <v>Tracey Fernandez, CFO</v>
      </c>
      <c r="K2" s="12" t="str">
        <f>LEFT(data!C107,49)</f>
        <v>(360) 514-2002</v>
      </c>
      <c r="L2" s="12" t="str">
        <f>LEFT(data!C107,49)</f>
        <v>(360) 514-2002</v>
      </c>
      <c r="M2" s="12" t="str">
        <f>LEFT(data!C109,49)</f>
      </c>
      <c r="N2" s="12" t="str">
        <f>LEFT(data!C110,49)</f>
        <v>bmarsden@peacehealth.org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026</v>
      </c>
      <c r="B2" s="224" t="str">
        <f>RIGHT(data!C96,4)</f>
        <v>2022</v>
      </c>
      <c r="C2" s="16" t="s">
        <v>1169</v>
      </c>
      <c r="D2" s="223">
        <f>ROUND(data!C181,0)</f>
        <v>8770281</v>
      </c>
      <c r="E2" s="223">
        <f>ROUND(data!C182,0)</f>
        <v>220675</v>
      </c>
      <c r="F2" s="223">
        <f>ROUND(data!C183,0)</f>
        <v>948954</v>
      </c>
      <c r="G2" s="223">
        <f>ROUND(data!C184,0)</f>
        <v>15681585</v>
      </c>
      <c r="H2" s="223">
        <f>ROUND(data!C185,0)</f>
        <v>108694</v>
      </c>
      <c r="I2" s="223">
        <f>ROUND(data!C186,0)</f>
        <v>8099023</v>
      </c>
      <c r="J2" s="223">
        <f>ROUND(data!C187+data!C188,0)</f>
        <v>1234381</v>
      </c>
      <c r="K2" s="223">
        <f>ROUND(data!C191,0)</f>
        <v>582024</v>
      </c>
      <c r="L2" s="223">
        <f>ROUND(data!C192,0)</f>
        <v>567718</v>
      </c>
      <c r="M2" s="223">
        <f>ROUND(data!C195,0)</f>
        <v>1884017</v>
      </c>
      <c r="N2" s="223">
        <f>ROUND(data!C196,0)</f>
        <v>882578</v>
      </c>
      <c r="O2" s="223">
        <f>ROUND(data!C199,0)</f>
        <v>353543</v>
      </c>
      <c r="P2" s="223">
        <f>ROUND(data!C200,0)</f>
        <v>6679823</v>
      </c>
      <c r="Q2" s="223">
        <f>ROUND(data!C201,0)</f>
        <v>0</v>
      </c>
      <c r="R2" s="223">
        <f>ROUND(data!C204,0)</f>
        <v>0</v>
      </c>
      <c r="S2" s="223">
        <f>ROUND(data!C205,0)</f>
        <v>27663</v>
      </c>
      <c r="T2" s="223">
        <f>ROUND(data!B211,0)</f>
        <v>3531052</v>
      </c>
      <c r="U2" s="223">
        <f>ROUND(data!C211,0)</f>
        <v>0</v>
      </c>
      <c r="V2" s="223">
        <f>ROUND(data!D211,0)</f>
        <v>102326</v>
      </c>
      <c r="W2" s="223">
        <f>ROUND(data!B212,0)</f>
        <v>2712760</v>
      </c>
      <c r="X2" s="223">
        <f>ROUND(data!C212,0)</f>
        <v>11999</v>
      </c>
      <c r="Y2" s="223">
        <f>ROUND(data!D212,0)</f>
        <v>0</v>
      </c>
      <c r="Z2" s="223">
        <f>ROUND(data!B213,0)</f>
        <v>170019370</v>
      </c>
      <c r="AA2" s="223">
        <f>ROUND(data!C213,0)</f>
        <v>1911736</v>
      </c>
      <c r="AB2" s="223">
        <f>ROUND(data!D213,0)</f>
        <v>372281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27193634</v>
      </c>
      <c r="AG2" s="223">
        <f>ROUND(data!C215,0)</f>
        <v>7270737</v>
      </c>
      <c r="AH2" s="223">
        <f>ROUND(data!D215,0)</f>
        <v>0</v>
      </c>
      <c r="AI2" s="223">
        <f>ROUND(data!B216,0)</f>
        <v>67748701</v>
      </c>
      <c r="AJ2" s="223">
        <f>ROUND(data!C216,0)</f>
        <v>6536453</v>
      </c>
      <c r="AK2" s="223">
        <f>ROUND(data!D216,0)</f>
        <v>1413520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2028763</v>
      </c>
      <c r="AP2" s="223">
        <f>ROUND(data!C218,0)</f>
        <v>0</v>
      </c>
      <c r="AQ2" s="223">
        <f>ROUND(data!D218,0)</f>
        <v>0</v>
      </c>
      <c r="AR2" s="223">
        <f>ROUND(data!B219,0)</f>
        <v>7180709</v>
      </c>
      <c r="AS2" s="223">
        <f>ROUND(data!C219,0)</f>
        <v>-1239869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2280833</v>
      </c>
      <c r="AY2" s="223">
        <f>ROUND(data!C225,0)</f>
        <v>47937</v>
      </c>
      <c r="AZ2" s="223">
        <f>ROUND(data!D225,0)</f>
        <v>0</v>
      </c>
      <c r="BA2" s="223">
        <f>ROUND(data!B226,0)</f>
        <v>119606639</v>
      </c>
      <c r="BB2" s="223">
        <f>ROUND(data!C226,0)</f>
        <v>4885461</v>
      </c>
      <c r="BC2" s="223">
        <f>ROUND(data!D226,0)</f>
        <v>371281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13093480</v>
      </c>
      <c r="BH2" s="223">
        <f>ROUND(data!C228,0)</f>
        <v>1685872</v>
      </c>
      <c r="BI2" s="223">
        <f>ROUND(data!D228,0)</f>
        <v>0</v>
      </c>
      <c r="BJ2" s="223">
        <f>ROUND(data!B229,0)</f>
        <v>54531254</v>
      </c>
      <c r="BK2" s="223">
        <f>ROUND(data!C229,0)</f>
        <v>3930217</v>
      </c>
      <c r="BL2" s="223">
        <f>ROUND(data!D229,0)</f>
        <v>1391812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792366</v>
      </c>
      <c r="BQ2" s="223">
        <f>ROUND(data!C231,0)</f>
        <v>192563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394408488</v>
      </c>
      <c r="BW2" s="223">
        <f>ROUND(data!C240,0)</f>
        <v>200717119</v>
      </c>
      <c r="BX2" s="223">
        <f>ROUND(data!C241,0)</f>
        <v>5542115</v>
      </c>
      <c r="BY2" s="223">
        <f>ROUND(data!C242,0)</f>
        <v>30451992</v>
      </c>
      <c r="BZ2" s="223">
        <f>ROUND(data!C243,0)</f>
        <v>61699494</v>
      </c>
      <c r="CA2" s="223">
        <f>ROUND(data!C244,0)</f>
        <v>3912407</v>
      </c>
      <c r="CB2" s="223">
        <f>ROUND(data!C247,0)</f>
        <v>15161</v>
      </c>
      <c r="CC2" s="223">
        <f>ROUND(data!C249,0)</f>
        <v>3971976</v>
      </c>
      <c r="CD2" s="223">
        <f>ROUND(data!C250,0)</f>
        <v>10957868</v>
      </c>
      <c r="CE2" s="223">
        <f>ROUND(data!C254+data!C255,0)</f>
        <v>202955</v>
      </c>
      <c r="CF2" s="223">
        <f>data!D237</f>
        <v>10655077.95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026</v>
      </c>
      <c r="B2" s="16" t="str">
        <f>RIGHT(data!C96,4)</f>
        <v>2022</v>
      </c>
      <c r="C2" s="16" t="s">
        <v>1169</v>
      </c>
      <c r="D2" s="222">
        <f>ROUND(data!C127,0)</f>
        <v>6280</v>
      </c>
      <c r="E2" s="222">
        <f>ROUND(data!C128,0)</f>
        <v>0</v>
      </c>
      <c r="F2" s="222">
        <f>ROUND(data!C129,0)</f>
        <v>0</v>
      </c>
      <c r="G2" s="222">
        <f>ROUND(data!C130,0)</f>
        <v>780</v>
      </c>
      <c r="H2" s="222">
        <f>ROUND(data!D127,0)</f>
        <v>33644</v>
      </c>
      <c r="I2" s="222">
        <f>ROUND(data!D128,0)</f>
        <v>0</v>
      </c>
      <c r="J2" s="222">
        <f>ROUND(data!D129,0)</f>
        <v>0</v>
      </c>
      <c r="K2" s="222">
        <f>ROUND(data!D130,0)</f>
        <v>1360</v>
      </c>
      <c r="L2" s="222">
        <f>ROUND(data!C132,0)</f>
        <v>10</v>
      </c>
      <c r="M2" s="222">
        <f>ROUND(data!C133,0)</f>
        <v>6</v>
      </c>
      <c r="N2" s="222">
        <f>ROUND(data!C134,0)</f>
        <v>74</v>
      </c>
      <c r="O2" s="222">
        <f>ROUND(data!C135,0)</f>
        <v>0</v>
      </c>
      <c r="P2" s="222">
        <f>ROUND(data!C136,0)</f>
        <v>17</v>
      </c>
      <c r="Q2" s="222">
        <f>ROUND(data!C137,0)</f>
        <v>0</v>
      </c>
      <c r="R2" s="222">
        <f>ROUND(data!C138,0)</f>
        <v>14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346</v>
      </c>
      <c r="X2" s="222">
        <f>ROUND(data!C145,0)</f>
        <v>6</v>
      </c>
      <c r="Y2" s="222">
        <f>ROUND(data!B154,0)</f>
        <v>3287</v>
      </c>
      <c r="Z2" s="222">
        <f>ROUND(data!B155,0)</f>
        <v>19613</v>
      </c>
      <c r="AA2" s="222">
        <f>ROUND(data!B156,0)</f>
        <v>40871</v>
      </c>
      <c r="AB2" s="222">
        <f>ROUND(data!B157,0)</f>
        <v>210231802</v>
      </c>
      <c r="AC2" s="222">
        <f>ROUND(data!B158,0)</f>
        <v>306421432</v>
      </c>
      <c r="AD2" s="222">
        <f>ROUND(data!C154,0)</f>
        <v>1683</v>
      </c>
      <c r="AE2" s="222">
        <f>ROUND(data!C155,0)</f>
        <v>8197</v>
      </c>
      <c r="AF2" s="222">
        <f>ROUND(data!C156,0)</f>
        <v>27585</v>
      </c>
      <c r="AG2" s="222">
        <f>ROUND(data!C157,0)</f>
        <v>93530533</v>
      </c>
      <c r="AH2" s="222">
        <f>ROUND(data!C158,0)</f>
        <v>153209496</v>
      </c>
      <c r="AI2" s="222">
        <f>ROUND(data!D154,0)</f>
        <v>1310</v>
      </c>
      <c r="AJ2" s="222">
        <f>ROUND(data!D155,0)</f>
        <v>5834</v>
      </c>
      <c r="AK2" s="222">
        <f>ROUND(data!D156,0)</f>
        <v>31590</v>
      </c>
      <c r="AL2" s="222">
        <f>ROUND(data!D157,0)</f>
        <v>73913044</v>
      </c>
      <c r="AM2" s="222">
        <f>ROUND(data!D158,0)</f>
        <v>200517862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92719115</v>
      </c>
      <c r="BS2" s="222">
        <f>ROUND(data!C173,0)</f>
        <v>739649335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026</v>
      </c>
      <c r="B2" s="224" t="str">
        <f>RIGHT(data!C96,4)</f>
        <v>2022</v>
      </c>
      <c r="C2" s="16" t="s">
        <v>1169</v>
      </c>
      <c r="D2" s="222">
        <f>ROUND(data!C266,0)</f>
        <v>0</v>
      </c>
      <c r="E2" s="222">
        <f>ROUND(data!C267,0)</f>
        <v>0</v>
      </c>
      <c r="F2" s="222">
        <f>ROUND(data!C268,0)</f>
        <v>139010045</v>
      </c>
      <c r="G2" s="222">
        <f>ROUND(data!C269,0)</f>
        <v>101511186</v>
      </c>
      <c r="H2" s="222">
        <f>ROUND(data!C270,0)</f>
        <v>409291</v>
      </c>
      <c r="I2" s="222">
        <f>ROUND(data!C271,0)</f>
        <v>0</v>
      </c>
      <c r="J2" s="222">
        <f>ROUND(data!C272,0)</f>
        <v>0</v>
      </c>
      <c r="K2" s="222">
        <f>ROUND(data!C273,0)</f>
        <v>0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3428725</v>
      </c>
      <c r="R2" s="222">
        <f>ROUND(data!C284,0)</f>
        <v>2724760</v>
      </c>
      <c r="S2" s="222">
        <f>ROUND(data!C285,0)</f>
        <v>171558825</v>
      </c>
      <c r="T2" s="222">
        <f>ROUND(data!C286,0)</f>
        <v>0</v>
      </c>
      <c r="U2" s="222">
        <f>ROUND(data!C287,0)</f>
        <v>34464371</v>
      </c>
      <c r="V2" s="222">
        <f>ROUND(data!C288,0)</f>
        <v>72871634</v>
      </c>
      <c r="W2" s="222">
        <f>ROUND(data!C289,0)</f>
        <v>2028763</v>
      </c>
      <c r="X2" s="222">
        <f>ROUND(data!C290,0)</f>
        <v>5940840</v>
      </c>
      <c r="Y2" s="222">
        <f>ROUND(data!C291,0)</f>
        <v>0</v>
      </c>
      <c r="Z2" s="222">
        <f>ROUND(data!C292,0)</f>
        <v>199283528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5610061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0</v>
      </c>
      <c r="AK2" s="222">
        <f>ROUND(data!C316,0)</f>
        <v>0</v>
      </c>
      <c r="AL2" s="222">
        <f>ROUND(data!C317,0)</f>
        <v>0</v>
      </c>
      <c r="AM2" s="222">
        <f>ROUND(data!C318,0)</f>
        <v>10817553</v>
      </c>
      <c r="AN2" s="222">
        <f>ROUND(data!C319,0)</f>
        <v>344731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126090315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1283.46</v>
      </c>
      <c r="BL2" s="222">
        <f>ROUND(data!C358,0)</f>
        <v>377675379</v>
      </c>
      <c r="BM2" s="222">
        <f>ROUND(data!C359,0)</f>
        <v>660148790</v>
      </c>
      <c r="BN2" s="222">
        <f>ROUND(data!C363,0)</f>
        <v>696731616</v>
      </c>
      <c r="BO2" s="222">
        <f>ROUND(data!C364,0)</f>
        <v>14929843</v>
      </c>
      <c r="BP2" s="222">
        <f>ROUND(data!C365,0)</f>
        <v>202955</v>
      </c>
      <c r="BQ2" s="222">
        <f>ROUND(data!D381,0)</f>
        <v>15458950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15458950</v>
      </c>
      <c r="CC2" s="222">
        <f>ROUND(data!C382,0)</f>
        <v>0</v>
      </c>
      <c r="CD2" s="222">
        <f>ROUND(data!C389,0)</f>
        <v>153350695</v>
      </c>
      <c r="CE2" s="222">
        <f>ROUND(data!C390,0)</f>
        <v>35063592</v>
      </c>
      <c r="CF2" s="222">
        <f>ROUND(data!C391,0)</f>
        <v>5989519</v>
      </c>
      <c r="CG2" s="222">
        <f>ROUND(data!C392,0)</f>
        <v>44350599</v>
      </c>
      <c r="CH2" s="222">
        <f>ROUND(data!C393,0)</f>
        <v>2776457</v>
      </c>
      <c r="CI2" s="222">
        <f>ROUND(data!C394,0)</f>
        <v>59238609</v>
      </c>
      <c r="CJ2" s="222">
        <f>ROUND(data!C395,0)</f>
        <v>20423411</v>
      </c>
      <c r="CK2" s="222">
        <f>ROUND(data!C396,0)</f>
        <v>1149742</v>
      </c>
      <c r="CL2" s="222">
        <f>ROUND(data!C397,0)</f>
        <v>2766595</v>
      </c>
      <c r="CM2" s="222">
        <f>ROUND(data!C398,0)</f>
        <v>7033366</v>
      </c>
      <c r="CN2" s="222">
        <f>ROUND(data!C399,0)</f>
        <v>27663</v>
      </c>
      <c r="CO2" s="222">
        <f>ROUND(data!C362,0)</f>
        <v>10655078</v>
      </c>
      <c r="CP2" s="222">
        <f>ROUND(data!D415,0)</f>
        <v>1470544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1470544</v>
      </c>
      <c r="DE2" s="65">
        <f>ROUND(data!C419,0)</f>
        <v>0</v>
      </c>
      <c r="DF2" s="222">
        <f>ROUND(data!D420,0)</f>
        <v>-161515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026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3690</v>
      </c>
      <c r="F2" s="212">
        <f>ROUND(data!C60,2)</f>
        <v>39.11</v>
      </c>
      <c r="G2" s="222">
        <f>ROUND(data!C61,0)</f>
        <v>7105089</v>
      </c>
      <c r="H2" s="222">
        <f>ROUND(data!C62,0)</f>
        <v>1142675</v>
      </c>
      <c r="I2" s="222">
        <f>ROUND(data!C63,0)</f>
        <v>0</v>
      </c>
      <c r="J2" s="222">
        <f>ROUND(data!C64,0)</f>
        <v>627298</v>
      </c>
      <c r="K2" s="222">
        <f>ROUND(data!C65,0)</f>
        <v>0</v>
      </c>
      <c r="L2" s="222">
        <f>ROUND(data!C66,0)</f>
        <v>262</v>
      </c>
      <c r="M2" s="66">
        <f>ROUND(data!C67,0)</f>
        <v>280484</v>
      </c>
      <c r="N2" s="222">
        <f>ROUND(data!C68,0)</f>
        <v>11414</v>
      </c>
      <c r="O2" s="222">
        <f>ROUND(data!C69,0)</f>
        <v>5971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5971</v>
      </c>
      <c r="AD2" s="222">
        <f>ROUND(data!C84,0)</f>
        <v>0</v>
      </c>
      <c r="AE2" s="222">
        <f>ROUND(data!C89,0)</f>
        <v>34171214</v>
      </c>
      <c r="AF2" s="222">
        <f>ROUND(data!C87,0)</f>
        <v>34049080</v>
      </c>
      <c r="AG2" s="222">
        <f>IF(data!C90&gt;0,ROUND(data!C90,0),0)</f>
        <v>23023</v>
      </c>
      <c r="AH2" s="222">
        <f>IF(data!C91&gt;0,ROUND(data!C91,0),0)</f>
        <v>30430</v>
      </c>
      <c r="AI2" s="222">
        <f>IF(data!C92&gt;0,ROUND(data!C92,0),0)</f>
        <v>6854</v>
      </c>
      <c r="AJ2" s="222">
        <f>IF(data!C93&gt;0,ROUND(data!C93,0),0)</f>
        <v>90186</v>
      </c>
      <c r="AK2" s="212">
        <f>IF(data!C94&gt;0,ROUND(data!C94,2),0)</f>
        <v>28.58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026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026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23984</v>
      </c>
      <c r="F4" s="212">
        <f>ROUND(data!E60,2)</f>
        <v>184.07</v>
      </c>
      <c r="G4" s="222">
        <f>ROUND(data!E61,0)</f>
        <v>18878545</v>
      </c>
      <c r="H4" s="222">
        <f>ROUND(data!E62,0)</f>
        <v>4439787</v>
      </c>
      <c r="I4" s="222">
        <f>ROUND(data!E63,0)</f>
        <v>0</v>
      </c>
      <c r="J4" s="222">
        <f>ROUND(data!E64,0)</f>
        <v>1294405</v>
      </c>
      <c r="K4" s="222">
        <f>ROUND(data!E65,0)</f>
        <v>0</v>
      </c>
      <c r="L4" s="222">
        <f>ROUND(data!E66,0)</f>
        <v>342</v>
      </c>
      <c r="M4" s="66">
        <f>ROUND(data!E67,0)</f>
        <v>584422</v>
      </c>
      <c r="N4" s="222">
        <f>ROUND(data!E68,0)</f>
        <v>11114</v>
      </c>
      <c r="O4" s="222">
        <f>ROUND(data!E69,0)</f>
        <v>10172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10172</v>
      </c>
      <c r="AD4" s="222">
        <f>ROUND(data!E84,0)</f>
        <v>0</v>
      </c>
      <c r="AE4" s="222">
        <f>ROUND(data!E89,0)</f>
        <v>118458456</v>
      </c>
      <c r="AF4" s="222">
        <f>ROUND(data!E87,0)</f>
        <v>106474013</v>
      </c>
      <c r="AG4" s="222">
        <f>IF(data!E90&gt;0,ROUND(data!E90,0),0)</f>
        <v>31270</v>
      </c>
      <c r="AH4" s="222">
        <f>IF(data!E91&gt;0,ROUND(data!E91,0),0)</f>
        <v>60456</v>
      </c>
      <c r="AI4" s="222">
        <f>IF(data!E92&gt;0,ROUND(data!E92,0),0)</f>
        <v>9309</v>
      </c>
      <c r="AJ4" s="222">
        <f>IF(data!E93&gt;0,ROUND(data!E93,0),0)</f>
        <v>323625</v>
      </c>
      <c r="AK4" s="212">
        <f>IF(data!E94&gt;0,ROUND(data!E94,2),0)</f>
        <v>102.57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026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1655</v>
      </c>
      <c r="F5" s="212">
        <f>ROUND(data!F60,2)</f>
        <v>28.19</v>
      </c>
      <c r="G5" s="222">
        <f>ROUND(data!F61,0)</f>
        <v>3608334</v>
      </c>
      <c r="H5" s="222">
        <f>ROUND(data!F62,0)</f>
        <v>933199</v>
      </c>
      <c r="I5" s="222">
        <f>ROUND(data!F63,0)</f>
        <v>39082</v>
      </c>
      <c r="J5" s="222">
        <f>ROUND(data!F64,0)</f>
        <v>399297</v>
      </c>
      <c r="K5" s="222">
        <f>ROUND(data!F65,0)</f>
        <v>0</v>
      </c>
      <c r="L5" s="222">
        <f>ROUND(data!F66,0)</f>
        <v>82244</v>
      </c>
      <c r="M5" s="66">
        <f>ROUND(data!F67,0)</f>
        <v>170693</v>
      </c>
      <c r="N5" s="222">
        <f>ROUND(data!F68,0)</f>
        <v>0</v>
      </c>
      <c r="O5" s="222">
        <f>ROUND(data!F69,0)</f>
        <v>11274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11274</v>
      </c>
      <c r="AD5" s="222">
        <f>ROUND(data!F84,0)</f>
        <v>0</v>
      </c>
      <c r="AE5" s="222">
        <f>ROUND(data!F89,0)</f>
        <v>19116884</v>
      </c>
      <c r="AF5" s="222">
        <f>ROUND(data!F87,0)</f>
        <v>17916861</v>
      </c>
      <c r="AG5" s="222">
        <f>IF(data!F90&gt;0,ROUND(data!F90,0),0)</f>
        <v>10466</v>
      </c>
      <c r="AH5" s="222">
        <f>IF(data!F91&gt;0,ROUND(data!F91,0),0)</f>
        <v>0</v>
      </c>
      <c r="AI5" s="222">
        <f>IF(data!F92&gt;0,ROUND(data!F92,0),0)</f>
        <v>3100</v>
      </c>
      <c r="AJ5" s="222">
        <f>IF(data!F93&gt;0,ROUND(data!F93,0),0)</f>
        <v>69399</v>
      </c>
      <c r="AK5" s="212">
        <f>IF(data!F94&gt;0,ROUND(data!F94,2),0)</f>
        <v>21.99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026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026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4315</v>
      </c>
      <c r="F7" s="212">
        <f>ROUND(data!H60,2)</f>
        <v>33.56</v>
      </c>
      <c r="G7" s="222">
        <f>ROUND(data!H61,0)</f>
        <v>3538470</v>
      </c>
      <c r="H7" s="222">
        <f>ROUND(data!H62,0)</f>
        <v>1016668</v>
      </c>
      <c r="I7" s="222">
        <f>ROUND(data!H63,0)</f>
        <v>0</v>
      </c>
      <c r="J7" s="222">
        <f>ROUND(data!H64,0)</f>
        <v>72513</v>
      </c>
      <c r="K7" s="222">
        <f>ROUND(data!H65,0)</f>
        <v>0</v>
      </c>
      <c r="L7" s="222">
        <f>ROUND(data!H66,0)</f>
        <v>878</v>
      </c>
      <c r="M7" s="66">
        <f>ROUND(data!H67,0)</f>
        <v>97340</v>
      </c>
      <c r="N7" s="222">
        <f>ROUND(data!H68,0)</f>
        <v>0</v>
      </c>
      <c r="O7" s="222">
        <f>ROUND(data!H69,0)</f>
        <v>908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908</v>
      </c>
      <c r="AD7" s="222">
        <f>ROUND(data!H84,0)</f>
        <v>0</v>
      </c>
      <c r="AE7" s="222">
        <f>ROUND(data!H89,0)</f>
        <v>17348239</v>
      </c>
      <c r="AF7" s="222">
        <f>ROUND(data!H87,0)</f>
        <v>17348239</v>
      </c>
      <c r="AG7" s="222">
        <f>IF(data!H90&gt;0,ROUND(data!H90,0),0)</f>
        <v>10127</v>
      </c>
      <c r="AH7" s="222">
        <f>IF(data!H91&gt;0,ROUND(data!H91,0),0)</f>
        <v>18673</v>
      </c>
      <c r="AI7" s="222">
        <f>IF(data!H92&gt;0,ROUND(data!H92,0),0)</f>
        <v>3015</v>
      </c>
      <c r="AJ7" s="222">
        <f>IF(data!H93&gt;0,ROUND(data!H93,0),0)</f>
        <v>39295</v>
      </c>
      <c r="AK7" s="212">
        <f>IF(data!H94&gt;0,ROUND(data!H94,2),0)</f>
        <v>12.45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026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026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1360</v>
      </c>
      <c r="F9" s="212">
        <f>ROUND(data!J60,2)</f>
        <v>5.51</v>
      </c>
      <c r="G9" s="222">
        <f>ROUND(data!J61,0)</f>
        <v>705791</v>
      </c>
      <c r="H9" s="222">
        <f>ROUND(data!J62,0)</f>
        <v>182534</v>
      </c>
      <c r="I9" s="222">
        <f>ROUND(data!J63,0)</f>
        <v>7644</v>
      </c>
      <c r="J9" s="222">
        <f>ROUND(data!J64,0)</f>
        <v>78103</v>
      </c>
      <c r="K9" s="222">
        <f>ROUND(data!J65,0)</f>
        <v>0</v>
      </c>
      <c r="L9" s="222">
        <f>ROUND(data!J66,0)</f>
        <v>16087</v>
      </c>
      <c r="M9" s="66">
        <f>ROUND(data!J67,0)</f>
        <v>33387</v>
      </c>
      <c r="N9" s="222">
        <f>ROUND(data!J68,0)</f>
        <v>0</v>
      </c>
      <c r="O9" s="222">
        <f>ROUND(data!J69,0)</f>
        <v>2205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2205</v>
      </c>
      <c r="AD9" s="222">
        <f>ROUND(data!J84,0)</f>
        <v>0</v>
      </c>
      <c r="AE9" s="222">
        <f>ROUND(data!J89,0)</f>
        <v>3739266</v>
      </c>
      <c r="AF9" s="222">
        <f>ROUND(data!J87,0)</f>
        <v>3504541</v>
      </c>
      <c r="AG9" s="222">
        <f>IF(data!J90&gt;0,ROUND(data!J90,0),0)</f>
        <v>2047</v>
      </c>
      <c r="AH9" s="222">
        <f>IF(data!J91&gt;0,ROUND(data!J91,0),0)</f>
        <v>0</v>
      </c>
      <c r="AI9" s="222">
        <f>IF(data!J92&gt;0,ROUND(data!J92,0),0)</f>
        <v>625</v>
      </c>
      <c r="AJ9" s="222">
        <f>IF(data!J93&gt;0,ROUND(data!J93,0),0)</f>
        <v>13574</v>
      </c>
      <c r="AK9" s="212">
        <f>IF(data!J94&gt;0,ROUND(data!J94,2),0)</f>
        <v>4.3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026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026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026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026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17107</v>
      </c>
      <c r="F13" s="212">
        <f>ROUND(data!N60,2)</f>
        <v>14.02</v>
      </c>
      <c r="G13" s="222">
        <f>ROUND(data!N61,0)</f>
        <v>4943703</v>
      </c>
      <c r="H13" s="222">
        <f>ROUND(data!N62,0)</f>
        <v>711665</v>
      </c>
      <c r="I13" s="222">
        <f>ROUND(data!N63,0)</f>
        <v>0</v>
      </c>
      <c r="J13" s="222">
        <f>ROUND(data!N64,0)</f>
        <v>4872</v>
      </c>
      <c r="K13" s="222">
        <f>ROUND(data!N65,0)</f>
        <v>0</v>
      </c>
      <c r="L13" s="222">
        <f>ROUND(data!N66,0)</f>
        <v>1078</v>
      </c>
      <c r="M13" s="66">
        <f>ROUND(data!N67,0)</f>
        <v>0</v>
      </c>
      <c r="N13" s="222">
        <f>ROUND(data!N68,0)</f>
        <v>0</v>
      </c>
      <c r="O13" s="222">
        <f>ROUND(data!N69,0)</f>
        <v>46303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46303</v>
      </c>
      <c r="AD13" s="222">
        <f>ROUND(data!N84,0)</f>
        <v>0</v>
      </c>
      <c r="AE13" s="222">
        <f>ROUND(data!N89,0)</f>
        <v>7193345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026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780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026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343538</v>
      </c>
      <c r="F15" s="212">
        <f>ROUND(data!P60,2)</f>
        <v>42.68</v>
      </c>
      <c r="G15" s="222">
        <f>ROUND(data!P61,0)</f>
        <v>5267186</v>
      </c>
      <c r="H15" s="222">
        <f>ROUND(data!P62,0)</f>
        <v>1308833</v>
      </c>
      <c r="I15" s="222">
        <f>ROUND(data!P63,0)</f>
        <v>397150</v>
      </c>
      <c r="J15" s="222">
        <f>ROUND(data!P64,0)</f>
        <v>8394676</v>
      </c>
      <c r="K15" s="222">
        <f>ROUND(data!P65,0)</f>
        <v>0</v>
      </c>
      <c r="L15" s="222">
        <f>ROUND(data!P66,0)</f>
        <v>717039</v>
      </c>
      <c r="M15" s="66">
        <f>ROUND(data!P67,0)</f>
        <v>1035759</v>
      </c>
      <c r="N15" s="222">
        <f>ROUND(data!P68,0)</f>
        <v>0</v>
      </c>
      <c r="O15" s="222">
        <f>ROUND(data!P69,0)</f>
        <v>43809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43809</v>
      </c>
      <c r="AD15" s="222">
        <f>ROUND(data!P84,0)</f>
        <v>0</v>
      </c>
      <c r="AE15" s="222">
        <f>ROUND(data!P89,0)</f>
        <v>128394090</v>
      </c>
      <c r="AF15" s="222">
        <f>ROUND(data!P87,0)</f>
        <v>32548102</v>
      </c>
      <c r="AG15" s="222">
        <f>IF(data!P90&gt;0,ROUND(data!P90,0),0)</f>
        <v>24565</v>
      </c>
      <c r="AH15" s="222">
        <f>IF(data!P91&gt;0,ROUND(data!P91,0),0)</f>
        <v>0</v>
      </c>
      <c r="AI15" s="222">
        <f>IF(data!P92&gt;0,ROUND(data!P92,0),0)</f>
        <v>7313</v>
      </c>
      <c r="AJ15" s="222">
        <f>IF(data!P93&gt;0,ROUND(data!P93,0),0)</f>
        <v>60947</v>
      </c>
      <c r="AK15" s="212">
        <f>IF(data!P94&gt;0,ROUND(data!P94,2),0)</f>
        <v>19.32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026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343359</v>
      </c>
      <c r="F16" s="212">
        <f>ROUND(data!Q60,2)</f>
        <v>6.81</v>
      </c>
      <c r="G16" s="222">
        <f>ROUND(data!Q61,0)</f>
        <v>1111830</v>
      </c>
      <c r="H16" s="222">
        <f>ROUND(data!Q62,0)</f>
        <v>288919</v>
      </c>
      <c r="I16" s="222">
        <f>ROUND(data!Q63,0)</f>
        <v>0</v>
      </c>
      <c r="J16" s="222">
        <f>ROUND(data!Q64,0)</f>
        <v>42841</v>
      </c>
      <c r="K16" s="222">
        <f>ROUND(data!Q65,0)</f>
        <v>0</v>
      </c>
      <c r="L16" s="222">
        <f>ROUND(data!Q66,0)</f>
        <v>2</v>
      </c>
      <c r="M16" s="66">
        <f>ROUND(data!Q67,0)</f>
        <v>21212</v>
      </c>
      <c r="N16" s="222">
        <f>ROUND(data!Q68,0)</f>
        <v>0</v>
      </c>
      <c r="O16" s="222">
        <f>ROUND(data!Q69,0)</f>
        <v>90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90</v>
      </c>
      <c r="AD16" s="222">
        <f>ROUND(data!Q84,0)</f>
        <v>0</v>
      </c>
      <c r="AE16" s="222">
        <f>ROUND(data!Q89,0)</f>
        <v>6517040</v>
      </c>
      <c r="AF16" s="222">
        <f>ROUND(data!Q87,0)</f>
        <v>1336766</v>
      </c>
      <c r="AG16" s="222">
        <f>IF(data!Q90&gt;0,ROUND(data!Q90,0),0)</f>
        <v>2498</v>
      </c>
      <c r="AH16" s="222">
        <f>IF(data!Q91&gt;0,ROUND(data!Q91,0),0)</f>
        <v>0</v>
      </c>
      <c r="AI16" s="222">
        <f>IF(data!Q92&gt;0,ROUND(data!Q92,0),0)</f>
        <v>744</v>
      </c>
      <c r="AJ16" s="222">
        <f>IF(data!Q93&gt;0,ROUND(data!Q93,0),0)</f>
        <v>20655</v>
      </c>
      <c r="AK16" s="212">
        <f>IF(data!Q94&gt;0,ROUND(data!Q94,2),0)</f>
        <v>6.55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026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343359</v>
      </c>
      <c r="F17" s="212">
        <f>ROUND(data!R60,2)</f>
        <v>13.12</v>
      </c>
      <c r="G17" s="222">
        <f>ROUND(data!R61,0)</f>
        <v>4936250</v>
      </c>
      <c r="H17" s="222">
        <f>ROUND(data!R62,0)</f>
        <v>808798</v>
      </c>
      <c r="I17" s="222">
        <f>ROUND(data!R63,0)</f>
        <v>0</v>
      </c>
      <c r="J17" s="222">
        <f>ROUND(data!R64,0)</f>
        <v>4111</v>
      </c>
      <c r="K17" s="222">
        <f>ROUND(data!R65,0)</f>
        <v>0</v>
      </c>
      <c r="L17" s="222">
        <f>ROUND(data!R66,0)</f>
        <v>7945</v>
      </c>
      <c r="M17" s="66">
        <f>ROUND(data!R67,0)</f>
        <v>0</v>
      </c>
      <c r="N17" s="222">
        <f>ROUND(data!R68,0)</f>
        <v>0</v>
      </c>
      <c r="O17" s="222">
        <f>ROUND(data!R69,0)</f>
        <v>26944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26944</v>
      </c>
      <c r="AD17" s="222">
        <f>ROUND(data!R84,0)</f>
        <v>0</v>
      </c>
      <c r="AE17" s="222">
        <f>ROUND(data!R89,0)</f>
        <v>8273750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026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8.11</v>
      </c>
      <c r="G18" s="222">
        <f>ROUND(data!S61,0)</f>
        <v>384456</v>
      </c>
      <c r="H18" s="222">
        <f>ROUND(data!S62,0)</f>
        <v>143380</v>
      </c>
      <c r="I18" s="222">
        <f>ROUND(data!S63,0)</f>
        <v>0</v>
      </c>
      <c r="J18" s="222">
        <f>ROUND(data!S64,0)</f>
        <v>171900</v>
      </c>
      <c r="K18" s="222">
        <f>ROUND(data!S65,0)</f>
        <v>0</v>
      </c>
      <c r="L18" s="222">
        <f>ROUND(data!S66,0)</f>
        <v>272</v>
      </c>
      <c r="M18" s="66">
        <f>ROUND(data!S67,0)</f>
        <v>136706</v>
      </c>
      <c r="N18" s="222">
        <f>ROUND(data!S68,0)</f>
        <v>0</v>
      </c>
      <c r="O18" s="222">
        <f>ROUND(data!S69,0)</f>
        <v>8230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8230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5561</v>
      </c>
      <c r="AH18" s="222">
        <f>IF(data!S91&gt;0,ROUND(data!S91,0),0)</f>
        <v>0</v>
      </c>
      <c r="AI18" s="222">
        <f>IF(data!S92&gt;0,ROUND(data!S92,0),0)</f>
        <v>1656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026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11.19</v>
      </c>
      <c r="G19" s="222">
        <f>ROUND(data!T61,0)</f>
        <v>1352818</v>
      </c>
      <c r="H19" s="222">
        <f>ROUND(data!T62,0)</f>
        <v>383005</v>
      </c>
      <c r="I19" s="222">
        <f>ROUND(data!T63,0)</f>
        <v>0</v>
      </c>
      <c r="J19" s="222">
        <f>ROUND(data!T64,0)</f>
        <v>285260</v>
      </c>
      <c r="K19" s="222">
        <f>ROUND(data!T65,0)</f>
        <v>0</v>
      </c>
      <c r="L19" s="222">
        <f>ROUND(data!T66,0)</f>
        <v>4996</v>
      </c>
      <c r="M19" s="66">
        <f>ROUND(data!T67,0)</f>
        <v>39579</v>
      </c>
      <c r="N19" s="222">
        <f>ROUND(data!T68,0)</f>
        <v>0</v>
      </c>
      <c r="O19" s="222">
        <f>ROUND(data!T69,0)</f>
        <v>8043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8043</v>
      </c>
      <c r="AD19" s="222">
        <f>ROUND(data!T84,0)</f>
        <v>0</v>
      </c>
      <c r="AE19" s="222">
        <f>ROUND(data!T89,0)</f>
        <v>14354770</v>
      </c>
      <c r="AF19" s="222">
        <f>ROUND(data!T87,0)</f>
        <v>1668543</v>
      </c>
      <c r="AG19" s="222">
        <f>IF(data!T90&gt;0,ROUND(data!T90,0),0)</f>
        <v>3599</v>
      </c>
      <c r="AH19" s="222">
        <f>IF(data!T91&gt;0,ROUND(data!T91,0),0)</f>
        <v>0</v>
      </c>
      <c r="AI19" s="222">
        <f>IF(data!T92&gt;0,ROUND(data!T92,0),0)</f>
        <v>1071</v>
      </c>
      <c r="AJ19" s="222">
        <f>IF(data!T93&gt;0,ROUND(data!T93,0),0)</f>
        <v>28924</v>
      </c>
      <c r="AK19" s="212">
        <f>IF(data!T94&gt;0,ROUND(data!T94,2),0)</f>
        <v>9.17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026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427883</v>
      </c>
      <c r="F20" s="212">
        <f>ROUND(data!U60,2)</f>
        <v>30.04</v>
      </c>
      <c r="G20" s="222">
        <f>ROUND(data!U61,0)</f>
        <v>2945153</v>
      </c>
      <c r="H20" s="222">
        <f>ROUND(data!U62,0)</f>
        <v>691366</v>
      </c>
      <c r="I20" s="222">
        <f>ROUND(data!U63,0)</f>
        <v>0</v>
      </c>
      <c r="J20" s="222">
        <f>ROUND(data!U64,0)</f>
        <v>650805</v>
      </c>
      <c r="K20" s="222">
        <f>ROUND(data!U65,0)</f>
        <v>0</v>
      </c>
      <c r="L20" s="222">
        <f>ROUND(data!U66,0)</f>
        <v>4058344</v>
      </c>
      <c r="M20" s="66">
        <f>ROUND(data!U67,0)</f>
        <v>67679</v>
      </c>
      <c r="N20" s="222">
        <f>ROUND(data!U68,0)</f>
        <v>0</v>
      </c>
      <c r="O20" s="222">
        <f>ROUND(data!U69,0)</f>
        <v>18763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18763</v>
      </c>
      <c r="AD20" s="222">
        <f>ROUND(data!U84,0)</f>
        <v>30939</v>
      </c>
      <c r="AE20" s="222">
        <f>ROUND(data!U89,0)</f>
        <v>61205587</v>
      </c>
      <c r="AF20" s="222">
        <f>ROUND(data!U87,0)</f>
        <v>28539800</v>
      </c>
      <c r="AG20" s="222">
        <f>IF(data!U90&gt;0,ROUND(data!U90,0),0)</f>
        <v>6826</v>
      </c>
      <c r="AH20" s="222">
        <f>IF(data!U91&gt;0,ROUND(data!U91,0),0)</f>
        <v>0</v>
      </c>
      <c r="AI20" s="222">
        <f>IF(data!U92&gt;0,ROUND(data!U92,0),0)</f>
        <v>2032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026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026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4030</v>
      </c>
      <c r="F22" s="212">
        <f>ROUND(data!W60,2)</f>
        <v>4.75</v>
      </c>
      <c r="G22" s="222">
        <f>ROUND(data!W61,0)</f>
        <v>611116</v>
      </c>
      <c r="H22" s="222">
        <f>ROUND(data!W62,0)</f>
        <v>130569</v>
      </c>
      <c r="I22" s="222">
        <f>ROUND(data!W63,0)</f>
        <v>0</v>
      </c>
      <c r="J22" s="222">
        <f>ROUND(data!W64,0)</f>
        <v>17746</v>
      </c>
      <c r="K22" s="222">
        <f>ROUND(data!W65,0)</f>
        <v>0</v>
      </c>
      <c r="L22" s="222">
        <f>ROUND(data!W66,0)</f>
        <v>4229</v>
      </c>
      <c r="M22" s="66">
        <f>ROUND(data!W67,0)</f>
        <v>2312</v>
      </c>
      <c r="N22" s="222">
        <f>ROUND(data!W68,0)</f>
        <v>0</v>
      </c>
      <c r="O22" s="222">
        <f>ROUND(data!W69,0)</f>
        <v>3082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3082</v>
      </c>
      <c r="AD22" s="222">
        <f>ROUND(data!W84,0)</f>
        <v>0</v>
      </c>
      <c r="AE22" s="222">
        <f>ROUND(data!W89,0)</f>
        <v>13469349</v>
      </c>
      <c r="AF22" s="222">
        <f>ROUND(data!W87,0)</f>
        <v>2619497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24</v>
      </c>
      <c r="AK22" s="212">
        <f>IF(data!W94&gt;0,ROUND(data!W94,2),0)</f>
        <v>0.01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026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25271</v>
      </c>
      <c r="F23" s="212">
        <f>ROUND(data!X60,2)</f>
        <v>10.5</v>
      </c>
      <c r="G23" s="222">
        <f>ROUND(data!X61,0)</f>
        <v>1201187</v>
      </c>
      <c r="H23" s="222">
        <f>ROUND(data!X62,0)</f>
        <v>310765</v>
      </c>
      <c r="I23" s="222">
        <f>ROUND(data!X63,0)</f>
        <v>0</v>
      </c>
      <c r="J23" s="222">
        <f>ROUND(data!X64,0)</f>
        <v>255550</v>
      </c>
      <c r="K23" s="222">
        <f>ROUND(data!X65,0)</f>
        <v>0</v>
      </c>
      <c r="L23" s="222">
        <f>ROUND(data!X66,0)</f>
        <v>4260</v>
      </c>
      <c r="M23" s="66">
        <f>ROUND(data!X67,0)</f>
        <v>271945</v>
      </c>
      <c r="N23" s="222">
        <f>ROUND(data!X68,0)</f>
        <v>0</v>
      </c>
      <c r="O23" s="222">
        <f>ROUND(data!X69,0)</f>
        <v>808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808</v>
      </c>
      <c r="AD23" s="222">
        <f>ROUND(data!X84,0)</f>
        <v>0</v>
      </c>
      <c r="AE23" s="222">
        <f>ROUND(data!X89,0)</f>
        <v>77830197</v>
      </c>
      <c r="AF23" s="222">
        <f>ROUND(data!X87,0)</f>
        <v>16535298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108</v>
      </c>
      <c r="AK23" s="212">
        <f>IF(data!X94&gt;0,ROUND(data!X94,2),0)</f>
        <v>0.03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026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76394</v>
      </c>
      <c r="F24" s="212">
        <f>ROUND(data!Y60,2)</f>
        <v>54.21</v>
      </c>
      <c r="G24" s="222">
        <f>ROUND(data!Y61,0)</f>
        <v>5488218</v>
      </c>
      <c r="H24" s="222">
        <f>ROUND(data!Y62,0)</f>
        <v>1505371</v>
      </c>
      <c r="I24" s="222">
        <f>ROUND(data!Y63,0)</f>
        <v>12600</v>
      </c>
      <c r="J24" s="222">
        <f>ROUND(data!Y64,0)</f>
        <v>2714570</v>
      </c>
      <c r="K24" s="222">
        <f>ROUND(data!Y65,0)</f>
        <v>0</v>
      </c>
      <c r="L24" s="222">
        <f>ROUND(data!Y66,0)</f>
        <v>30670</v>
      </c>
      <c r="M24" s="66">
        <f>ROUND(data!Y67,0)</f>
        <v>948437</v>
      </c>
      <c r="N24" s="222">
        <f>ROUND(data!Y68,0)</f>
        <v>0</v>
      </c>
      <c r="O24" s="222">
        <f>ROUND(data!Y69,0)</f>
        <v>44822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44822</v>
      </c>
      <c r="AD24" s="222">
        <f>ROUND(data!Y84,0)</f>
        <v>31124</v>
      </c>
      <c r="AE24" s="222">
        <f>ROUND(data!Y89,0)</f>
        <v>101912894</v>
      </c>
      <c r="AF24" s="222">
        <f>ROUND(data!Y87,0)</f>
        <v>33488576</v>
      </c>
      <c r="AG24" s="222">
        <f>IF(data!Y90&gt;0,ROUND(data!Y90,0),0)</f>
        <v>24987</v>
      </c>
      <c r="AH24" s="222">
        <f>IF(data!Y91&gt;0,ROUND(data!Y91,0),0)</f>
        <v>0</v>
      </c>
      <c r="AI24" s="222">
        <f>IF(data!Y92&gt;0,ROUND(data!Y92,0),0)</f>
        <v>7439</v>
      </c>
      <c r="AJ24" s="222">
        <f>IF(data!Y93&gt;0,ROUND(data!Y93,0),0)</f>
        <v>16739</v>
      </c>
      <c r="AK24" s="212">
        <f>IF(data!Y94&gt;0,ROUND(data!Y94,2),0)</f>
        <v>5.31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026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10239</v>
      </c>
      <c r="F25" s="212">
        <f>ROUND(data!Z60,2)</f>
        <v>6.03</v>
      </c>
      <c r="G25" s="222">
        <f>ROUND(data!Z61,0)</f>
        <v>863284</v>
      </c>
      <c r="H25" s="222">
        <f>ROUND(data!Z62,0)</f>
        <v>246024</v>
      </c>
      <c r="I25" s="222">
        <f>ROUND(data!Z63,0)</f>
        <v>36000</v>
      </c>
      <c r="J25" s="222">
        <f>ROUND(data!Z64,0)</f>
        <v>24883</v>
      </c>
      <c r="K25" s="222">
        <f>ROUND(data!Z65,0)</f>
        <v>0</v>
      </c>
      <c r="L25" s="222">
        <f>ROUND(data!Z66,0)</f>
        <v>5041</v>
      </c>
      <c r="M25" s="66">
        <f>ROUND(data!Z67,0)</f>
        <v>117882</v>
      </c>
      <c r="N25" s="222">
        <f>ROUND(data!Z68,0)</f>
        <v>0</v>
      </c>
      <c r="O25" s="222">
        <f>ROUND(data!Z69,0)</f>
        <v>513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513</v>
      </c>
      <c r="AD25" s="222">
        <f>ROUND(data!Z84,0)</f>
        <v>0</v>
      </c>
      <c r="AE25" s="222">
        <f>ROUND(data!Z89,0)</f>
        <v>20073341</v>
      </c>
      <c r="AF25" s="222">
        <f>ROUND(data!Z87,0)</f>
        <v>383699</v>
      </c>
      <c r="AG25" s="222">
        <f>IF(data!Z90&gt;0,ROUND(data!Z90,0),0)</f>
        <v>7191</v>
      </c>
      <c r="AH25" s="222">
        <f>IF(data!Z91&gt;0,ROUND(data!Z91,0),0)</f>
        <v>0</v>
      </c>
      <c r="AI25" s="222">
        <f>IF(data!Z92&gt;0,ROUND(data!Z92,0),0)</f>
        <v>2141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026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1759</v>
      </c>
      <c r="F26" s="212">
        <f>ROUND(data!AA60,2)</f>
        <v>5.16</v>
      </c>
      <c r="G26" s="222">
        <f>ROUND(data!AA61,0)</f>
        <v>821774</v>
      </c>
      <c r="H26" s="222">
        <f>ROUND(data!AA62,0)</f>
        <v>200596</v>
      </c>
      <c r="I26" s="222">
        <f>ROUND(data!AA63,0)</f>
        <v>0</v>
      </c>
      <c r="J26" s="222">
        <f>ROUND(data!AA64,0)</f>
        <v>307577</v>
      </c>
      <c r="K26" s="222">
        <f>ROUND(data!AA65,0)</f>
        <v>0</v>
      </c>
      <c r="L26" s="222">
        <f>ROUND(data!AA66,0)</f>
        <v>28368</v>
      </c>
      <c r="M26" s="66">
        <f>ROUND(data!AA67,0)</f>
        <v>88473</v>
      </c>
      <c r="N26" s="222">
        <f>ROUND(data!AA68,0)</f>
        <v>0</v>
      </c>
      <c r="O26" s="222">
        <f>ROUND(data!AA69,0)</f>
        <v>2078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2078</v>
      </c>
      <c r="AD26" s="222">
        <f>ROUND(data!AA84,0)</f>
        <v>0</v>
      </c>
      <c r="AE26" s="222">
        <f>ROUND(data!AA89,0)</f>
        <v>12632222</v>
      </c>
      <c r="AF26" s="222">
        <f>ROUND(data!AA87,0)</f>
        <v>952138</v>
      </c>
      <c r="AG26" s="222">
        <f>IF(data!AA90&gt;0,ROUND(data!AA90,0),0)</f>
        <v>1892</v>
      </c>
      <c r="AH26" s="222">
        <f>IF(data!AA91&gt;0,ROUND(data!AA91,0),0)</f>
        <v>92</v>
      </c>
      <c r="AI26" s="222">
        <f>IF(data!AA92&gt;0,ROUND(data!AA92,0),0)</f>
        <v>563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026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42.69</v>
      </c>
      <c r="G27" s="222">
        <f>ROUND(data!AB61,0)</f>
        <v>4919659</v>
      </c>
      <c r="H27" s="222">
        <f>ROUND(data!AB62,0)</f>
        <v>1230634</v>
      </c>
      <c r="I27" s="222">
        <f>ROUND(data!AB63,0)</f>
        <v>0</v>
      </c>
      <c r="J27" s="222">
        <f>ROUND(data!AB64,0)</f>
        <v>18676878</v>
      </c>
      <c r="K27" s="222">
        <f>ROUND(data!AB65,0)</f>
        <v>0</v>
      </c>
      <c r="L27" s="222">
        <f>ROUND(data!AB66,0)</f>
        <v>1913438</v>
      </c>
      <c r="M27" s="66">
        <f>ROUND(data!AB67,0)</f>
        <v>61779</v>
      </c>
      <c r="N27" s="222">
        <f>ROUND(data!AB68,0)</f>
        <v>399234</v>
      </c>
      <c r="O27" s="222">
        <f>ROUND(data!AB69,0)</f>
        <v>23522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23522</v>
      </c>
      <c r="AD27" s="222">
        <f>ROUND(data!AB84,0)</f>
        <v>10540488</v>
      </c>
      <c r="AE27" s="222">
        <f>ROUND(data!AB89,0)</f>
        <v>79967222</v>
      </c>
      <c r="AF27" s="222">
        <f>ROUND(data!AB87,0)</f>
        <v>21905733</v>
      </c>
      <c r="AG27" s="222">
        <f>IF(data!AB90&gt;0,ROUND(data!AB90,0),0)</f>
        <v>3258</v>
      </c>
      <c r="AH27" s="222">
        <f>IF(data!AB91&gt;0,ROUND(data!AB91,0),0)</f>
        <v>0</v>
      </c>
      <c r="AI27" s="222">
        <f>IF(data!AB92&gt;0,ROUND(data!AB92,0),0)</f>
        <v>970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026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35571</v>
      </c>
      <c r="F28" s="212">
        <f>ROUND(data!AC60,2)</f>
        <v>16.75</v>
      </c>
      <c r="G28" s="222">
        <f>ROUND(data!AC61,0)</f>
        <v>2327749</v>
      </c>
      <c r="H28" s="222">
        <f>ROUND(data!AC62,0)</f>
        <v>367173</v>
      </c>
      <c r="I28" s="222">
        <f>ROUND(data!AC63,0)</f>
        <v>1800</v>
      </c>
      <c r="J28" s="222">
        <f>ROUND(data!AC64,0)</f>
        <v>336161</v>
      </c>
      <c r="K28" s="222">
        <f>ROUND(data!AC65,0)</f>
        <v>0</v>
      </c>
      <c r="L28" s="222">
        <f>ROUND(data!AC66,0)</f>
        <v>28</v>
      </c>
      <c r="M28" s="66">
        <f>ROUND(data!AC67,0)</f>
        <v>48431</v>
      </c>
      <c r="N28" s="222">
        <f>ROUND(data!AC68,0)</f>
        <v>0</v>
      </c>
      <c r="O28" s="222">
        <f>ROUND(data!AC69,0)</f>
        <v>1455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1455</v>
      </c>
      <c r="AD28" s="222">
        <f>ROUND(data!AC84,0)</f>
        <v>0</v>
      </c>
      <c r="AE28" s="222">
        <f>ROUND(data!AC89,0)</f>
        <v>22071952</v>
      </c>
      <c r="AF28" s="222">
        <f>ROUND(data!AC87,0)</f>
        <v>18613001</v>
      </c>
      <c r="AG28" s="222">
        <f>IF(data!AC90&gt;0,ROUND(data!AC90,0),0)</f>
        <v>1504</v>
      </c>
      <c r="AH28" s="222">
        <f>IF(data!AC91&gt;0,ROUND(data!AC91,0),0)</f>
        <v>0</v>
      </c>
      <c r="AI28" s="222">
        <f>IF(data!AC92&gt;0,ROUND(data!AC92,0),0)</f>
        <v>448</v>
      </c>
      <c r="AJ28" s="222">
        <f>IF(data!AC93&gt;0,ROUND(data!AC93,0),0)</f>
        <v>52</v>
      </c>
      <c r="AK28" s="212">
        <f>IF(data!AC94&gt;0,ROUND(data!AC94,2),0)</f>
        <v>0.02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026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974</v>
      </c>
      <c r="F29" s="212">
        <f>ROUND(data!AD60,2)</f>
        <v>0.06</v>
      </c>
      <c r="G29" s="222">
        <f>ROUND(data!AD61,0)</f>
        <v>17314</v>
      </c>
      <c r="H29" s="222">
        <f>ROUND(data!AD62,0)</f>
        <v>1552</v>
      </c>
      <c r="I29" s="222">
        <f>ROUND(data!AD63,0)</f>
        <v>0</v>
      </c>
      <c r="J29" s="222">
        <f>ROUND(data!AD64,0)</f>
        <v>20727</v>
      </c>
      <c r="K29" s="222">
        <f>ROUND(data!AD65,0)</f>
        <v>0</v>
      </c>
      <c r="L29" s="222">
        <f>ROUND(data!AD66,0)</f>
        <v>732794</v>
      </c>
      <c r="M29" s="66">
        <f>ROUND(data!AD67,0)</f>
        <v>13656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16068</v>
      </c>
      <c r="AE29" s="222">
        <f>ROUND(data!AD89,0)</f>
        <v>2774300</v>
      </c>
      <c r="AF29" s="222">
        <f>ROUND(data!AD87,0)</f>
        <v>2517971</v>
      </c>
      <c r="AG29" s="222">
        <f>IF(data!AD90&gt;0,ROUND(data!AD90,0),0)</f>
        <v>715</v>
      </c>
      <c r="AH29" s="222">
        <f>IF(data!AD91&gt;0,ROUND(data!AD91,0),0)</f>
        <v>0</v>
      </c>
      <c r="AI29" s="222">
        <f>IF(data!AD92&gt;0,ROUND(data!AD92,0),0)</f>
        <v>213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026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30322</v>
      </c>
      <c r="F30" s="212">
        <f>ROUND(data!AE60,2)</f>
        <v>11.9</v>
      </c>
      <c r="G30" s="222">
        <f>ROUND(data!AE61,0)</f>
        <v>1165689</v>
      </c>
      <c r="H30" s="222">
        <f>ROUND(data!AE62,0)</f>
        <v>298589</v>
      </c>
      <c r="I30" s="222">
        <f>ROUND(data!AE63,0)</f>
        <v>0</v>
      </c>
      <c r="J30" s="222">
        <f>ROUND(data!AE64,0)</f>
        <v>9233</v>
      </c>
      <c r="K30" s="222">
        <f>ROUND(data!AE65,0)</f>
        <v>0</v>
      </c>
      <c r="L30" s="222">
        <f>ROUND(data!AE66,0)</f>
        <v>20</v>
      </c>
      <c r="M30" s="66">
        <f>ROUND(data!AE67,0)</f>
        <v>47723</v>
      </c>
      <c r="N30" s="222">
        <f>ROUND(data!AE68,0)</f>
        <v>240</v>
      </c>
      <c r="O30" s="222">
        <f>ROUND(data!AE69,0)</f>
        <v>2522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2522</v>
      </c>
      <c r="AD30" s="222">
        <f>ROUND(data!AE84,0)</f>
        <v>0</v>
      </c>
      <c r="AE30" s="222">
        <f>ROUND(data!AE89,0)</f>
        <v>6048941</v>
      </c>
      <c r="AF30" s="222">
        <f>ROUND(data!AE87,0)</f>
        <v>4465014</v>
      </c>
      <c r="AG30" s="222">
        <f>IF(data!AE90&gt;0,ROUND(data!AE90,0),0)</f>
        <v>5422</v>
      </c>
      <c r="AH30" s="222">
        <f>IF(data!AE91&gt;0,ROUND(data!AE91,0),0)</f>
        <v>11</v>
      </c>
      <c r="AI30" s="222">
        <f>IF(data!AE92&gt;0,ROUND(data!AE92,0),0)</f>
        <v>1614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026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8320</v>
      </c>
      <c r="F31" s="212">
        <f>ROUND(data!AF60,2)</f>
        <v>20.73</v>
      </c>
      <c r="G31" s="222">
        <f>ROUND(data!AF61,0)</f>
        <v>3163775</v>
      </c>
      <c r="H31" s="222">
        <f>ROUND(data!AF62,0)</f>
        <v>682523</v>
      </c>
      <c r="I31" s="222">
        <f>ROUND(data!AF63,0)</f>
        <v>0</v>
      </c>
      <c r="J31" s="222">
        <f>ROUND(data!AF64,0)</f>
        <v>138860</v>
      </c>
      <c r="K31" s="222">
        <f>ROUND(data!AF65,0)</f>
        <v>0</v>
      </c>
      <c r="L31" s="222">
        <f>ROUND(data!AF66,0)</f>
        <v>8645</v>
      </c>
      <c r="M31" s="66">
        <f>ROUND(data!AF67,0)</f>
        <v>164505</v>
      </c>
      <c r="N31" s="222">
        <f>ROUND(data!AF68,0)</f>
        <v>0</v>
      </c>
      <c r="O31" s="222">
        <f>ROUND(data!AF69,0)</f>
        <v>69418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69418</v>
      </c>
      <c r="AD31" s="222">
        <f>ROUND(data!AF84,0)</f>
        <v>41640</v>
      </c>
      <c r="AE31" s="222">
        <f>ROUND(data!AF89,0)</f>
        <v>4620081</v>
      </c>
      <c r="AF31" s="222">
        <f>ROUND(data!AF87,0)</f>
        <v>0</v>
      </c>
      <c r="AG31" s="222">
        <f>IF(data!AF90&gt;0,ROUND(data!AF90,0),0)</f>
        <v>19373</v>
      </c>
      <c r="AH31" s="222">
        <f>IF(data!AF91&gt;0,ROUND(data!AF91,0),0)</f>
        <v>0</v>
      </c>
      <c r="AI31" s="222">
        <f>IF(data!AF92&gt;0,ROUND(data!AF92,0),0)</f>
        <v>5768</v>
      </c>
      <c r="AJ31" s="222">
        <f>IF(data!AF93&gt;0,ROUND(data!AF93,0),0)</f>
        <v>4020</v>
      </c>
      <c r="AK31" s="212">
        <f>IF(data!AF94&gt;0,ROUND(data!AF94,2),0)</f>
        <v>1.27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026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50381</v>
      </c>
      <c r="F32" s="212">
        <f>ROUND(data!AG60,2)</f>
        <v>84.23</v>
      </c>
      <c r="G32" s="222">
        <f>ROUND(data!AG61,0)</f>
        <v>12654620</v>
      </c>
      <c r="H32" s="222">
        <f>ROUND(data!AG62,0)</f>
        <v>2071277</v>
      </c>
      <c r="I32" s="222">
        <f>ROUND(data!AG63,0)</f>
        <v>497017</v>
      </c>
      <c r="J32" s="222">
        <f>ROUND(data!AG64,0)</f>
        <v>1296060</v>
      </c>
      <c r="K32" s="222">
        <f>ROUND(data!AG65,0)</f>
        <v>0</v>
      </c>
      <c r="L32" s="222">
        <f>ROUND(data!AG66,0)</f>
        <v>168572</v>
      </c>
      <c r="M32" s="66">
        <f>ROUND(data!AG67,0)</f>
        <v>293120</v>
      </c>
      <c r="N32" s="222">
        <f>ROUND(data!AG68,0)</f>
        <v>472</v>
      </c>
      <c r="O32" s="222">
        <f>ROUND(data!AG69,0)</f>
        <v>26101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26101</v>
      </c>
      <c r="AD32" s="222">
        <f>ROUND(data!AG84,0)</f>
        <v>4064</v>
      </c>
      <c r="AE32" s="222">
        <f>ROUND(data!AG89,0)</f>
        <v>153913612</v>
      </c>
      <c r="AF32" s="222">
        <f>ROUND(data!AG87,0)</f>
        <v>30589357</v>
      </c>
      <c r="AG32" s="222">
        <f>IF(data!AG90&gt;0,ROUND(data!AG90,0),0)</f>
        <v>20928</v>
      </c>
      <c r="AH32" s="222">
        <f>IF(data!AG91&gt;0,ROUND(data!AG91,0),0)</f>
        <v>7515</v>
      </c>
      <c r="AI32" s="222">
        <f>IF(data!AG92&gt;0,ROUND(data!AG92,0),0)</f>
        <v>6230</v>
      </c>
      <c r="AJ32" s="222">
        <f>IF(data!AG93&gt;0,ROUND(data!AG93,0),0)</f>
        <v>121986</v>
      </c>
      <c r="AK32" s="212">
        <f>IF(data!AG94&gt;0,ROUND(data!AG94,2),0)</f>
        <v>38.66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026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026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8240</v>
      </c>
      <c r="F34" s="212">
        <f>ROUND(data!AI60,2)</f>
        <v>23.37</v>
      </c>
      <c r="G34" s="222">
        <f>ROUND(data!AI61,0)</f>
        <v>2626596</v>
      </c>
      <c r="H34" s="222">
        <f>ROUND(data!AI62,0)</f>
        <v>809937</v>
      </c>
      <c r="I34" s="222">
        <f>ROUND(data!AI63,0)</f>
        <v>0</v>
      </c>
      <c r="J34" s="222">
        <f>ROUND(data!AI64,0)</f>
        <v>1556218</v>
      </c>
      <c r="K34" s="222">
        <f>ROUND(data!AI65,0)</f>
        <v>0</v>
      </c>
      <c r="L34" s="222">
        <f>ROUND(data!AI66,0)</f>
        <v>18134</v>
      </c>
      <c r="M34" s="66">
        <f>ROUND(data!AI67,0)</f>
        <v>350650</v>
      </c>
      <c r="N34" s="222">
        <f>ROUND(data!AI68,0)</f>
        <v>25451</v>
      </c>
      <c r="O34" s="222">
        <f>ROUND(data!AI69,0)</f>
        <v>22330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22330</v>
      </c>
      <c r="AD34" s="222">
        <f>ROUND(data!AI84,0)</f>
        <v>0</v>
      </c>
      <c r="AE34" s="222">
        <f>ROUND(data!AI89,0)</f>
        <v>25892273</v>
      </c>
      <c r="AF34" s="222">
        <f>ROUND(data!AI87,0)</f>
        <v>1839064</v>
      </c>
      <c r="AG34" s="222">
        <f>IF(data!AI90&gt;0,ROUND(data!AI90,0),0)</f>
        <v>19574</v>
      </c>
      <c r="AH34" s="222">
        <f>IF(data!AI91&gt;0,ROUND(data!AI91,0),0)</f>
        <v>758</v>
      </c>
      <c r="AI34" s="222">
        <f>IF(data!AI92&gt;0,ROUND(data!AI92,0),0)</f>
        <v>5827</v>
      </c>
      <c r="AJ34" s="222">
        <f>IF(data!AI93&gt;0,ROUND(data!AI93,0),0)</f>
        <v>45619</v>
      </c>
      <c r="AK34" s="212">
        <f>IF(data!AI94&gt;0,ROUND(data!AI94,2),0)</f>
        <v>14.46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026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174250</v>
      </c>
      <c r="F35" s="212">
        <f>ROUND(data!AJ60,2)</f>
        <v>323.52</v>
      </c>
      <c r="G35" s="222">
        <f>ROUND(data!AJ61,0)</f>
        <v>39569169</v>
      </c>
      <c r="H35" s="222">
        <f>ROUND(data!AJ62,0)</f>
        <v>8489832</v>
      </c>
      <c r="I35" s="222">
        <f>ROUND(data!AJ63,0)</f>
        <v>4044047</v>
      </c>
      <c r="J35" s="222">
        <f>ROUND(data!AJ64,0)</f>
        <v>3937996</v>
      </c>
      <c r="K35" s="222">
        <f>ROUND(data!AJ65,0)</f>
        <v>1023</v>
      </c>
      <c r="L35" s="222">
        <f>ROUND(data!AJ66,0)</f>
        <v>239635</v>
      </c>
      <c r="M35" s="66">
        <f>ROUND(data!AJ67,0)</f>
        <v>875940</v>
      </c>
      <c r="N35" s="222">
        <f>ROUND(data!AJ68,0)</f>
        <v>41848</v>
      </c>
      <c r="O35" s="222">
        <f>ROUND(data!AJ69,0)</f>
        <v>204789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204789</v>
      </c>
      <c r="AD35" s="222">
        <f>ROUND(data!AJ84,0)</f>
        <v>922752</v>
      </c>
      <c r="AE35" s="222">
        <f>ROUND(data!AJ89,0)</f>
        <v>84904132</v>
      </c>
      <c r="AF35" s="222">
        <f>ROUND(data!AJ87,0)</f>
        <v>357435</v>
      </c>
      <c r="AG35" s="222">
        <f>IF(data!AJ90&gt;0,ROUND(data!AJ90,0),0)</f>
        <v>93341</v>
      </c>
      <c r="AH35" s="222">
        <f>IF(data!AJ91&gt;0,ROUND(data!AJ91,0),0)</f>
        <v>0</v>
      </c>
      <c r="AI35" s="222">
        <f>IF(data!AJ92&gt;0,ROUND(data!AJ92,0),0)</f>
        <v>27789</v>
      </c>
      <c r="AJ35" s="222">
        <f>IF(data!AJ93&gt;0,ROUND(data!AJ93,0),0)</f>
        <v>90003</v>
      </c>
      <c r="AK35" s="212">
        <f>IF(data!AJ94&gt;0,ROUND(data!AJ94,2),0)</f>
        <v>28.53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026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026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026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026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026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026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27707</v>
      </c>
      <c r="F41" s="212">
        <f>ROUND(data!AP60,2)</f>
        <v>34.92</v>
      </c>
      <c r="G41" s="222">
        <f>ROUND(data!AP61,0)</f>
        <v>3799595</v>
      </c>
      <c r="H41" s="222">
        <f>ROUND(data!AP62,0)</f>
        <v>979129</v>
      </c>
      <c r="I41" s="222">
        <f>ROUND(data!AP63,0)</f>
        <v>93000</v>
      </c>
      <c r="J41" s="222">
        <f>ROUND(data!AP64,0)</f>
        <v>443251</v>
      </c>
      <c r="K41" s="222">
        <f>ROUND(data!AP65,0)</f>
        <v>3964</v>
      </c>
      <c r="L41" s="222">
        <f>ROUND(data!AP66,0)</f>
        <v>18912</v>
      </c>
      <c r="M41" s="66">
        <f>ROUND(data!AP67,0)</f>
        <v>52206</v>
      </c>
      <c r="N41" s="222">
        <f>ROUND(data!AP68,0)</f>
        <v>542750</v>
      </c>
      <c r="O41" s="222">
        <f>ROUND(data!AP69,0)</f>
        <v>21177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21177</v>
      </c>
      <c r="AD41" s="222">
        <f>ROUND(data!AP84,0)</f>
        <v>0</v>
      </c>
      <c r="AE41" s="222">
        <f>ROUND(data!AP89,0)</f>
        <v>10630954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1101</v>
      </c>
      <c r="AK41" s="212">
        <f>IF(data!AP94&gt;0,ROUND(data!AP94,2),0)</f>
        <v>0.35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026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026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026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026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026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026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2.78</v>
      </c>
      <c r="G47" s="222">
        <f>ROUND(data!AV61,0)</f>
        <v>240853</v>
      </c>
      <c r="H47" s="222">
        <f>ROUND(data!AV62,0)</f>
        <v>79844</v>
      </c>
      <c r="I47" s="222">
        <f>ROUND(data!AV63,0)</f>
        <v>0</v>
      </c>
      <c r="J47" s="222">
        <f>ROUND(data!AV64,0)</f>
        <v>9112</v>
      </c>
      <c r="K47" s="222">
        <f>ROUND(data!AV65,0)</f>
        <v>0</v>
      </c>
      <c r="L47" s="222">
        <f>ROUND(data!AV66,0)</f>
        <v>775</v>
      </c>
      <c r="M47" s="66">
        <f>ROUND(data!AV67,0)</f>
        <v>52143</v>
      </c>
      <c r="N47" s="222">
        <f>ROUND(data!AV68,0)</f>
        <v>0</v>
      </c>
      <c r="O47" s="222">
        <f>ROUND(data!AV69,0)</f>
        <v>867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867</v>
      </c>
      <c r="AD47" s="222">
        <f>ROUND(data!AV84,0)</f>
        <v>0</v>
      </c>
      <c r="AE47" s="222">
        <f>ROUND(data!AV89,0)</f>
        <v>2310057</v>
      </c>
      <c r="AF47" s="222">
        <f>ROUND(data!AV87,0)</f>
        <v>22650</v>
      </c>
      <c r="AG47" s="222">
        <f>IF(data!AV90&gt;0,ROUND(data!AV90,0),0)</f>
        <v>3340</v>
      </c>
      <c r="AH47" s="222">
        <f>IF(data!AV91&gt;0,ROUND(data!AV91,0),0)</f>
        <v>0</v>
      </c>
      <c r="AI47" s="222">
        <f>IF(data!AV92&gt;0,ROUND(data!AV92,0),0)</f>
        <v>994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026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026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026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117935</v>
      </c>
      <c r="F50" s="212">
        <f>ROUND(data!AY60,2)</f>
        <v>34.3</v>
      </c>
      <c r="G50" s="222">
        <f>ROUND(data!AY61,0)</f>
        <v>1730661</v>
      </c>
      <c r="H50" s="222">
        <f>ROUND(data!AY62,0)</f>
        <v>640449</v>
      </c>
      <c r="I50" s="222">
        <f>ROUND(data!AY63,0)</f>
        <v>0</v>
      </c>
      <c r="J50" s="222">
        <f>ROUND(data!AY64,0)</f>
        <v>811173</v>
      </c>
      <c r="K50" s="222">
        <f>ROUND(data!AY65,0)</f>
        <v>0</v>
      </c>
      <c r="L50" s="222">
        <f>ROUND(data!AY66,0)</f>
        <v>54754</v>
      </c>
      <c r="M50" s="66">
        <f>ROUND(data!AY67,0)</f>
        <v>132769</v>
      </c>
      <c r="N50" s="222">
        <f>ROUND(data!AY68,0)</f>
        <v>0</v>
      </c>
      <c r="O50" s="222">
        <f>ROUND(data!AY69,0)</f>
        <v>3032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3032</v>
      </c>
      <c r="AD50" s="222">
        <f>ROUND(data!AY84,0)</f>
        <v>872717</v>
      </c>
      <c r="AE50" s="222"/>
      <c r="AF50" s="222"/>
      <c r="AG50" s="222">
        <f>IF(data!AY90&gt;0,ROUND(data!AY90,0),0)</f>
        <v>12128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026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026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026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19.78</v>
      </c>
      <c r="G53" s="222">
        <f>ROUND(data!BB61,0)</f>
        <v>2158572</v>
      </c>
      <c r="H53" s="222">
        <f>ROUND(data!BB62,0)</f>
        <v>535795</v>
      </c>
      <c r="I53" s="222">
        <f>ROUND(data!BB63,0)</f>
        <v>304465</v>
      </c>
      <c r="J53" s="222">
        <f>ROUND(data!BB64,0)</f>
        <v>2884</v>
      </c>
      <c r="K53" s="222">
        <f>ROUND(data!BB65,0)</f>
        <v>0</v>
      </c>
      <c r="L53" s="222">
        <f>ROUND(data!BB66,0)</f>
        <v>251633</v>
      </c>
      <c r="M53" s="66">
        <f>ROUND(data!BB67,0)</f>
        <v>32573</v>
      </c>
      <c r="N53" s="222">
        <f>ROUND(data!BB68,0)</f>
        <v>0</v>
      </c>
      <c r="O53" s="222">
        <f>ROUND(data!BB69,0)</f>
        <v>81237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81237</v>
      </c>
      <c r="AD53" s="222">
        <f>ROUND(data!BB84,0)</f>
        <v>0</v>
      </c>
      <c r="AE53" s="222"/>
      <c r="AF53" s="222"/>
      <c r="AG53" s="222">
        <f>IF(data!BB90&gt;0,ROUND(data!BB90,0),0)</f>
        <v>3836</v>
      </c>
      <c r="AH53" s="222">
        <f>IFERROR(IF(data!BB$91&gt;0,ROUND(data!BB$91,0),0),0)</f>
        <v>0</v>
      </c>
      <c r="AI53" s="222">
        <f>IFERROR(IF(data!BB$92&gt;0,ROUND(data!BB$92,0),0),0)</f>
        <v>1142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026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5.84</v>
      </c>
      <c r="G54" s="222">
        <f>ROUND(data!BC61,0)</f>
        <v>262752</v>
      </c>
      <c r="H54" s="222">
        <f>ROUND(data!BC62,0)</f>
        <v>111093</v>
      </c>
      <c r="I54" s="222">
        <f>ROUND(data!BC63,0)</f>
        <v>0</v>
      </c>
      <c r="J54" s="222">
        <f>ROUND(data!BC64,0)</f>
        <v>52667</v>
      </c>
      <c r="K54" s="222">
        <f>ROUND(data!BC65,0)</f>
        <v>0</v>
      </c>
      <c r="L54" s="222">
        <f>ROUND(data!BC66,0)</f>
        <v>0</v>
      </c>
      <c r="M54" s="66">
        <f>ROUND(data!BC67,0)</f>
        <v>1231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4064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026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31002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3651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026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802141</v>
      </c>
      <c r="F56" s="212">
        <f>ROUND(data!BE60,2)</f>
        <v>30.36</v>
      </c>
      <c r="G56" s="222">
        <f>ROUND(data!BE61,0)</f>
        <v>2378082</v>
      </c>
      <c r="H56" s="222">
        <f>ROUND(data!BE62,0)</f>
        <v>713243</v>
      </c>
      <c r="I56" s="222">
        <f>ROUND(data!BE63,0)</f>
        <v>0</v>
      </c>
      <c r="J56" s="222">
        <f>ROUND(data!BE64,0)</f>
        <v>189811</v>
      </c>
      <c r="K56" s="222">
        <f>ROUND(data!BE65,0)</f>
        <v>2469668</v>
      </c>
      <c r="L56" s="222">
        <f>ROUND(data!BE66,0)</f>
        <v>7816407</v>
      </c>
      <c r="M56" s="66">
        <f>ROUND(data!BE67,0)</f>
        <v>2776422</v>
      </c>
      <c r="N56" s="222">
        <f>ROUND(data!BE68,0)</f>
        <v>106975</v>
      </c>
      <c r="O56" s="222">
        <f>ROUND(data!BE69,0)</f>
        <v>17691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17691</v>
      </c>
      <c r="AD56" s="222">
        <f>ROUND(data!BE84,0)</f>
        <v>700000</v>
      </c>
      <c r="AE56" s="222"/>
      <c r="AF56" s="222"/>
      <c r="AG56" s="222">
        <f>IF(data!BE90&gt;0,ROUND(data!BE90,0),0)</f>
        <v>303084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026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50.37</v>
      </c>
      <c r="G57" s="222">
        <f>ROUND(data!BF61,0)</f>
        <v>2474590</v>
      </c>
      <c r="H57" s="222">
        <f>ROUND(data!BF62,0)</f>
        <v>1034656</v>
      </c>
      <c r="I57" s="222">
        <f>ROUND(data!BF63,0)</f>
        <v>0</v>
      </c>
      <c r="J57" s="222">
        <f>ROUND(data!BF64,0)</f>
        <v>420646</v>
      </c>
      <c r="K57" s="222">
        <f>ROUND(data!BF65,0)</f>
        <v>301803</v>
      </c>
      <c r="L57" s="222">
        <f>ROUND(data!BF66,0)</f>
        <v>869267</v>
      </c>
      <c r="M57" s="66">
        <f>ROUND(data!BF67,0)</f>
        <v>47174</v>
      </c>
      <c r="N57" s="222">
        <f>ROUND(data!BF68,0)</f>
        <v>48</v>
      </c>
      <c r="O57" s="222">
        <f>ROUND(data!BF69,0)</f>
        <v>5876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5876</v>
      </c>
      <c r="AD57" s="222">
        <f>ROUND(data!BF84,0)</f>
        <v>2993</v>
      </c>
      <c r="AE57" s="222"/>
      <c r="AF57" s="222"/>
      <c r="AG57" s="222">
        <f>IF(data!BF90&gt;0,ROUND(data!BF90,0),0)</f>
        <v>4105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026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10.99</v>
      </c>
      <c r="G58" s="222">
        <f>ROUND(data!BG61,0)</f>
        <v>518023</v>
      </c>
      <c r="H58" s="222">
        <f>ROUND(data!BG62,0)</f>
        <v>239916</v>
      </c>
      <c r="I58" s="222">
        <f>ROUND(data!BG63,0)</f>
        <v>0</v>
      </c>
      <c r="J58" s="222">
        <f>ROUND(data!BG64,0)</f>
        <v>21277</v>
      </c>
      <c r="K58" s="222">
        <f>ROUND(data!BG65,0)</f>
        <v>0</v>
      </c>
      <c r="L58" s="222">
        <f>ROUND(data!BG66,0)</f>
        <v>62</v>
      </c>
      <c r="M58" s="66">
        <f>ROUND(data!BG67,0)</f>
        <v>28871</v>
      </c>
      <c r="N58" s="222">
        <f>ROUND(data!BG68,0)</f>
        <v>0</v>
      </c>
      <c r="O58" s="222">
        <f>ROUND(data!BG69,0)</f>
        <v>109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109</v>
      </c>
      <c r="AD58" s="222">
        <f>ROUND(data!BG84,0)</f>
        <v>0</v>
      </c>
      <c r="AE58" s="222"/>
      <c r="AF58" s="222"/>
      <c r="AG58" s="222">
        <f>IF(data!BG90&gt;0,ROUND(data!BG90,0),0)</f>
        <v>1626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026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29219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3441</v>
      </c>
      <c r="AH59" s="222">
        <f>IFERROR(IF(data!BH$91&gt;0,ROUND(data!BH$91,0),0),0)</f>
        <v>0</v>
      </c>
      <c r="AI59" s="222">
        <f>IFERROR(IF(data!BH$92&gt;0,ROUND(data!BH$92,0),0),0)</f>
        <v>1024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026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026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026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24532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2889</v>
      </c>
      <c r="AH62" s="222">
        <f>IFERROR(IF(data!BK$91&gt;0,ROUND(data!BK$91,0),0),0)</f>
        <v>0</v>
      </c>
      <c r="AI62" s="222">
        <f>IFERROR(IF(data!BK$92&gt;0,ROUND(data!BK$92,0),0),0)</f>
        <v>860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026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026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026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6.54</v>
      </c>
      <c r="G65" s="222">
        <f>ROUND(data!BN61,0)</f>
        <v>2312536</v>
      </c>
      <c r="H65" s="222">
        <f>ROUND(data!BN62,0)</f>
        <v>400129</v>
      </c>
      <c r="I65" s="222">
        <f>ROUND(data!BN63,0)</f>
        <v>500004</v>
      </c>
      <c r="J65" s="222">
        <f>ROUND(data!BN64,0)</f>
        <v>24004</v>
      </c>
      <c r="K65" s="222">
        <f>ROUND(data!BN65,0)</f>
        <v>0</v>
      </c>
      <c r="L65" s="222">
        <f>ROUND(data!BN66,0)</f>
        <v>31901225</v>
      </c>
      <c r="M65" s="66">
        <f>ROUND(data!BN67,0)</f>
        <v>8199345</v>
      </c>
      <c r="N65" s="222">
        <f>ROUND(data!BN68,0)</f>
        <v>0</v>
      </c>
      <c r="O65" s="222">
        <f>ROUND(data!BN69,0)</f>
        <v>83970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83970</v>
      </c>
      <c r="AD65" s="222">
        <f>ROUND(data!BN84,0)</f>
        <v>21991</v>
      </c>
      <c r="AE65" s="222"/>
      <c r="AF65" s="222"/>
      <c r="AG65" s="222">
        <f>IF(data!BN90&gt;0,ROUND(data!BN90,0),0)</f>
        <v>5740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026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1.52</v>
      </c>
      <c r="G66" s="222">
        <f>ROUND(data!BO61,0)</f>
        <v>147349</v>
      </c>
      <c r="H66" s="222">
        <f>ROUND(data!BO62,0)</f>
        <v>38138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39910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4700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026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026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026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026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8.89</v>
      </c>
      <c r="G70" s="222">
        <f>ROUND(data!BS61,0)</f>
        <v>409592</v>
      </c>
      <c r="H70" s="222">
        <f>ROUND(data!BS62,0)</f>
        <v>176052</v>
      </c>
      <c r="I70" s="222">
        <f>ROUND(data!BS63,0)</f>
        <v>0</v>
      </c>
      <c r="J70" s="222">
        <f>ROUND(data!BS64,0)</f>
        <v>55566</v>
      </c>
      <c r="K70" s="222">
        <f>ROUND(data!BS65,0)</f>
        <v>0</v>
      </c>
      <c r="L70" s="222">
        <f>ROUND(data!BS66,0)</f>
        <v>16</v>
      </c>
      <c r="M70" s="66">
        <f>ROUND(data!BS67,0)</f>
        <v>15972</v>
      </c>
      <c r="N70" s="222">
        <f>ROUND(data!BS68,0)</f>
        <v>0</v>
      </c>
      <c r="O70" s="222">
        <f>ROUND(data!BS69,0)</f>
        <v>1227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1227</v>
      </c>
      <c r="AD70" s="222">
        <f>ROUND(data!BS84,0)</f>
        <v>25875</v>
      </c>
      <c r="AE70" s="222"/>
      <c r="AF70" s="222"/>
      <c r="AG70" s="222">
        <f>IF(data!BS90&gt;0,ROUND(data!BS90,0),0)</f>
        <v>1881</v>
      </c>
      <c r="AH70" s="222">
        <f>IFERROR(IF(data!BS$91&gt;0,ROUND(data!BS$91,0),0),0)</f>
        <v>0</v>
      </c>
      <c r="AI70" s="222">
        <f>IFERROR(IF(data!BS$92&gt;0,ROUND(data!BS$92,0),0),0)</f>
        <v>560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026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4.92</v>
      </c>
      <c r="G71" s="222">
        <f>ROUND(data!BT61,0)</f>
        <v>460825</v>
      </c>
      <c r="H71" s="222">
        <f>ROUND(data!BT62,0)</f>
        <v>104617</v>
      </c>
      <c r="I71" s="222">
        <f>ROUND(data!BT63,0)</f>
        <v>0</v>
      </c>
      <c r="J71" s="222">
        <f>ROUND(data!BT64,0)</f>
        <v>27288</v>
      </c>
      <c r="K71" s="222">
        <f>ROUND(data!BT65,0)</f>
        <v>0</v>
      </c>
      <c r="L71" s="222">
        <f>ROUND(data!BT66,0)</f>
        <v>4810</v>
      </c>
      <c r="M71" s="66">
        <f>ROUND(data!BT67,0)</f>
        <v>18342</v>
      </c>
      <c r="N71" s="222">
        <f>ROUND(data!BT68,0)</f>
        <v>0</v>
      </c>
      <c r="O71" s="222">
        <f>ROUND(data!BT69,0)</f>
        <v>13429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13429</v>
      </c>
      <c r="AD71" s="222">
        <f>ROUND(data!BT84,0)</f>
        <v>10956</v>
      </c>
      <c r="AE71" s="222"/>
      <c r="AF71" s="222"/>
      <c r="AG71" s="222">
        <f>IF(data!BT90&gt;0,ROUND(data!BT90,0),0)</f>
        <v>2160</v>
      </c>
      <c r="AH71" s="222">
        <f>IFERROR(IF(data!BT$91&gt;0,ROUND(data!BT$91,0),0),0)</f>
        <v>0</v>
      </c>
      <c r="AI71" s="222">
        <f>IFERROR(IF(data!BT$92&gt;0,ROUND(data!BT$92,0),0),0)</f>
        <v>643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026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0.42</v>
      </c>
      <c r="G72" s="222">
        <f>ROUND(data!BU61,0)</f>
        <v>47808</v>
      </c>
      <c r="H72" s="222">
        <f>ROUND(data!BU62,0)</f>
        <v>18909</v>
      </c>
      <c r="I72" s="222">
        <f>ROUND(data!BU63,0)</f>
        <v>0</v>
      </c>
      <c r="J72" s="222">
        <f>ROUND(data!BU64,0)</f>
        <v>158</v>
      </c>
      <c r="K72" s="222">
        <f>ROUND(data!BU65,0)</f>
        <v>0</v>
      </c>
      <c r="L72" s="222">
        <f>ROUND(data!BU66,0)</f>
        <v>0</v>
      </c>
      <c r="M72" s="66">
        <f>ROUND(data!BU67,0)</f>
        <v>7226</v>
      </c>
      <c r="N72" s="222">
        <f>ROUND(data!BU68,0)</f>
        <v>0</v>
      </c>
      <c r="O72" s="222">
        <f>ROUND(data!BU69,0)</f>
        <v>4971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4971</v>
      </c>
      <c r="AD72" s="222">
        <f>ROUND(data!BU84,0)</f>
        <v>0</v>
      </c>
      <c r="AE72" s="222"/>
      <c r="AF72" s="222"/>
      <c r="AG72" s="222">
        <f>IF(data!BU90&gt;0,ROUND(data!BU90,0),0)</f>
        <v>851</v>
      </c>
      <c r="AH72" s="222">
        <f>IF(data!BU91&gt;0,ROUND(data!BU91,0),0)</f>
        <v>0</v>
      </c>
      <c r="AI72" s="222">
        <f>IF(data!BU92&gt;0,ROUND(data!BU92,0),0)</f>
        <v>253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026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100</v>
      </c>
      <c r="M73" s="66">
        <f>ROUND(data!BV67,0)</f>
        <v>51560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6072</v>
      </c>
      <c r="AH73" s="222">
        <f>IF(data!BV91&gt;0,ROUND(data!BV91,0),0)</f>
        <v>0</v>
      </c>
      <c r="AI73" s="222">
        <f>IF(data!BV92&gt;0,ROUND(data!BV92,0),0)</f>
        <v>1808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026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3.08</v>
      </c>
      <c r="G74" s="222">
        <f>ROUND(data!BW61,0)</f>
        <v>326740</v>
      </c>
      <c r="H74" s="222">
        <f>ROUND(data!BW62,0)</f>
        <v>111227</v>
      </c>
      <c r="I74" s="222">
        <f>ROUND(data!BW63,0)</f>
        <v>56710</v>
      </c>
      <c r="J74" s="222">
        <f>ROUND(data!BW64,0)</f>
        <v>71668</v>
      </c>
      <c r="K74" s="222">
        <f>ROUND(data!BW65,0)</f>
        <v>0</v>
      </c>
      <c r="L74" s="222">
        <f>ROUND(data!BW66,0)</f>
        <v>-93</v>
      </c>
      <c r="M74" s="66">
        <f>ROUND(data!BW67,0)</f>
        <v>3566</v>
      </c>
      <c r="N74" s="222">
        <f>ROUND(data!BW68,0)</f>
        <v>0</v>
      </c>
      <c r="O74" s="222">
        <f>ROUND(data!BW69,0)</f>
        <v>3091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3091</v>
      </c>
      <c r="AD74" s="222">
        <f>ROUND(data!BW84,0)</f>
        <v>0</v>
      </c>
      <c r="AE74" s="222"/>
      <c r="AF74" s="222"/>
      <c r="AG74" s="222">
        <f>IF(data!BW90&gt;0,ROUND(data!BW90,0),0)</f>
        <v>420</v>
      </c>
      <c r="AH74" s="222">
        <f>IF(data!BW91&gt;0,ROUND(data!BW91,0),0)</f>
        <v>0</v>
      </c>
      <c r="AI74" s="222">
        <f>IF(data!BW92&gt;0,ROUND(data!BW92,0),0)</f>
        <v>125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026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11.29</v>
      </c>
      <c r="G75" s="222">
        <f>ROUND(data!BX61,0)</f>
        <v>549604</v>
      </c>
      <c r="H75" s="222">
        <f>ROUND(data!BX62,0)</f>
        <v>155151</v>
      </c>
      <c r="I75" s="222">
        <f>ROUND(data!BX63,0)</f>
        <v>0</v>
      </c>
      <c r="J75" s="222">
        <f>ROUND(data!BX64,0)</f>
        <v>943143</v>
      </c>
      <c r="K75" s="222">
        <f>ROUND(data!BX65,0)</f>
        <v>0</v>
      </c>
      <c r="L75" s="222">
        <f>ROUND(data!BX66,0)</f>
        <v>-5412</v>
      </c>
      <c r="M75" s="66">
        <f>ROUND(data!BX67,0)</f>
        <v>19267</v>
      </c>
      <c r="N75" s="222">
        <f>ROUND(data!BX68,0)</f>
        <v>10196</v>
      </c>
      <c r="O75" s="222">
        <f>ROUND(data!BX69,0)</f>
        <v>3235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3235</v>
      </c>
      <c r="AD75" s="222">
        <f>ROUND(data!BX84,0)</f>
        <v>100000</v>
      </c>
      <c r="AE75" s="222"/>
      <c r="AF75" s="222"/>
      <c r="AG75" s="222">
        <f>IF(data!BX90&gt;0,ROUND(data!BX90,0),0)</f>
        <v>2269</v>
      </c>
      <c r="AH75" s="222">
        <f>IF(data!BX91&gt;0,ROUND(data!BX91,0),0)</f>
        <v>0</v>
      </c>
      <c r="AI75" s="222">
        <f>IF(data!BX92&gt;0,ROUND(data!BX92,0),0)</f>
        <v>676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026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22.7</v>
      </c>
      <c r="G76" s="222">
        <f>ROUND(data!BY61,0)</f>
        <v>3146393</v>
      </c>
      <c r="H76" s="222">
        <f>ROUND(data!BY62,0)</f>
        <v>742145</v>
      </c>
      <c r="I76" s="222">
        <f>ROUND(data!BY63,0)</f>
        <v>0</v>
      </c>
      <c r="J76" s="222">
        <f>ROUND(data!BY64,0)</f>
        <v>10379</v>
      </c>
      <c r="K76" s="222">
        <f>ROUND(data!BY65,0)</f>
        <v>0</v>
      </c>
      <c r="L76" s="222">
        <f>ROUND(data!BY66,0)</f>
        <v>428</v>
      </c>
      <c r="M76" s="66">
        <f>ROUND(data!BY67,0)</f>
        <v>463868</v>
      </c>
      <c r="N76" s="222">
        <f>ROUND(data!BY68,0)</f>
        <v>0</v>
      </c>
      <c r="O76" s="222">
        <f>ROUND(data!BY69,0)</f>
        <v>29356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29356</v>
      </c>
      <c r="AD76" s="222">
        <f>ROUND(data!BY84,0)</f>
        <v>43932</v>
      </c>
      <c r="AE76" s="222"/>
      <c r="AF76" s="222"/>
      <c r="AG76" s="222">
        <f>IF(data!BY90&gt;0,ROUND(data!BY90,0),0)</f>
        <v>2602</v>
      </c>
      <c r="AH76" s="222">
        <f>IF(data!BY91&gt;0,ROUND(data!BY91,0),0)</f>
        <v>0</v>
      </c>
      <c r="AI76" s="222">
        <f>IF(data!BY92&gt;0,ROUND(data!BY92,0),0)</f>
        <v>775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026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1.6</v>
      </c>
      <c r="G77" s="222">
        <f>ROUND(data!BZ61,0)</f>
        <v>203679</v>
      </c>
      <c r="H77" s="222">
        <f>ROUND(data!BZ62,0)</f>
        <v>134508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395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395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026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33923</v>
      </c>
      <c r="N78" s="222">
        <f>ROUND(data!CA68,0)</f>
        <v>0</v>
      </c>
      <c r="O78" s="222">
        <f>ROUND(data!CA69,0)</f>
        <v>250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250</v>
      </c>
      <c r="AD78" s="222">
        <f>ROUND(data!CA84,0)</f>
        <v>0</v>
      </c>
      <c r="AE78" s="222"/>
      <c r="AF78" s="222"/>
      <c r="AG78" s="222">
        <f>IF(data!CA90&gt;0,ROUND(data!CA90,0),0)</f>
        <v>3995</v>
      </c>
      <c r="AH78" s="222">
        <f>IF(data!CA91&gt;0,ROUND(data!CA91,0),0)</f>
        <v>0</v>
      </c>
      <c r="AI78" s="222">
        <f>IF(data!CA92&gt;0,ROUND(data!CA92,0),0)</f>
        <v>1189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026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026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12.85</v>
      </c>
      <c r="G80" s="222">
        <f>ROUND(data!CC61,0)</f>
        <v>1975268</v>
      </c>
      <c r="H80" s="222">
        <f>ROUND(data!CC62,0)</f>
        <v>452917</v>
      </c>
      <c r="I80" s="222">
        <f>ROUND(data!CC63,0)</f>
        <v>0</v>
      </c>
      <c r="J80" s="222">
        <f>ROUND(data!CC64,0)</f>
        <v>-50967</v>
      </c>
      <c r="K80" s="222">
        <f>ROUND(data!CC65,0)</f>
        <v>0</v>
      </c>
      <c r="L80" s="222">
        <f>ROUND(data!CC66,0)</f>
        <v>10282400</v>
      </c>
      <c r="M80" s="66">
        <f>ROUND(data!CC67,0)</f>
        <v>2610174</v>
      </c>
      <c r="N80" s="222">
        <f>ROUND(data!CC68,0)</f>
        <v>0</v>
      </c>
      <c r="O80" s="222">
        <f>ROUND(data!CC69,0)</f>
        <v>616479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616479</v>
      </c>
      <c r="AD80" s="222">
        <f>ROUND(data!CC84,0)</f>
        <v>1117400</v>
      </c>
      <c r="AE80" s="222"/>
      <c r="AF80" s="222"/>
      <c r="AG80" s="222">
        <f>IF(data!CC90&gt;0,ROUND(data!CC90,0),0)</f>
        <v>115184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2022-12-29T23:07:19Z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