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4793DD1D-DBA8-4124-BC3F-4149C6826C02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<sst xmlns="http://schemas.openxmlformats.org/spreadsheetml/2006/main" count="1376" uniqueCount="1376">
  <si>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</si>
  <si>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</si>
  <si>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</si>
  <si>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</si>
  <si>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</si>
  <si>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</si>
  <si>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</si>
  <si>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</si>
  <si>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</si>
  <si>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</si>
  <si>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</si>
  <si>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</si>
  <si>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</si>
  <si>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</si>
  <si>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</si>
  <si>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</si>
  <si>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</si>
  <si>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</si>
  <si>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</si>
  <si>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</si>
  <si>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</si>
  <si>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</si>
  <si>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</si>
  <si>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</si>
  <si>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</si>
  <si>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</si>
  <si>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</si>
  <si>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</si>
  <si>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</si>
  <si>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</si>
  <si>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</si>
  <si>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</si>
  <si>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</si>
  <si>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</si>
  <si>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</si>
  <si>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</si>
  <si>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</si>
  <si>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</si>
  <si>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</si>
  <si>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</si>
  <si>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</si>
  <si>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</si>
  <si>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</si>
  <si>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</si>
  <si>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</si>
  <si>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</si>
  <si>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</si>
  <si>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</si>
  <si>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</si>
  <si>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</si>
  <si>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</si>
  <si>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</si>
  <si>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</si>
  <si>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</si>
  <si>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</si>
  <si>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</si>
  <si>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</si>
  <si>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</si>
  <si>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</si>
  <si>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</si>
  <si>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</si>
  <si>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</si>
  <si>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</si>
  <si>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</si>
  <si>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</si>
  <si>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</si>
  <si>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</si>
  <si>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</si>
  <si>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</si>
  <si>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</si>
  <si>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</si>
  <si>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</si>
  <si>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</si>
  <si>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</si>
  <si>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</si>
  <si>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</si>
  <si>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</si>
  <si>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</si>
  <si>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</si>
  <si>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</si>
  <si>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</si>
  <si>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</si>
  <si>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</si>
  <si>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</si>
  <si>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</si>
  <si>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</si>
  <si>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</si>
  <si>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</si>
  <si>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</si>
  <si>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</si>
  <si>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</si>
  <si>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</si>
  <si>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</si>
  <si>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</si>
  <si>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</si>
  <si>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</si>
  <si>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</si>
  <si>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</si>
  <si>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</si>
  <si>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</si>
  <si>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</si>
  <si>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</si>
  <si>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</si>
  <si>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</si>
  <si>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</si>
  <si>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</si>
  <si>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</si>
  <si>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</si>
  <si>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</si>
  <si>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</si>
  <si>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</si>
  <si>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</si>
  <si>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</si>
  <si>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</si>
  <si>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</si>
  <si>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</si>
  <si>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</si>
  <si>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</si>
  <si>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</si>
  <si>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</si>
  <si>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</si>
  <si>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</si>
  <si>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</si>
  <si>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</si>
  <si>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</si>
  <si>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</si>
  <si>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</si>
  <si>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</si>
  <si>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</si>
  <si>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</si>
  <si>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</si>
  <si>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</si>
  <si>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</si>
  <si>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</si>
  <si>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</si>
  <si>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</si>
  <si>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</si>
  <si>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</si>
  <si>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</si>
  <si>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</si>
  <si>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</si>
  <si>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</si>
  <si>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</si>
  <si>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</si>
  <si>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</si>
  <si>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</si>
  <si>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</si>
  <si>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</si>
  <si>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</si>
  <si>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</si>
  <si>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</si>
  <si>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</si>
  <si>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</si>
  <si>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</si>
  <si>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</si>
  <si>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</si>
  <si>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</si>
  <si>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</si>
  <si>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</si>
  <si>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</si>
  <si>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</si>
  <si>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</si>
  <si>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</si>
  <si>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</si>
  <si>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</si>
  <si>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</si>
  <si>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</si>
  <si>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</si>
  <si>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</si>
  <si>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</si>
  <si>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</si>
  <si>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</si>
  <si>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</si>
  <si>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</si>
  <si>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</si>
  <si>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</si>
  <si>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</si>
  <si>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</si>
  <si>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</si>
  <si>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</si>
  <si>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</si>
  <si>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</si>
  <si>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</si>
  <si>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</si>
  <si>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</si>
  <si>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</si>
  <si>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</si>
  <si>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</si>
  <si>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</si>
  <si>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</si>
  <si>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</si>
  <si>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</si>
  <si>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</si>
  <si>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</si>
  <si>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</si>
  <si>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</si>
  <si>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</si>
  <si>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</si>
  <si>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</si>
  <si>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</si>
  <si>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</si>
  <si>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</si>
  <si>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</si>
  <si>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</si>
  <si>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</si>
  <si>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</si>
  <si>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</si>
  <si>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</si>
  <si>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</si>
  <si>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</si>
  <si>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</si>
  <si>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</si>
  <si>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</si>
  <si>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</si>
  <si>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</si>
  <si>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</si>
  <si>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</si>
  <si>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</si>
  <si>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</si>
  <si>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</si>
  <si>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</si>
  <si>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</si>
  <si>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</si>
  <si>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</si>
  <si>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</si>
  <si>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</si>
  <si>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</si>
  <si>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</si>
  <si>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</si>
  <si>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</si>
  <si>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</si>
  <si>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</si>
  <si>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</si>
  <si>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</si>
  <si>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</si>
  <si>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</si>
  <si>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</si>
  <si>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</si>
  <si>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</si>
  <si>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</si>
  <si>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</si>
  <si>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</si>
  <si>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</si>
  <si>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</si>
  <si>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</si>
  <si>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</si>
  <si>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</si>
  <si>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</si>
  <si>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</si>
  <si>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</si>
  <si>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</si>
  <si>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</si>
  <si>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</si>
  <si>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</si>
  <si>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</si>
  <si>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</si>
  <si>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</si>
  <si>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</si>
  <si>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</si>
  <si>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</si>
  <si>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</si>
  <si>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</si>
  <si>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</si>
  <si>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</si>
  <si>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</si>
  <si>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</si>
  <si>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</si>
  <si>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</si>
  <si>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</si>
  <si>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</si>
  <si>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</si>
  <si>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</si>
  <si>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</si>
  <si>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</si>
  <si>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</si>
  <si>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</si>
  <si>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</si>
  <si>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</si>
  <si>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</si>
  <si>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</si>
  <si>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</si>
  <si>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</si>
  <si>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</si>
  <si>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</si>
  <si>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</si>
  <si>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</si>
  <si>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</si>
  <si>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</si>
  <si>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</si>
  <si>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</si>
  <si>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</si>
  <si>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</si>
  <si>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</si>
  <si>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</si>
  <si>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</si>
  <si>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</si>
  <si>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</si>
  <si>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6/30/2022</t>
  </si>
  <si>
    <t>License Number</t>
  </si>
  <si>
    <t>:</t>
  </si>
  <si>
    <t>032</t>
  </si>
  <si>
    <t>Hospital Name</t>
  </si>
  <si>
    <t>St.Joseph Medical Center</t>
  </si>
  <si>
    <t>Mailing Address</t>
  </si>
  <si>
    <t>1717 South J Street</t>
  </si>
  <si>
    <t>City</t>
  </si>
  <si>
    <t>Tacoma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</si>
  <si>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</si>
  <si>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</si>
  <si>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</si>
  <si>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</si>
  <si>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</si>
  <si>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</si>
  <si>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</si>
  <si>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</si>
  <si>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</si>
  <si>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</si>
  <si>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</si>
  <si>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</si>
  <si>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253-426-4101</t>
  </si>
  <si>
    <t>Facsimile Number</t>
  </si>
  <si>
    <t>Name of Submitter</t>
  </si>
  <si>
    <t>Caroline Leung</t>
  </si>
  <si>
    <t>Email of Submitter</t>
  </si>
  <si>
    <t>carolineleung@chifranciscan.org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</si>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</sst>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carolineleung@chifranciscan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397" transitionEvaluation="1" transitionEntry="1" codeName="Sheet1">
    <tabColor rgb="FF92D050"/>
    <pageSetUpPr autoPageBreaks="0" fitToPage="1"/>
  </sheetPr>
  <dimension ref="A1:CF716"/>
  <sheetViews>
    <sheetView tabSelected="1" topLeftCell="A397" zoomScaleNormal="100" workbookViewId="0">
      <selection activeCell="I412" sqref="I412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147975.98</v>
      </c>
      <c r="C47" s="24">
        <v>1807.74</v>
      </c>
      <c r="D47" s="24">
        <v>0</v>
      </c>
      <c r="E47" s="24">
        <v>24846.010000000002</v>
      </c>
      <c r="F47" s="24">
        <v>0</v>
      </c>
      <c r="G47" s="24">
        <v>0</v>
      </c>
      <c r="H47" s="24">
        <v>0</v>
      </c>
      <c r="I47" s="24">
        <v>0</v>
      </c>
      <c r="J47" s="24">
        <v>2066.06</v>
      </c>
      <c r="K47" s="24">
        <v>0</v>
      </c>
      <c r="L47" s="24">
        <v>0</v>
      </c>
      <c r="M47" s="24">
        <v>0</v>
      </c>
      <c r="N47" s="24">
        <v>0</v>
      </c>
      <c r="O47" s="24">
        <v>50.63</v>
      </c>
      <c r="P47" s="24">
        <v>5564.9400000000005</v>
      </c>
      <c r="Q47" s="24">
        <v>0</v>
      </c>
      <c r="R47" s="24">
        <v>0</v>
      </c>
      <c r="S47" s="24">
        <v>0</v>
      </c>
      <c r="T47" s="24">
        <v>0</v>
      </c>
      <c r="U47" s="24">
        <v>2085.18</v>
      </c>
      <c r="V47" s="24">
        <v>39.99</v>
      </c>
      <c r="W47" s="24">
        <v>0</v>
      </c>
      <c r="X47" s="24">
        <v>0</v>
      </c>
      <c r="Y47" s="24">
        <v>1423.03</v>
      </c>
      <c r="Z47" s="24">
        <v>0</v>
      </c>
      <c r="AA47" s="24">
        <v>0</v>
      </c>
      <c r="AB47" s="24">
        <v>2206.0699999999997</v>
      </c>
      <c r="AC47" s="24">
        <v>0</v>
      </c>
      <c r="AD47" s="24">
        <v>0</v>
      </c>
      <c r="AE47" s="24">
        <v>0</v>
      </c>
      <c r="AF47" s="24">
        <v>0</v>
      </c>
      <c r="AG47" s="24">
        <v>346.06</v>
      </c>
      <c r="AH47" s="24">
        <v>0</v>
      </c>
      <c r="AI47" s="24">
        <v>0</v>
      </c>
      <c r="AJ47" s="24">
        <v>147.68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2280.15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2667.06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4387.5300000000007</v>
      </c>
      <c r="BF47" s="24">
        <v>2872.64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93699.92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127.17</v>
      </c>
      <c r="BU47" s="24">
        <v>0</v>
      </c>
      <c r="BV47" s="24">
        <v>0</v>
      </c>
      <c r="BW47" s="24">
        <v>0</v>
      </c>
      <c r="BX47" s="24">
        <v>0</v>
      </c>
      <c r="BY47" s="24">
        <v>103.99</v>
      </c>
      <c r="BZ47" s="24">
        <v>0</v>
      </c>
      <c r="CA47" s="24">
        <v>0</v>
      </c>
      <c r="CB47" s="24">
        <v>0</v>
      </c>
      <c r="CC47" s="24">
        <v>1254.1299999999999</v>
      </c>
      <c r="CD47" s="20"/>
      <c r="CE47" s="32">
        <f>SUM(C47:CC47)</f>
        <v>147975.98</v>
      </c>
    </row>
    <row r="48">
      <c r="A48" s="32" t="s">
        <v>232</v>
      </c>
      <c r="B48" s="312">
        <v>70745349.220000014</v>
      </c>
      <c r="C48" s="32">
        <f>IF($B$48,(ROUND((($B$48/$CE$61)*C61),0)))</f>
        <v>5665955</v>
      </c>
      <c r="D48" s="32">
        <f ref="D48:BO48" t="shared" si="0">IF($B$48,(ROUND((($B$48/$CE$61)*D61),0)))</f>
        <v>0</v>
      </c>
      <c r="E48" s="32">
        <f t="shared" si="0"/>
        <v>12753849</v>
      </c>
      <c r="F48" s="32">
        <f t="shared" si="0"/>
        <v>0</v>
      </c>
      <c r="G48" s="32">
        <f t="shared" si="0"/>
        <v>0</v>
      </c>
      <c r="H48" s="32">
        <f t="shared" si="0"/>
        <v>29</v>
      </c>
      <c r="I48" s="32">
        <f t="shared" si="0"/>
        <v>0</v>
      </c>
      <c r="J48" s="32">
        <f t="shared" si="0"/>
        <v>1651105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3580501</v>
      </c>
      <c r="P48" s="32">
        <f t="shared" si="0"/>
        <v>5670130</v>
      </c>
      <c r="Q48" s="32">
        <f t="shared" si="0"/>
        <v>406902</v>
      </c>
      <c r="R48" s="32">
        <f t="shared" si="0"/>
        <v>0</v>
      </c>
      <c r="S48" s="32">
        <f t="shared" si="0"/>
        <v>388728</v>
      </c>
      <c r="T48" s="32">
        <f t="shared" si="0"/>
        <v>358636</v>
      </c>
      <c r="U48" s="32">
        <f t="shared" si="0"/>
        <v>1634408</v>
      </c>
      <c r="V48" s="32">
        <f t="shared" si="0"/>
        <v>786420</v>
      </c>
      <c r="W48" s="32">
        <f t="shared" si="0"/>
        <v>199324</v>
      </c>
      <c r="X48" s="32">
        <f t="shared" si="0"/>
        <v>284797</v>
      </c>
      <c r="Y48" s="32">
        <f t="shared" si="0"/>
        <v>1113617</v>
      </c>
      <c r="Z48" s="32">
        <f t="shared" si="0"/>
        <v>0</v>
      </c>
      <c r="AA48" s="32">
        <f t="shared" si="0"/>
        <v>130255</v>
      </c>
      <c r="AB48" s="32">
        <f t="shared" si="0"/>
        <v>1813316</v>
      </c>
      <c r="AC48" s="32">
        <f t="shared" si="0"/>
        <v>954068</v>
      </c>
      <c r="AD48" s="32">
        <f t="shared" si="0"/>
        <v>21185</v>
      </c>
      <c r="AE48" s="32">
        <f t="shared" si="0"/>
        <v>859693</v>
      </c>
      <c r="AF48" s="32">
        <f t="shared" si="0"/>
        <v>0</v>
      </c>
      <c r="AG48" s="32">
        <f t="shared" si="0"/>
        <v>1607783</v>
      </c>
      <c r="AH48" s="32">
        <f t="shared" si="0"/>
        <v>0</v>
      </c>
      <c r="AI48" s="32">
        <f t="shared" si="0"/>
        <v>0</v>
      </c>
      <c r="AJ48" s="32">
        <f t="shared" si="0"/>
        <v>20661554</v>
      </c>
      <c r="AK48" s="32">
        <f t="shared" si="0"/>
        <v>356691</v>
      </c>
      <c r="AL48" s="32">
        <f t="shared" si="0"/>
        <v>122723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4683836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1078153</v>
      </c>
      <c r="AW48" s="32">
        <f t="shared" si="0"/>
        <v>0</v>
      </c>
      <c r="AX48" s="32">
        <f t="shared" si="0"/>
        <v>0</v>
      </c>
      <c r="AY48" s="32">
        <f t="shared" si="0"/>
        <v>948401</v>
      </c>
      <c r="AZ48" s="32">
        <f t="shared" si="0"/>
        <v>0</v>
      </c>
      <c r="BA48" s="32">
        <f t="shared" si="0"/>
        <v>40869</v>
      </c>
      <c r="BB48" s="32">
        <f t="shared" si="0"/>
        <v>0</v>
      </c>
      <c r="BC48" s="32">
        <f t="shared" si="0"/>
        <v>107360</v>
      </c>
      <c r="BD48" s="32">
        <f t="shared" si="0"/>
        <v>0</v>
      </c>
      <c r="BE48" s="32">
        <f t="shared" si="0"/>
        <v>271160</v>
      </c>
      <c r="BF48" s="32">
        <f t="shared" si="0"/>
        <v>912006</v>
      </c>
      <c r="BG48" s="32">
        <f t="shared" si="0"/>
        <v>0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239341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737</v>
      </c>
      <c r="BS48" s="32">
        <f t="shared" si="1"/>
        <v>0</v>
      </c>
      <c r="BT48" s="32">
        <f t="shared" si="1"/>
        <v>32635</v>
      </c>
      <c r="BU48" s="32">
        <f t="shared" si="1"/>
        <v>0</v>
      </c>
      <c r="BV48" s="32">
        <f t="shared" si="1"/>
        <v>0</v>
      </c>
      <c r="BW48" s="32">
        <f t="shared" si="1"/>
        <v>0</v>
      </c>
      <c r="BX48" s="32">
        <f t="shared" si="1"/>
        <v>0</v>
      </c>
      <c r="BY48" s="32">
        <f t="shared" si="1"/>
        <v>904902</v>
      </c>
      <c r="BZ48" s="32">
        <f t="shared" si="1"/>
        <v>205674</v>
      </c>
      <c r="CA48" s="32">
        <f t="shared" si="1"/>
        <v>161016</v>
      </c>
      <c r="CB48" s="32">
        <f t="shared" si="1"/>
        <v>0</v>
      </c>
      <c r="CC48" s="32">
        <f t="shared" si="1"/>
        <v>137592</v>
      </c>
      <c r="CD48" s="32">
        <f t="shared" si="1"/>
        <v>0</v>
      </c>
      <c r="CE48" s="32">
        <f>SUM(C48:CD48)</f>
        <v>70745351</v>
      </c>
    </row>
    <row r="49">
      <c r="A49" s="20" t="s">
        <v>233</v>
      </c>
      <c r="B49" s="32">
        <f>B47+B48</f>
        <v>70893325.200000018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21324638.5</v>
      </c>
      <c r="C51" s="24">
        <v>1184084.22</v>
      </c>
      <c r="D51" s="24">
        <v>0</v>
      </c>
      <c r="E51" s="24">
        <v>1151046.97</v>
      </c>
      <c r="F51" s="24">
        <v>0</v>
      </c>
      <c r="G51" s="24">
        <v>0</v>
      </c>
      <c r="H51" s="24">
        <v>148606.03999999998</v>
      </c>
      <c r="I51" s="24">
        <v>0</v>
      </c>
      <c r="J51" s="24">
        <v>960437.17999999993</v>
      </c>
      <c r="K51" s="24">
        <v>0</v>
      </c>
      <c r="L51" s="24">
        <v>0</v>
      </c>
      <c r="M51" s="24">
        <v>0</v>
      </c>
      <c r="N51" s="24">
        <v>0</v>
      </c>
      <c r="O51" s="24">
        <v>652005.15</v>
      </c>
      <c r="P51" s="24">
        <v>3642486.33</v>
      </c>
      <c r="Q51" s="24">
        <v>499.2</v>
      </c>
      <c r="R51" s="24">
        <v>0</v>
      </c>
      <c r="S51" s="24">
        <v>0</v>
      </c>
      <c r="T51" s="24">
        <v>36038.05</v>
      </c>
      <c r="U51" s="24">
        <v>403703.58999999997</v>
      </c>
      <c r="V51" s="24">
        <v>1022044.4899999999</v>
      </c>
      <c r="W51" s="24">
        <v>154532.26</v>
      </c>
      <c r="X51" s="24">
        <v>412030.21</v>
      </c>
      <c r="Y51" s="24">
        <v>335494.95</v>
      </c>
      <c r="Z51" s="24">
        <v>0</v>
      </c>
      <c r="AA51" s="24">
        <v>112435.2</v>
      </c>
      <c r="AB51" s="24">
        <v>518574.51999999996</v>
      </c>
      <c r="AC51" s="24">
        <v>221926.58</v>
      </c>
      <c r="AD51" s="24">
        <v>22245.07</v>
      </c>
      <c r="AE51" s="24">
        <v>16221.62</v>
      </c>
      <c r="AF51" s="24">
        <v>0</v>
      </c>
      <c r="AG51" s="24">
        <v>469633.06999999995</v>
      </c>
      <c r="AH51" s="24">
        <v>0</v>
      </c>
      <c r="AI51" s="24">
        <v>0</v>
      </c>
      <c r="AJ51" s="24">
        <v>5173109.53</v>
      </c>
      <c r="AK51" s="24">
        <v>4411.23</v>
      </c>
      <c r="AL51" s="24">
        <v>2229.71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248551.83</v>
      </c>
      <c r="AS51" s="24">
        <v>0</v>
      </c>
      <c r="AT51" s="24">
        <v>0</v>
      </c>
      <c r="AU51" s="24">
        <v>0</v>
      </c>
      <c r="AV51" s="24">
        <v>40832.37</v>
      </c>
      <c r="AW51" s="24">
        <v>0</v>
      </c>
      <c r="AX51" s="24">
        <v>0</v>
      </c>
      <c r="AY51" s="24">
        <v>239295.09000000003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2516451.71</v>
      </c>
      <c r="BF51" s="24">
        <v>33111.57</v>
      </c>
      <c r="BG51" s="24">
        <v>0</v>
      </c>
      <c r="BH51" s="24">
        <v>0</v>
      </c>
      <c r="BI51" s="24">
        <v>71.65</v>
      </c>
      <c r="BJ51" s="24">
        <v>0</v>
      </c>
      <c r="BK51" s="24">
        <v>0</v>
      </c>
      <c r="BL51" s="24">
        <v>241.48</v>
      </c>
      <c r="BM51" s="24">
        <v>0</v>
      </c>
      <c r="BN51" s="24">
        <v>177755.14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3523.09</v>
      </c>
      <c r="BZ51" s="24">
        <v>0</v>
      </c>
      <c r="CA51" s="24">
        <v>0</v>
      </c>
      <c r="CB51" s="24">
        <v>0</v>
      </c>
      <c r="CC51" s="24">
        <v>1421009.4000000001</v>
      </c>
      <c r="CD51" s="20"/>
      <c r="CE51" s="32">
        <f>SUM(C51:CD51)</f>
        <v>21324638.5</v>
      </c>
    </row>
    <row r="52">
      <c r="A52" s="39" t="s">
        <v>235</v>
      </c>
      <c r="B52" s="313">
        <v>18144799.849999998</v>
      </c>
      <c r="C52" s="32">
        <f>IF($B$52,ROUND(($B$52/($CE$90+$CF$90)*C90),0))</f>
        <v>442139</v>
      </c>
      <c r="D52" s="32">
        <f ref="D52:BO52" t="shared" si="2">IF($B$52,ROUND(($B$52/($CE$90+$CF$90)*D90),0))</f>
        <v>0</v>
      </c>
      <c r="E52" s="32">
        <f t="shared" si="2"/>
        <v>2425983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53540</v>
      </c>
      <c r="K52" s="32">
        <f t="shared" si="2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374034</v>
      </c>
      <c r="P52" s="32">
        <f t="shared" si="2"/>
        <v>1901364</v>
      </c>
      <c r="Q52" s="32">
        <f t="shared" si="2"/>
        <v>50292</v>
      </c>
      <c r="R52" s="32">
        <f t="shared" si="2"/>
        <v>0</v>
      </c>
      <c r="S52" s="32">
        <f t="shared" si="2"/>
        <v>370257</v>
      </c>
      <c r="T52" s="32">
        <f t="shared" si="2"/>
        <v>0</v>
      </c>
      <c r="U52" s="32">
        <f t="shared" si="2"/>
        <v>353613</v>
      </c>
      <c r="V52" s="32">
        <f t="shared" si="2"/>
        <v>70268</v>
      </c>
      <c r="W52" s="32">
        <f t="shared" si="2"/>
        <v>0</v>
      </c>
      <c r="X52" s="32">
        <f t="shared" si="2"/>
        <v>0</v>
      </c>
      <c r="Y52" s="32">
        <f t="shared" si="2"/>
        <v>978747</v>
      </c>
      <c r="Z52" s="32">
        <f t="shared" si="2"/>
        <v>0</v>
      </c>
      <c r="AA52" s="32">
        <f t="shared" si="2"/>
        <v>0</v>
      </c>
      <c r="AB52" s="32">
        <f t="shared" si="2"/>
        <v>287260</v>
      </c>
      <c r="AC52" s="32">
        <f t="shared" si="2"/>
        <v>20826</v>
      </c>
      <c r="AD52" s="32">
        <f t="shared" si="2"/>
        <v>240038</v>
      </c>
      <c r="AE52" s="32">
        <f t="shared" si="2"/>
        <v>241502</v>
      </c>
      <c r="AF52" s="32">
        <f t="shared" si="2"/>
        <v>0</v>
      </c>
      <c r="AG52" s="32">
        <f t="shared" si="2"/>
        <v>428446</v>
      </c>
      <c r="AH52" s="32">
        <f t="shared" si="2"/>
        <v>0</v>
      </c>
      <c r="AI52" s="32">
        <f t="shared" si="2"/>
        <v>0</v>
      </c>
      <c r="AJ52" s="32">
        <f t="shared" si="2"/>
        <v>439782</v>
      </c>
      <c r="AK52" s="32">
        <f t="shared" si="2"/>
        <v>123447</v>
      </c>
      <c r="AL52" s="32">
        <f t="shared" si="2"/>
        <v>88547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38149</v>
      </c>
      <c r="AQ52" s="32">
        <f t="shared" si="2"/>
        <v>0</v>
      </c>
      <c r="AR52" s="32">
        <f t="shared" si="2"/>
        <v>946903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29593</v>
      </c>
      <c r="AW52" s="32">
        <f t="shared" si="2"/>
        <v>0</v>
      </c>
      <c r="AX52" s="32">
        <f t="shared" si="2"/>
        <v>0</v>
      </c>
      <c r="AY52" s="32">
        <f t="shared" si="2"/>
        <v>0</v>
      </c>
      <c r="AZ52" s="32">
        <f t="shared" si="2"/>
        <v>404169</v>
      </c>
      <c r="BA52" s="32">
        <f t="shared" si="2"/>
        <v>90096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3704332</v>
      </c>
      <c r="BF52" s="32">
        <f t="shared" si="2"/>
        <v>43859</v>
      </c>
      <c r="BG52" s="32">
        <f t="shared" si="2"/>
        <v>0</v>
      </c>
      <c r="BH52" s="32">
        <f t="shared" si="2"/>
        <v>0</v>
      </c>
      <c r="BI52" s="32">
        <f t="shared" si="2"/>
        <v>28298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3360675</v>
      </c>
      <c r="BO52" s="32">
        <f t="shared" si="2"/>
        <v>0</v>
      </c>
      <c r="BP52" s="32">
        <f ref="BP52:CD52" t="shared" si="3">IF($B$52,ROUND(($B$52/($CE$90+$CF$90)*BP90),0))</f>
        <v>0</v>
      </c>
      <c r="BQ52" s="32">
        <f t="shared" si="3"/>
        <v>0</v>
      </c>
      <c r="BR52" s="32">
        <f t="shared" si="3"/>
        <v>354569</v>
      </c>
      <c r="BS52" s="32">
        <f t="shared" si="3"/>
        <v>0</v>
      </c>
      <c r="BT52" s="32">
        <f t="shared" si="3"/>
        <v>32587</v>
      </c>
      <c r="BU52" s="32">
        <f t="shared" si="3"/>
        <v>0</v>
      </c>
      <c r="BV52" s="32">
        <f t="shared" si="3"/>
        <v>200721</v>
      </c>
      <c r="BW52" s="32">
        <f t="shared" si="3"/>
        <v>0</v>
      </c>
      <c r="BX52" s="32">
        <f t="shared" si="3"/>
        <v>0</v>
      </c>
      <c r="BY52" s="32">
        <f t="shared" si="3"/>
        <v>20762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18144798</v>
      </c>
    </row>
    <row r="53">
      <c r="A53" s="20" t="s">
        <v>233</v>
      </c>
      <c r="B53" s="32">
        <f>B51+B52</f>
        <v>39469438.349999994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17885</v>
      </c>
      <c r="D59" s="24"/>
      <c r="E59" s="24">
        <v>98995</v>
      </c>
      <c r="F59" s="24"/>
      <c r="G59" s="24"/>
      <c r="H59" s="24"/>
      <c r="I59" s="24"/>
      <c r="J59" s="24">
        <v>5237</v>
      </c>
      <c r="K59" s="24"/>
      <c r="L59" s="24"/>
      <c r="M59" s="24"/>
      <c r="N59" s="24"/>
      <c r="O59" s="24">
        <v>16499</v>
      </c>
      <c r="P59" s="30">
        <v>1522721</v>
      </c>
      <c r="Q59" s="30">
        <v>798945</v>
      </c>
      <c r="R59" s="30">
        <v>0</v>
      </c>
      <c r="S59" s="314"/>
      <c r="T59" s="314"/>
      <c r="U59" s="31">
        <v>1654172</v>
      </c>
      <c r="V59" s="30">
        <v>47779.22</v>
      </c>
      <c r="W59" s="30">
        <v>26636.704</v>
      </c>
      <c r="X59" s="30">
        <v>85505.852899999983</v>
      </c>
      <c r="Y59" s="30">
        <v>523756.02109999995</v>
      </c>
      <c r="Z59" s="30">
        <v>0</v>
      </c>
      <c r="AA59" s="30">
        <v>30951.8691</v>
      </c>
      <c r="AB59" s="314"/>
      <c r="AC59" s="30">
        <v>190546.28439999998</v>
      </c>
      <c r="AD59" s="30">
        <v>0</v>
      </c>
      <c r="AE59" s="30">
        <v>141471</v>
      </c>
      <c r="AF59" s="30">
        <v>0</v>
      </c>
      <c r="AG59" s="30">
        <v>41858</v>
      </c>
      <c r="AH59" s="30">
        <v>0</v>
      </c>
      <c r="AI59" s="30">
        <v>0</v>
      </c>
      <c r="AJ59" s="30">
        <v>582525.49</v>
      </c>
      <c r="AK59" s="30">
        <v>59997</v>
      </c>
      <c r="AL59" s="30">
        <v>7387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169801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333132</v>
      </c>
      <c r="AZ59" s="30">
        <v>249300</v>
      </c>
      <c r="BA59" s="314"/>
      <c r="BB59" s="314"/>
      <c r="BC59" s="314"/>
      <c r="BD59" s="314"/>
      <c r="BE59" s="30">
        <v>854712.97796666657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190.43327884615383</v>
      </c>
      <c r="D60" s="315">
        <v>0</v>
      </c>
      <c r="E60" s="315">
        <v>557.65142788461549</v>
      </c>
      <c r="F60" s="315">
        <v>0</v>
      </c>
      <c r="G60" s="315">
        <v>0</v>
      </c>
      <c r="H60" s="315">
        <v>0.0038461538461538464</v>
      </c>
      <c r="I60" s="315">
        <v>0</v>
      </c>
      <c r="J60" s="315">
        <v>62.384038461538466</v>
      </c>
      <c r="K60" s="315">
        <v>0</v>
      </c>
      <c r="L60" s="315">
        <v>0</v>
      </c>
      <c r="M60" s="315">
        <v>0</v>
      </c>
      <c r="N60" s="315">
        <v>0</v>
      </c>
      <c r="O60" s="315">
        <v>146.41800000000004</v>
      </c>
      <c r="P60" s="316">
        <v>238.60261538461538</v>
      </c>
      <c r="Q60" s="316">
        <v>16.091360576923076</v>
      </c>
      <c r="R60" s="316">
        <v>0</v>
      </c>
      <c r="S60" s="317">
        <v>39.799721153846157</v>
      </c>
      <c r="T60" s="317">
        <v>12.297831730769232</v>
      </c>
      <c r="U60" s="318">
        <v>93.820389423076918</v>
      </c>
      <c r="V60" s="316">
        <v>28.009091346153852</v>
      </c>
      <c r="W60" s="316">
        <v>8.8018365384615382</v>
      </c>
      <c r="X60" s="316">
        <v>11.6580625</v>
      </c>
      <c r="Y60" s="316">
        <v>54.375307692307693</v>
      </c>
      <c r="Z60" s="316">
        <v>0</v>
      </c>
      <c r="AA60" s="316">
        <v>4.0948990384615378</v>
      </c>
      <c r="AB60" s="317">
        <v>84.337860576923092</v>
      </c>
      <c r="AC60" s="316">
        <v>39.045115384615386</v>
      </c>
      <c r="AD60" s="316">
        <v>0.31770673076923078</v>
      </c>
      <c r="AE60" s="316">
        <v>42.525086538461544</v>
      </c>
      <c r="AF60" s="316">
        <v>0</v>
      </c>
      <c r="AG60" s="316">
        <v>69.116735576923077</v>
      </c>
      <c r="AH60" s="316">
        <v>0</v>
      </c>
      <c r="AI60" s="316">
        <v>0</v>
      </c>
      <c r="AJ60" s="316">
        <v>826.55530288461546</v>
      </c>
      <c r="AK60" s="316">
        <v>16.922413461538461</v>
      </c>
      <c r="AL60" s="316">
        <v>5.9938942307692304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219.24903365384611</v>
      </c>
      <c r="AS60" s="316">
        <v>0</v>
      </c>
      <c r="AT60" s="316">
        <v>0</v>
      </c>
      <c r="AU60" s="316">
        <v>0</v>
      </c>
      <c r="AV60" s="317">
        <v>68.351778846153849</v>
      </c>
      <c r="AW60" s="317">
        <v>0</v>
      </c>
      <c r="AX60" s="317">
        <v>0</v>
      </c>
      <c r="AY60" s="316">
        <v>95.52028365384615</v>
      </c>
      <c r="AZ60" s="316">
        <v>0</v>
      </c>
      <c r="BA60" s="317">
        <v>4.71135576923077</v>
      </c>
      <c r="BB60" s="317">
        <v>0</v>
      </c>
      <c r="BC60" s="317">
        <v>10.70396153846154</v>
      </c>
      <c r="BD60" s="317">
        <v>0</v>
      </c>
      <c r="BE60" s="316">
        <v>18.284365384615384</v>
      </c>
      <c r="BF60" s="317">
        <v>91.654134615384635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0</v>
      </c>
      <c r="BM60" s="317">
        <v>0</v>
      </c>
      <c r="BN60" s="317">
        <v>6.3469951923076922</v>
      </c>
      <c r="BO60" s="317">
        <v>0</v>
      </c>
      <c r="BP60" s="317">
        <v>0</v>
      </c>
      <c r="BQ60" s="317">
        <v>0</v>
      </c>
      <c r="BR60" s="317">
        <v>0.025</v>
      </c>
      <c r="BS60" s="317">
        <v>0</v>
      </c>
      <c r="BT60" s="317">
        <v>2.7787451923076922</v>
      </c>
      <c r="BU60" s="317">
        <v>0</v>
      </c>
      <c r="BV60" s="317">
        <v>0</v>
      </c>
      <c r="BW60" s="317">
        <v>0</v>
      </c>
      <c r="BX60" s="317">
        <v>0</v>
      </c>
      <c r="BY60" s="317">
        <v>48.824596153846166</v>
      </c>
      <c r="BZ60" s="317">
        <v>9.7984759615384629</v>
      </c>
      <c r="CA60" s="317">
        <v>6.8783605769230771</v>
      </c>
      <c r="CB60" s="317">
        <v>0</v>
      </c>
      <c r="CC60" s="317">
        <v>12.029740384615383</v>
      </c>
      <c r="CD60" s="247" t="s">
        <v>248</v>
      </c>
      <c r="CE60" s="268">
        <f ref="CE60:CE68" t="shared" si="4">SUM(C60:CD60)</f>
        <v>3144.412649038461</v>
      </c>
    </row>
    <row r="61">
      <c r="A61" s="39" t="s">
        <v>263</v>
      </c>
      <c r="B61" s="20"/>
      <c r="C61" s="24">
        <v>28796877.470000003</v>
      </c>
      <c r="D61" s="24">
        <v>0</v>
      </c>
      <c r="E61" s="24">
        <v>64820672.530000016</v>
      </c>
      <c r="F61" s="24">
        <v>0</v>
      </c>
      <c r="G61" s="24">
        <v>0</v>
      </c>
      <c r="H61" s="24">
        <v>149.74</v>
      </c>
      <c r="I61" s="24">
        <v>0</v>
      </c>
      <c r="J61" s="24">
        <v>8391642.0799999982</v>
      </c>
      <c r="K61" s="24">
        <v>0</v>
      </c>
      <c r="L61" s="24">
        <v>0</v>
      </c>
      <c r="M61" s="24">
        <v>0</v>
      </c>
      <c r="N61" s="24">
        <v>0</v>
      </c>
      <c r="O61" s="24">
        <v>18197682.93</v>
      </c>
      <c r="P61" s="30">
        <v>28818094.759999987</v>
      </c>
      <c r="Q61" s="30">
        <v>2068055.91</v>
      </c>
      <c r="R61" s="30">
        <v>0</v>
      </c>
      <c r="S61" s="319">
        <v>1975688.71</v>
      </c>
      <c r="T61" s="319">
        <v>1822746.12</v>
      </c>
      <c r="U61" s="31">
        <v>8306778.1999999993</v>
      </c>
      <c r="V61" s="30">
        <v>3996933.5800000005</v>
      </c>
      <c r="W61" s="30">
        <v>1013050.5500000002</v>
      </c>
      <c r="X61" s="30">
        <v>1447462.12</v>
      </c>
      <c r="Y61" s="30">
        <v>5659890.5000000009</v>
      </c>
      <c r="Z61" s="30">
        <v>0</v>
      </c>
      <c r="AA61" s="30">
        <v>662011.36</v>
      </c>
      <c r="AB61" s="320">
        <v>9216069.4000000022</v>
      </c>
      <c r="AC61" s="30">
        <v>4848993.6800000006</v>
      </c>
      <c r="AD61" s="30">
        <v>107669.61</v>
      </c>
      <c r="AE61" s="30">
        <v>4369338.4300000006</v>
      </c>
      <c r="AF61" s="30">
        <v>0</v>
      </c>
      <c r="AG61" s="30">
        <v>8171462.379999999</v>
      </c>
      <c r="AH61" s="30">
        <v>0</v>
      </c>
      <c r="AI61" s="30">
        <v>0</v>
      </c>
      <c r="AJ61" s="30">
        <v>105011110.12999997</v>
      </c>
      <c r="AK61" s="30">
        <v>1812862.3399999999</v>
      </c>
      <c r="AL61" s="30">
        <v>623730.48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23805314.529999986</v>
      </c>
      <c r="AS61" s="30">
        <v>0</v>
      </c>
      <c r="AT61" s="30">
        <v>0</v>
      </c>
      <c r="AU61" s="30">
        <v>0</v>
      </c>
      <c r="AV61" s="319">
        <v>5479647.0199999986</v>
      </c>
      <c r="AW61" s="319">
        <v>0</v>
      </c>
      <c r="AX61" s="319">
        <v>0</v>
      </c>
      <c r="AY61" s="30">
        <v>4820191.0100000007</v>
      </c>
      <c r="AZ61" s="30">
        <v>0</v>
      </c>
      <c r="BA61" s="319">
        <v>207713.37</v>
      </c>
      <c r="BB61" s="319">
        <v>0</v>
      </c>
      <c r="BC61" s="319">
        <v>545648.49</v>
      </c>
      <c r="BD61" s="319">
        <v>0</v>
      </c>
      <c r="BE61" s="30">
        <v>1378153.6600000002</v>
      </c>
      <c r="BF61" s="319">
        <v>4635214.0200000014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0</v>
      </c>
      <c r="BM61" s="319">
        <v>0</v>
      </c>
      <c r="BN61" s="319">
        <v>1216435.6900000004</v>
      </c>
      <c r="BO61" s="319">
        <v>0</v>
      </c>
      <c r="BP61" s="319">
        <v>0</v>
      </c>
      <c r="BQ61" s="319">
        <v>0</v>
      </c>
      <c r="BR61" s="319">
        <v>3746.9200000000005</v>
      </c>
      <c r="BS61" s="319">
        <v>0</v>
      </c>
      <c r="BT61" s="319">
        <v>165863.55</v>
      </c>
      <c r="BU61" s="319">
        <v>0</v>
      </c>
      <c r="BV61" s="319">
        <v>0</v>
      </c>
      <c r="BW61" s="319">
        <v>0</v>
      </c>
      <c r="BX61" s="319">
        <v>0</v>
      </c>
      <c r="BY61" s="319">
        <v>4599109.81</v>
      </c>
      <c r="BZ61" s="319">
        <v>1045327.9499999997</v>
      </c>
      <c r="CA61" s="319">
        <v>818352.50999999989</v>
      </c>
      <c r="CB61" s="319">
        <v>0</v>
      </c>
      <c r="CC61" s="319">
        <v>699302.12000000011</v>
      </c>
      <c r="CD61" s="29" t="s">
        <v>248</v>
      </c>
      <c r="CE61" s="32">
        <f t="shared" si="4"/>
        <v>359558993.66</v>
      </c>
    </row>
    <row r="62">
      <c r="A62" s="39" t="s">
        <v>11</v>
      </c>
      <c r="B62" s="20"/>
      <c r="C62" s="32">
        <f>ROUND(C47+C48,0)</f>
        <v>5667763</v>
      </c>
      <c r="D62" s="32">
        <f ref="D62:BO62" t="shared" si="5">ROUND(D47+D48,0)</f>
        <v>0</v>
      </c>
      <c r="E62" s="32">
        <f t="shared" si="5"/>
        <v>12778695</v>
      </c>
      <c r="F62" s="32">
        <f t="shared" si="5"/>
        <v>0</v>
      </c>
      <c r="G62" s="32">
        <f t="shared" si="5"/>
        <v>0</v>
      </c>
      <c r="H62" s="32">
        <f t="shared" si="5"/>
        <v>29</v>
      </c>
      <c r="I62" s="32">
        <f t="shared" si="5"/>
        <v>0</v>
      </c>
      <c r="J62" s="32">
        <f t="shared" si="5"/>
        <v>1653171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3580552</v>
      </c>
      <c r="P62" s="32">
        <f t="shared" si="5"/>
        <v>5675695</v>
      </c>
      <c r="Q62" s="32">
        <f t="shared" si="5"/>
        <v>406902</v>
      </c>
      <c r="R62" s="32">
        <f t="shared" si="5"/>
        <v>0</v>
      </c>
      <c r="S62" s="32">
        <f t="shared" si="5"/>
        <v>388728</v>
      </c>
      <c r="T62" s="32">
        <f t="shared" si="5"/>
        <v>358636</v>
      </c>
      <c r="U62" s="32">
        <f t="shared" si="5"/>
        <v>1636493</v>
      </c>
      <c r="V62" s="32">
        <f t="shared" si="5"/>
        <v>786460</v>
      </c>
      <c r="W62" s="32">
        <f t="shared" si="5"/>
        <v>199324</v>
      </c>
      <c r="X62" s="32">
        <f t="shared" si="5"/>
        <v>284797</v>
      </c>
      <c r="Y62" s="32">
        <f t="shared" si="5"/>
        <v>1115040</v>
      </c>
      <c r="Z62" s="32">
        <f t="shared" si="5"/>
        <v>0</v>
      </c>
      <c r="AA62" s="32">
        <f t="shared" si="5"/>
        <v>130255</v>
      </c>
      <c r="AB62" s="32">
        <f t="shared" si="5"/>
        <v>1815522</v>
      </c>
      <c r="AC62" s="32">
        <f t="shared" si="5"/>
        <v>954068</v>
      </c>
      <c r="AD62" s="32">
        <f t="shared" si="5"/>
        <v>21185</v>
      </c>
      <c r="AE62" s="32">
        <f t="shared" si="5"/>
        <v>859693</v>
      </c>
      <c r="AF62" s="32">
        <f t="shared" si="5"/>
        <v>0</v>
      </c>
      <c r="AG62" s="32">
        <f t="shared" si="5"/>
        <v>1608129</v>
      </c>
      <c r="AH62" s="32">
        <f t="shared" si="5"/>
        <v>0</v>
      </c>
      <c r="AI62" s="32">
        <f t="shared" si="5"/>
        <v>0</v>
      </c>
      <c r="AJ62" s="32">
        <f t="shared" si="5"/>
        <v>20661702</v>
      </c>
      <c r="AK62" s="32">
        <f t="shared" si="5"/>
        <v>356691</v>
      </c>
      <c r="AL62" s="32">
        <f t="shared" si="5"/>
        <v>122723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4686116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1078153</v>
      </c>
      <c r="AW62" s="32">
        <f t="shared" si="5"/>
        <v>0</v>
      </c>
      <c r="AX62" s="32">
        <f t="shared" si="5"/>
        <v>0</v>
      </c>
      <c r="AY62" s="32">
        <f t="shared" si="5"/>
        <v>951068</v>
      </c>
      <c r="AZ62" s="32">
        <f t="shared" si="5"/>
        <v>0</v>
      </c>
      <c r="BA62" s="32">
        <f t="shared" si="5"/>
        <v>40869</v>
      </c>
      <c r="BB62" s="32">
        <f t="shared" si="5"/>
        <v>0</v>
      </c>
      <c r="BC62" s="32">
        <f t="shared" si="5"/>
        <v>107360</v>
      </c>
      <c r="BD62" s="32">
        <f t="shared" si="5"/>
        <v>0</v>
      </c>
      <c r="BE62" s="32">
        <f t="shared" si="5"/>
        <v>275548</v>
      </c>
      <c r="BF62" s="32">
        <f t="shared" si="5"/>
        <v>914879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333041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737</v>
      </c>
      <c r="BS62" s="32">
        <f t="shared" si="6"/>
        <v>0</v>
      </c>
      <c r="BT62" s="32">
        <f t="shared" si="6"/>
        <v>32762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905006</v>
      </c>
      <c r="BZ62" s="32">
        <f t="shared" si="6"/>
        <v>205674</v>
      </c>
      <c r="CA62" s="32">
        <f t="shared" si="6"/>
        <v>161016</v>
      </c>
      <c r="CB62" s="32">
        <f t="shared" si="6"/>
        <v>0</v>
      </c>
      <c r="CC62" s="32">
        <f t="shared" si="6"/>
        <v>138846</v>
      </c>
      <c r="CD62" s="29" t="s">
        <v>248</v>
      </c>
      <c r="CE62" s="32">
        <f t="shared" si="4"/>
        <v>70893328</v>
      </c>
    </row>
    <row r="63">
      <c r="A63" s="39" t="s">
        <v>264</v>
      </c>
      <c r="B63" s="20"/>
      <c r="C63" s="24">
        <v>4668181.37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1306630.73</v>
      </c>
      <c r="K63" s="24">
        <v>0</v>
      </c>
      <c r="L63" s="24">
        <v>0</v>
      </c>
      <c r="M63" s="24">
        <v>0</v>
      </c>
      <c r="N63" s="24">
        <v>0</v>
      </c>
      <c r="O63" s="24">
        <v>1719552.22</v>
      </c>
      <c r="P63" s="30">
        <v>3671903.69</v>
      </c>
      <c r="Q63" s="30">
        <v>0</v>
      </c>
      <c r="R63" s="30">
        <v>0</v>
      </c>
      <c r="S63" s="319">
        <v>0</v>
      </c>
      <c r="T63" s="319">
        <v>0</v>
      </c>
      <c r="U63" s="31">
        <v>72893.3</v>
      </c>
      <c r="V63" s="30">
        <v>0</v>
      </c>
      <c r="W63" s="30">
        <v>0</v>
      </c>
      <c r="X63" s="30">
        <v>0</v>
      </c>
      <c r="Y63" s="30">
        <v>58687.5</v>
      </c>
      <c r="Z63" s="30">
        <v>0</v>
      </c>
      <c r="AA63" s="30">
        <v>0</v>
      </c>
      <c r="AB63" s="320">
        <v>13891.06</v>
      </c>
      <c r="AC63" s="30">
        <v>6810</v>
      </c>
      <c r="AD63" s="30">
        <v>0</v>
      </c>
      <c r="AE63" s="30">
        <v>0</v>
      </c>
      <c r="AF63" s="30">
        <v>0</v>
      </c>
      <c r="AG63" s="30">
        <v>7096243.33</v>
      </c>
      <c r="AH63" s="30">
        <v>0</v>
      </c>
      <c r="AI63" s="30">
        <v>0</v>
      </c>
      <c r="AJ63" s="30">
        <v>2258764.36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28786.85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0</v>
      </c>
      <c r="BZ63" s="319">
        <v>0</v>
      </c>
      <c r="CA63" s="319">
        <v>0</v>
      </c>
      <c r="CB63" s="319">
        <v>0</v>
      </c>
      <c r="CC63" s="319">
        <v>9352118.38</v>
      </c>
      <c r="CD63" s="29" t="s">
        <v>248</v>
      </c>
      <c r="CE63" s="32">
        <f t="shared" si="4"/>
        <v>30254462.790000007</v>
      </c>
    </row>
    <row r="64">
      <c r="A64" s="39" t="s">
        <v>265</v>
      </c>
      <c r="B64" s="20"/>
      <c r="C64" s="24">
        <v>2878355.5100000012</v>
      </c>
      <c r="D64" s="24">
        <v>0</v>
      </c>
      <c r="E64" s="24">
        <v>4220240.43</v>
      </c>
      <c r="F64" s="24">
        <v>0</v>
      </c>
      <c r="G64" s="24">
        <v>0</v>
      </c>
      <c r="H64" s="24">
        <v>0</v>
      </c>
      <c r="I64" s="24">
        <v>0</v>
      </c>
      <c r="J64" s="24">
        <v>1501102.52</v>
      </c>
      <c r="K64" s="24">
        <v>0</v>
      </c>
      <c r="L64" s="24">
        <v>0</v>
      </c>
      <c r="M64" s="24">
        <v>0</v>
      </c>
      <c r="N64" s="24">
        <v>0</v>
      </c>
      <c r="O64" s="24">
        <v>1800459.270000001</v>
      </c>
      <c r="P64" s="30">
        <v>46587672.250000015</v>
      </c>
      <c r="Q64" s="30">
        <v>147005.33000000002</v>
      </c>
      <c r="R64" s="30">
        <v>0</v>
      </c>
      <c r="S64" s="319">
        <v>1993950.6100000003</v>
      </c>
      <c r="T64" s="319">
        <v>1129967.9600000002</v>
      </c>
      <c r="U64" s="31">
        <v>16701959.459999999</v>
      </c>
      <c r="V64" s="30">
        <v>19619249.849999998</v>
      </c>
      <c r="W64" s="30">
        <v>99957.86</v>
      </c>
      <c r="X64" s="30">
        <v>336386.33</v>
      </c>
      <c r="Y64" s="30">
        <v>3861321.5600000015</v>
      </c>
      <c r="Z64" s="30">
        <v>0</v>
      </c>
      <c r="AA64" s="30">
        <v>464453.69999999995</v>
      </c>
      <c r="AB64" s="320">
        <v>17765044.859999992</v>
      </c>
      <c r="AC64" s="30">
        <v>1278825.57</v>
      </c>
      <c r="AD64" s="30">
        <v>66062.469999999987</v>
      </c>
      <c r="AE64" s="30">
        <v>52320.529999999977</v>
      </c>
      <c r="AF64" s="30">
        <v>0</v>
      </c>
      <c r="AG64" s="30">
        <v>1891880.5499999991</v>
      </c>
      <c r="AH64" s="30">
        <v>0</v>
      </c>
      <c r="AI64" s="30">
        <v>0</v>
      </c>
      <c r="AJ64" s="30">
        <v>6557348.3699999992</v>
      </c>
      <c r="AK64" s="30">
        <v>4252.24</v>
      </c>
      <c r="AL64" s="30">
        <v>114.72</v>
      </c>
      <c r="AM64" s="30">
        <v>0</v>
      </c>
      <c r="AN64" s="30">
        <v>0</v>
      </c>
      <c r="AO64" s="30">
        <v>0</v>
      </c>
      <c r="AP64" s="30">
        <v>38.129999999999995</v>
      </c>
      <c r="AQ64" s="30">
        <v>0</v>
      </c>
      <c r="AR64" s="30">
        <v>2549730.4900000016</v>
      </c>
      <c r="AS64" s="30">
        <v>0</v>
      </c>
      <c r="AT64" s="30">
        <v>0</v>
      </c>
      <c r="AU64" s="30">
        <v>0</v>
      </c>
      <c r="AV64" s="319">
        <v>732967.73</v>
      </c>
      <c r="AW64" s="319">
        <v>0</v>
      </c>
      <c r="AX64" s="319">
        <v>0</v>
      </c>
      <c r="AY64" s="30">
        <v>2898899.8499999992</v>
      </c>
      <c r="AZ64" s="30">
        <v>0</v>
      </c>
      <c r="BA64" s="319">
        <v>3720.5</v>
      </c>
      <c r="BB64" s="319">
        <v>0</v>
      </c>
      <c r="BC64" s="319">
        <v>-523.15</v>
      </c>
      <c r="BD64" s="319">
        <v>141832.8</v>
      </c>
      <c r="BE64" s="30">
        <v>87112.08</v>
      </c>
      <c r="BF64" s="319">
        <v>487384.6</v>
      </c>
      <c r="BG64" s="319">
        <v>0</v>
      </c>
      <c r="BH64" s="319">
        <v>0</v>
      </c>
      <c r="BI64" s="319">
        <v>97362.150000000009</v>
      </c>
      <c r="BJ64" s="319">
        <v>0</v>
      </c>
      <c r="BK64" s="319">
        <v>0</v>
      </c>
      <c r="BL64" s="319">
        <v>88877.81</v>
      </c>
      <c r="BM64" s="319">
        <v>0</v>
      </c>
      <c r="BN64" s="319">
        <v>57064.78</v>
      </c>
      <c r="BO64" s="319">
        <v>0</v>
      </c>
      <c r="BP64" s="319">
        <v>0</v>
      </c>
      <c r="BQ64" s="319">
        <v>0</v>
      </c>
      <c r="BR64" s="319">
        <v>0</v>
      </c>
      <c r="BS64" s="319">
        <v>0</v>
      </c>
      <c r="BT64" s="319">
        <v>0</v>
      </c>
      <c r="BU64" s="319">
        <v>0</v>
      </c>
      <c r="BV64" s="319">
        <v>0</v>
      </c>
      <c r="BW64" s="319">
        <v>0</v>
      </c>
      <c r="BX64" s="319">
        <v>0</v>
      </c>
      <c r="BY64" s="319">
        <v>5787.86</v>
      </c>
      <c r="BZ64" s="319">
        <v>15.83</v>
      </c>
      <c r="CA64" s="319">
        <v>0</v>
      </c>
      <c r="CB64" s="319">
        <v>0</v>
      </c>
      <c r="CC64" s="319">
        <v>170689.15000000002</v>
      </c>
      <c r="CD64" s="29" t="s">
        <v>248</v>
      </c>
      <c r="CE64" s="32">
        <f t="shared" si="4"/>
        <v>136278892.56000003</v>
      </c>
    </row>
    <row r="65">
      <c r="A65" s="39" t="s">
        <v>266</v>
      </c>
      <c r="B65" s="20"/>
      <c r="C65" s="24">
        <v>3705.93</v>
      </c>
      <c r="D65" s="24">
        <v>0</v>
      </c>
      <c r="E65" s="24">
        <v>7335.84</v>
      </c>
      <c r="F65" s="24">
        <v>0</v>
      </c>
      <c r="G65" s="24">
        <v>0</v>
      </c>
      <c r="H65" s="24">
        <v>0</v>
      </c>
      <c r="I65" s="24">
        <v>0</v>
      </c>
      <c r="J65" s="24">
        <v>1443.59</v>
      </c>
      <c r="K65" s="24">
        <v>0</v>
      </c>
      <c r="L65" s="24">
        <v>0</v>
      </c>
      <c r="M65" s="24">
        <v>0</v>
      </c>
      <c r="N65" s="24">
        <v>0</v>
      </c>
      <c r="O65" s="24">
        <v>3683.23</v>
      </c>
      <c r="P65" s="30">
        <v>11066.34</v>
      </c>
      <c r="Q65" s="30">
        <v>947.67</v>
      </c>
      <c r="R65" s="30">
        <v>0</v>
      </c>
      <c r="S65" s="319">
        <v>105.88</v>
      </c>
      <c r="T65" s="319">
        <v>2145.59</v>
      </c>
      <c r="U65" s="31">
        <v>63042.37999999999</v>
      </c>
      <c r="V65" s="30">
        <v>2208.01</v>
      </c>
      <c r="W65" s="30">
        <v>158.84</v>
      </c>
      <c r="X65" s="30">
        <v>393.28</v>
      </c>
      <c r="Y65" s="30">
        <v>4080.5499999999997</v>
      </c>
      <c r="Z65" s="30">
        <v>0</v>
      </c>
      <c r="AA65" s="30">
        <v>307.28</v>
      </c>
      <c r="AB65" s="320">
        <v>4075.1000000000004</v>
      </c>
      <c r="AC65" s="30">
        <v>1321.14</v>
      </c>
      <c r="AD65" s="30">
        <v>0</v>
      </c>
      <c r="AE65" s="30">
        <v>1272.1699999999999</v>
      </c>
      <c r="AF65" s="30">
        <v>0</v>
      </c>
      <c r="AG65" s="30">
        <v>1099.81</v>
      </c>
      <c r="AH65" s="30">
        <v>0</v>
      </c>
      <c r="AI65" s="30">
        <v>0</v>
      </c>
      <c r="AJ65" s="30">
        <v>446090.61999999994</v>
      </c>
      <c r="AK65" s="30">
        <v>490.62</v>
      </c>
      <c r="AL65" s="30">
        <v>1124.84</v>
      </c>
      <c r="AM65" s="30">
        <v>0</v>
      </c>
      <c r="AN65" s="30">
        <v>0</v>
      </c>
      <c r="AO65" s="30">
        <v>0</v>
      </c>
      <c r="AP65" s="30">
        <v>5256.85</v>
      </c>
      <c r="AQ65" s="30">
        <v>0</v>
      </c>
      <c r="AR65" s="30">
        <v>381731.7099999999</v>
      </c>
      <c r="AS65" s="30">
        <v>0</v>
      </c>
      <c r="AT65" s="30">
        <v>0</v>
      </c>
      <c r="AU65" s="30">
        <v>0</v>
      </c>
      <c r="AV65" s="319">
        <v>22341.350000000002</v>
      </c>
      <c r="AW65" s="319">
        <v>0</v>
      </c>
      <c r="AX65" s="319">
        <v>0</v>
      </c>
      <c r="AY65" s="30">
        <v>236.81</v>
      </c>
      <c r="AZ65" s="30">
        <v>0</v>
      </c>
      <c r="BA65" s="319">
        <v>0</v>
      </c>
      <c r="BB65" s="319">
        <v>0</v>
      </c>
      <c r="BC65" s="319">
        <v>98.65</v>
      </c>
      <c r="BD65" s="319">
        <v>0</v>
      </c>
      <c r="BE65" s="30">
        <v>3468725.38</v>
      </c>
      <c r="BF65" s="319">
        <v>506.32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355.55</v>
      </c>
      <c r="BM65" s="319">
        <v>0</v>
      </c>
      <c r="BN65" s="319">
        <v>510.42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2567.67</v>
      </c>
      <c r="BU65" s="319">
        <v>0</v>
      </c>
      <c r="BV65" s="319">
        <v>0</v>
      </c>
      <c r="BW65" s="319">
        <v>0</v>
      </c>
      <c r="BX65" s="319">
        <v>0</v>
      </c>
      <c r="BY65" s="319">
        <v>2878.5299999999997</v>
      </c>
      <c r="BZ65" s="319">
        <v>0</v>
      </c>
      <c r="CA65" s="319">
        <v>0</v>
      </c>
      <c r="CB65" s="319">
        <v>0</v>
      </c>
      <c r="CC65" s="319">
        <v>736.05</v>
      </c>
      <c r="CD65" s="29" t="s">
        <v>248</v>
      </c>
      <c r="CE65" s="32">
        <f t="shared" si="4"/>
        <v>4442044</v>
      </c>
    </row>
    <row r="66">
      <c r="A66" s="39" t="s">
        <v>267</v>
      </c>
      <c r="B66" s="20"/>
      <c r="C66" s="24">
        <v>330196.88999999996</v>
      </c>
      <c r="D66" s="24">
        <v>0</v>
      </c>
      <c r="E66" s="24">
        <v>2746408.16</v>
      </c>
      <c r="F66" s="24">
        <v>0</v>
      </c>
      <c r="G66" s="24">
        <v>0</v>
      </c>
      <c r="H66" s="24">
        <v>196.37</v>
      </c>
      <c r="I66" s="24">
        <v>0</v>
      </c>
      <c r="J66" s="24">
        <v>587373.88000000012</v>
      </c>
      <c r="K66" s="24">
        <v>0</v>
      </c>
      <c r="L66" s="24">
        <v>0</v>
      </c>
      <c r="M66" s="24">
        <v>0</v>
      </c>
      <c r="N66" s="24">
        <v>0</v>
      </c>
      <c r="O66" s="24">
        <v>902817.25000000023</v>
      </c>
      <c r="P66" s="30">
        <v>5468328.09</v>
      </c>
      <c r="Q66" s="30">
        <v>26518.4</v>
      </c>
      <c r="R66" s="30">
        <v>0</v>
      </c>
      <c r="S66" s="319">
        <v>497155.24999999994</v>
      </c>
      <c r="T66" s="319">
        <v>11.3</v>
      </c>
      <c r="U66" s="31">
        <v>3549751.5100000007</v>
      </c>
      <c r="V66" s="30">
        <v>725962.20000000007</v>
      </c>
      <c r="W66" s="30">
        <v>136359.15</v>
      </c>
      <c r="X66" s="30">
        <v>174554.16</v>
      </c>
      <c r="Y66" s="30">
        <v>2596417.34</v>
      </c>
      <c r="Z66" s="30">
        <v>0</v>
      </c>
      <c r="AA66" s="30">
        <v>78066.99</v>
      </c>
      <c r="AB66" s="320">
        <v>903391.45999999973</v>
      </c>
      <c r="AC66" s="30">
        <v>90191.91</v>
      </c>
      <c r="AD66" s="30">
        <v>2919965.3399999994</v>
      </c>
      <c r="AE66" s="30">
        <v>1295075</v>
      </c>
      <c r="AF66" s="30">
        <v>0</v>
      </c>
      <c r="AG66" s="30">
        <v>647049.06</v>
      </c>
      <c r="AH66" s="30">
        <v>0</v>
      </c>
      <c r="AI66" s="30">
        <v>0</v>
      </c>
      <c r="AJ66" s="30">
        <v>15227643.680000003</v>
      </c>
      <c r="AK66" s="30">
        <v>5652.16</v>
      </c>
      <c r="AL66" s="30">
        <v>117.04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6883647.27</v>
      </c>
      <c r="AS66" s="30">
        <v>0</v>
      </c>
      <c r="AT66" s="30">
        <v>0</v>
      </c>
      <c r="AU66" s="30">
        <v>0</v>
      </c>
      <c r="AV66" s="319">
        <v>1764908.0799999998</v>
      </c>
      <c r="AW66" s="319">
        <v>0</v>
      </c>
      <c r="AX66" s="319">
        <v>0</v>
      </c>
      <c r="AY66" s="30">
        <v>1248529.0600000003</v>
      </c>
      <c r="AZ66" s="30">
        <v>0</v>
      </c>
      <c r="BA66" s="319">
        <v>415.7</v>
      </c>
      <c r="BB66" s="319">
        <v>0</v>
      </c>
      <c r="BC66" s="319">
        <v>96.64</v>
      </c>
      <c r="BD66" s="319">
        <v>0</v>
      </c>
      <c r="BE66" s="30">
        <v>16137732.950000003</v>
      </c>
      <c r="BF66" s="319">
        <v>433431.54</v>
      </c>
      <c r="BG66" s="319">
        <v>0</v>
      </c>
      <c r="BH66" s="319">
        <v>0</v>
      </c>
      <c r="BI66" s="319">
        <v>586.8</v>
      </c>
      <c r="BJ66" s="319">
        <v>0</v>
      </c>
      <c r="BK66" s="319">
        <v>30148159.01</v>
      </c>
      <c r="BL66" s="319">
        <v>5962028.6099999994</v>
      </c>
      <c r="BM66" s="319">
        <v>0</v>
      </c>
      <c r="BN66" s="319">
        <v>898182.5900000002</v>
      </c>
      <c r="BO66" s="319">
        <v>0</v>
      </c>
      <c r="BP66" s="319">
        <v>0</v>
      </c>
      <c r="BQ66" s="319">
        <v>0</v>
      </c>
      <c r="BR66" s="319">
        <v>0</v>
      </c>
      <c r="BS66" s="319">
        <v>0</v>
      </c>
      <c r="BT66" s="319">
        <v>0</v>
      </c>
      <c r="BU66" s="319">
        <v>0</v>
      </c>
      <c r="BV66" s="319">
        <v>0</v>
      </c>
      <c r="BW66" s="319">
        <v>0</v>
      </c>
      <c r="BX66" s="319">
        <v>0</v>
      </c>
      <c r="BY66" s="319">
        <v>287899.66000000003</v>
      </c>
      <c r="BZ66" s="319">
        <v>0</v>
      </c>
      <c r="CA66" s="319">
        <v>0</v>
      </c>
      <c r="CB66" s="319">
        <v>151171.32999999996</v>
      </c>
      <c r="CC66" s="319">
        <v>97985756.77</v>
      </c>
      <c r="CD66" s="29" t="s">
        <v>248</v>
      </c>
      <c r="CE66" s="32">
        <f t="shared" si="4"/>
        <v>200811748.6</v>
      </c>
    </row>
    <row r="67">
      <c r="A67" s="39" t="s">
        <v>16</v>
      </c>
      <c r="B67" s="20"/>
      <c r="C67" s="32">
        <f ref="C67:BN67" t="shared" si="7">ROUND(C51+C52,0)</f>
        <v>1626223</v>
      </c>
      <c r="D67" s="32">
        <f t="shared" si="7"/>
        <v>0</v>
      </c>
      <c r="E67" s="32">
        <f t="shared" si="7"/>
        <v>3577030</v>
      </c>
      <c r="F67" s="32">
        <f t="shared" si="7"/>
        <v>0</v>
      </c>
      <c r="G67" s="32">
        <f t="shared" si="7"/>
        <v>0</v>
      </c>
      <c r="H67" s="32">
        <f t="shared" si="7"/>
        <v>148606</v>
      </c>
      <c r="I67" s="32">
        <f t="shared" si="7"/>
        <v>0</v>
      </c>
      <c r="J67" s="32">
        <f t="shared" si="7"/>
        <v>1013977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1026039</v>
      </c>
      <c r="P67" s="32">
        <f t="shared" si="7"/>
        <v>5543850</v>
      </c>
      <c r="Q67" s="32">
        <f t="shared" si="7"/>
        <v>50791</v>
      </c>
      <c r="R67" s="32">
        <f t="shared" si="7"/>
        <v>0</v>
      </c>
      <c r="S67" s="32">
        <f t="shared" si="7"/>
        <v>370257</v>
      </c>
      <c r="T67" s="32">
        <f t="shared" si="7"/>
        <v>36038</v>
      </c>
      <c r="U67" s="32">
        <f t="shared" si="7"/>
        <v>757317</v>
      </c>
      <c r="V67" s="32">
        <f t="shared" si="7"/>
        <v>1092312</v>
      </c>
      <c r="W67" s="32">
        <f t="shared" si="7"/>
        <v>154532</v>
      </c>
      <c r="X67" s="32">
        <f t="shared" si="7"/>
        <v>412030</v>
      </c>
      <c r="Y67" s="32">
        <f t="shared" si="7"/>
        <v>1314242</v>
      </c>
      <c r="Z67" s="32">
        <f t="shared" si="7"/>
        <v>0</v>
      </c>
      <c r="AA67" s="32">
        <f t="shared" si="7"/>
        <v>112435</v>
      </c>
      <c r="AB67" s="32">
        <f t="shared" si="7"/>
        <v>805835</v>
      </c>
      <c r="AC67" s="32">
        <f t="shared" si="7"/>
        <v>242753</v>
      </c>
      <c r="AD67" s="32">
        <f t="shared" si="7"/>
        <v>262283</v>
      </c>
      <c r="AE67" s="32">
        <f t="shared" si="7"/>
        <v>257724</v>
      </c>
      <c r="AF67" s="32">
        <f t="shared" si="7"/>
        <v>0</v>
      </c>
      <c r="AG67" s="32">
        <f t="shared" si="7"/>
        <v>898079</v>
      </c>
      <c r="AH67" s="32">
        <f t="shared" si="7"/>
        <v>0</v>
      </c>
      <c r="AI67" s="32">
        <f t="shared" si="7"/>
        <v>0</v>
      </c>
      <c r="AJ67" s="32">
        <f t="shared" si="7"/>
        <v>5612892</v>
      </c>
      <c r="AK67" s="32">
        <f t="shared" si="7"/>
        <v>127858</v>
      </c>
      <c r="AL67" s="32">
        <f t="shared" si="7"/>
        <v>90777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38149</v>
      </c>
      <c r="AQ67" s="32">
        <f t="shared" si="7"/>
        <v>0</v>
      </c>
      <c r="AR67" s="32">
        <f t="shared" si="7"/>
        <v>1195455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70425</v>
      </c>
      <c r="AW67" s="32">
        <f t="shared" si="7"/>
        <v>0</v>
      </c>
      <c r="AX67" s="32">
        <f t="shared" si="7"/>
        <v>0</v>
      </c>
      <c r="AY67" s="32">
        <f t="shared" si="7"/>
        <v>239295</v>
      </c>
      <c r="AZ67" s="32">
        <f t="shared" si="7"/>
        <v>404169</v>
      </c>
      <c r="BA67" s="32">
        <f t="shared" si="7"/>
        <v>90096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6220784</v>
      </c>
      <c r="BF67" s="32">
        <f t="shared" si="7"/>
        <v>76971</v>
      </c>
      <c r="BG67" s="32">
        <f t="shared" si="7"/>
        <v>0</v>
      </c>
      <c r="BH67" s="32">
        <f t="shared" si="7"/>
        <v>0</v>
      </c>
      <c r="BI67" s="32">
        <f t="shared" si="7"/>
        <v>28370</v>
      </c>
      <c r="BJ67" s="32">
        <f t="shared" si="7"/>
        <v>0</v>
      </c>
      <c r="BK67" s="32">
        <f t="shared" si="7"/>
        <v>0</v>
      </c>
      <c r="BL67" s="32">
        <f t="shared" si="7"/>
        <v>241</v>
      </c>
      <c r="BM67" s="32">
        <f t="shared" si="7"/>
        <v>0</v>
      </c>
      <c r="BN67" s="32">
        <f t="shared" si="7"/>
        <v>3538430</v>
      </c>
      <c r="BO67" s="32">
        <f ref="BO67:CC67" t="shared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354569</v>
      </c>
      <c r="BS67" s="32">
        <f t="shared" si="8"/>
        <v>0</v>
      </c>
      <c r="BT67" s="32">
        <f t="shared" si="8"/>
        <v>32587</v>
      </c>
      <c r="BU67" s="32">
        <f t="shared" si="8"/>
        <v>0</v>
      </c>
      <c r="BV67" s="32">
        <f t="shared" si="8"/>
        <v>200721</v>
      </c>
      <c r="BW67" s="32">
        <f t="shared" si="8"/>
        <v>0</v>
      </c>
      <c r="BX67" s="32">
        <f t="shared" si="8"/>
        <v>0</v>
      </c>
      <c r="BY67" s="32">
        <f t="shared" si="8"/>
        <v>24285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1421009</v>
      </c>
      <c r="CD67" s="29" t="s">
        <v>248</v>
      </c>
      <c r="CE67" s="32">
        <f t="shared" si="4"/>
        <v>39469436</v>
      </c>
    </row>
    <row r="68">
      <c r="A68" s="39" t="s">
        <v>268</v>
      </c>
      <c r="B68" s="32"/>
      <c r="C68" s="24">
        <v>23664</v>
      </c>
      <c r="D68" s="24">
        <v>0</v>
      </c>
      <c r="E68" s="24">
        <v>56100.280000000006</v>
      </c>
      <c r="F68" s="24">
        <v>0</v>
      </c>
      <c r="G68" s="24">
        <v>0</v>
      </c>
      <c r="H68" s="24">
        <v>0</v>
      </c>
      <c r="I68" s="24">
        <v>0</v>
      </c>
      <c r="J68" s="24">
        <v>8511.14</v>
      </c>
      <c r="K68" s="24">
        <v>0</v>
      </c>
      <c r="L68" s="24">
        <v>0</v>
      </c>
      <c r="M68" s="24">
        <v>0</v>
      </c>
      <c r="N68" s="24">
        <v>0</v>
      </c>
      <c r="O68" s="24">
        <v>197596.6</v>
      </c>
      <c r="P68" s="30">
        <v>1199667.19</v>
      </c>
      <c r="Q68" s="30">
        <v>2611.96</v>
      </c>
      <c r="R68" s="30">
        <v>0</v>
      </c>
      <c r="S68" s="319">
        <v>168676.83</v>
      </c>
      <c r="T68" s="319">
        <v>586.1</v>
      </c>
      <c r="U68" s="31">
        <v>343768.45</v>
      </c>
      <c r="V68" s="30">
        <v>2267.2</v>
      </c>
      <c r="W68" s="30">
        <v>3151.09</v>
      </c>
      <c r="X68" s="30">
        <v>285</v>
      </c>
      <c r="Y68" s="30">
        <v>20208.05</v>
      </c>
      <c r="Z68" s="30">
        <v>0</v>
      </c>
      <c r="AA68" s="30">
        <v>275.43</v>
      </c>
      <c r="AB68" s="320">
        <v>179252.91</v>
      </c>
      <c r="AC68" s="30">
        <v>30626.56</v>
      </c>
      <c r="AD68" s="30">
        <v>2504.98</v>
      </c>
      <c r="AE68" s="30">
        <v>191453.21</v>
      </c>
      <c r="AF68" s="30">
        <v>0</v>
      </c>
      <c r="AG68" s="30">
        <v>25908.19</v>
      </c>
      <c r="AH68" s="30">
        <v>0</v>
      </c>
      <c r="AI68" s="30">
        <v>0</v>
      </c>
      <c r="AJ68" s="30">
        <v>9126914.23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944640.82000000007</v>
      </c>
      <c r="AS68" s="30">
        <v>0</v>
      </c>
      <c r="AT68" s="30">
        <v>0</v>
      </c>
      <c r="AU68" s="30">
        <v>0</v>
      </c>
      <c r="AV68" s="319">
        <v>1512129.42</v>
      </c>
      <c r="AW68" s="319">
        <v>0</v>
      </c>
      <c r="AX68" s="319">
        <v>0</v>
      </c>
      <c r="AY68" s="30">
        <v>69682.76999999999</v>
      </c>
      <c r="AZ68" s="30">
        <v>0</v>
      </c>
      <c r="BA68" s="319">
        <v>0</v>
      </c>
      <c r="BB68" s="319">
        <v>0</v>
      </c>
      <c r="BC68" s="319">
        <v>3.51</v>
      </c>
      <c r="BD68" s="319">
        <v>1458890.67</v>
      </c>
      <c r="BE68" s="30">
        <v>2378357.96</v>
      </c>
      <c r="BF68" s="319">
        <v>3682.99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18692.19</v>
      </c>
      <c r="BM68" s="319">
        <v>0</v>
      </c>
      <c r="BN68" s="319">
        <v>58427.53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3446.45</v>
      </c>
      <c r="BZ68" s="319">
        <v>0</v>
      </c>
      <c r="CA68" s="319">
        <v>0</v>
      </c>
      <c r="CB68" s="319">
        <v>0</v>
      </c>
      <c r="CC68" s="319">
        <v>157041.75000000012</v>
      </c>
      <c r="CD68" s="29" t="s">
        <v>248</v>
      </c>
      <c r="CE68" s="32">
        <f t="shared" si="4"/>
        <v>18189025.46</v>
      </c>
    </row>
    <row r="69">
      <c r="A69" s="39" t="s">
        <v>269</v>
      </c>
      <c r="B69" s="20"/>
      <c r="C69" s="32">
        <f ref="C69:BN69" t="shared" si="9">SUM(C70:C83)</f>
        <v>39727.04</v>
      </c>
      <c r="D69" s="32">
        <f t="shared" si="9"/>
        <v>0</v>
      </c>
      <c r="E69" s="32">
        <f t="shared" si="9"/>
        <v>126650.26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46207.55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55225.409999999989</v>
      </c>
      <c r="P69" s="32">
        <f t="shared" si="9"/>
        <v>335959.55</v>
      </c>
      <c r="Q69" s="32">
        <f t="shared" si="9"/>
        <v>18898.68</v>
      </c>
      <c r="R69" s="32">
        <f t="shared" si="9"/>
        <v>0</v>
      </c>
      <c r="S69" s="32">
        <f t="shared" si="9"/>
        <v>324160.12</v>
      </c>
      <c r="T69" s="32">
        <f t="shared" si="9"/>
        <v>7342.26</v>
      </c>
      <c r="U69" s="32">
        <f t="shared" si="9"/>
        <v>9959.3800000000047</v>
      </c>
      <c r="V69" s="32">
        <f t="shared" si="9"/>
        <v>10638.86</v>
      </c>
      <c r="W69" s="32">
        <f t="shared" si="9"/>
        <v>554.12</v>
      </c>
      <c r="X69" s="32">
        <f t="shared" si="9"/>
        <v>2814.2</v>
      </c>
      <c r="Y69" s="32">
        <f t="shared" si="9"/>
        <v>59390.89</v>
      </c>
      <c r="Z69" s="32">
        <f t="shared" si="9"/>
        <v>0</v>
      </c>
      <c r="AA69" s="32">
        <f t="shared" si="9"/>
        <v>17352.44</v>
      </c>
      <c r="AB69" s="32">
        <f t="shared" si="9"/>
        <v>3063459.9999999995</v>
      </c>
      <c r="AC69" s="32">
        <f t="shared" si="9"/>
        <v>22833.32</v>
      </c>
      <c r="AD69" s="32">
        <f t="shared" si="9"/>
        <v>0</v>
      </c>
      <c r="AE69" s="32">
        <f t="shared" si="9"/>
        <v>18483.94</v>
      </c>
      <c r="AF69" s="32">
        <f t="shared" si="9"/>
        <v>0</v>
      </c>
      <c r="AG69" s="32">
        <f t="shared" si="9"/>
        <v>45121.549999999996</v>
      </c>
      <c r="AH69" s="32">
        <f t="shared" si="9"/>
        <v>0</v>
      </c>
      <c r="AI69" s="32">
        <f t="shared" si="9"/>
        <v>0</v>
      </c>
      <c r="AJ69" s="32">
        <f t="shared" si="9"/>
        <v>111463.17999999924</v>
      </c>
      <c r="AK69" s="32">
        <f t="shared" si="9"/>
        <v>5597.29</v>
      </c>
      <c r="AL69" s="32">
        <f t="shared" si="9"/>
        <v>5723.54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883454.64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704769.1</v>
      </c>
      <c r="AW69" s="32">
        <f t="shared" si="9"/>
        <v>0</v>
      </c>
      <c r="AX69" s="32">
        <f t="shared" si="9"/>
        <v>0</v>
      </c>
      <c r="AY69" s="32">
        <f t="shared" si="9"/>
        <v>11436.830000000002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46.97</v>
      </c>
      <c r="BD69" s="32">
        <f t="shared" si="9"/>
        <v>0</v>
      </c>
      <c r="BE69" s="32">
        <f t="shared" si="9"/>
        <v>179673.97999999998</v>
      </c>
      <c r="BF69" s="32">
        <f t="shared" si="9"/>
        <v>2232.52</v>
      </c>
      <c r="BG69" s="32">
        <f t="shared" si="9"/>
        <v>0</v>
      </c>
      <c r="BH69" s="32">
        <f t="shared" si="9"/>
        <v>0</v>
      </c>
      <c r="BI69" s="32">
        <f t="shared" si="9"/>
        <v>-17.069999999999993</v>
      </c>
      <c r="BJ69" s="32">
        <f t="shared" si="9"/>
        <v>0</v>
      </c>
      <c r="BK69" s="32">
        <f t="shared" si="9"/>
        <v>126192</v>
      </c>
      <c r="BL69" s="32">
        <f t="shared" si="9"/>
        <v>4622.13</v>
      </c>
      <c r="BM69" s="32">
        <f t="shared" si="9"/>
        <v>0</v>
      </c>
      <c r="BN69" s="32">
        <f t="shared" si="9"/>
        <v>379834.83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336608.3</v>
      </c>
      <c r="BS69" s="32">
        <f t="shared" si="10"/>
        <v>0</v>
      </c>
      <c r="BT69" s="32">
        <f t="shared" si="10"/>
        <v>7870.69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8126.81</v>
      </c>
      <c r="BZ69" s="32">
        <f t="shared" si="10"/>
        <v>176</v>
      </c>
      <c r="CA69" s="32">
        <f t="shared" si="10"/>
        <v>2997.21</v>
      </c>
      <c r="CB69" s="32">
        <f t="shared" si="10"/>
        <v>0</v>
      </c>
      <c r="CC69" s="32">
        <f t="shared" si="10"/>
        <v>761577.700000003</v>
      </c>
      <c r="CD69" s="32">
        <f t="shared" si="10"/>
        <v>34520090.22</v>
      </c>
      <c r="CE69" s="32">
        <f>SUM(CE70:CE84)</f>
        <v>63763314.84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39727.04</v>
      </c>
      <c r="D83" s="24">
        <v>0</v>
      </c>
      <c r="E83" s="30">
        <v>126650.26</v>
      </c>
      <c r="F83" s="30">
        <v>0</v>
      </c>
      <c r="G83" s="24">
        <v>0</v>
      </c>
      <c r="H83" s="24">
        <v>0</v>
      </c>
      <c r="I83" s="30">
        <v>0</v>
      </c>
      <c r="J83" s="30">
        <v>46207.55</v>
      </c>
      <c r="K83" s="30">
        <v>0</v>
      </c>
      <c r="L83" s="30">
        <v>0</v>
      </c>
      <c r="M83" s="24">
        <v>0</v>
      </c>
      <c r="N83" s="24">
        <v>0</v>
      </c>
      <c r="O83" s="24">
        <v>55225.409999999989</v>
      </c>
      <c r="P83" s="30">
        <v>335959.55</v>
      </c>
      <c r="Q83" s="30">
        <v>18898.68</v>
      </c>
      <c r="R83" s="31">
        <v>0</v>
      </c>
      <c r="S83" s="30">
        <v>324160.12</v>
      </c>
      <c r="T83" s="24">
        <v>7342.26</v>
      </c>
      <c r="U83" s="30">
        <v>9959.3800000000047</v>
      </c>
      <c r="V83" s="30">
        <v>10638.86</v>
      </c>
      <c r="W83" s="24">
        <v>554.12</v>
      </c>
      <c r="X83" s="30">
        <v>2814.2</v>
      </c>
      <c r="Y83" s="30">
        <v>59390.89</v>
      </c>
      <c r="Z83" s="30">
        <v>0</v>
      </c>
      <c r="AA83" s="30">
        <v>17352.44</v>
      </c>
      <c r="AB83" s="30">
        <v>3063459.9999999995</v>
      </c>
      <c r="AC83" s="30">
        <v>22833.32</v>
      </c>
      <c r="AD83" s="30">
        <v>0</v>
      </c>
      <c r="AE83" s="30">
        <v>18483.94</v>
      </c>
      <c r="AF83" s="30">
        <v>0</v>
      </c>
      <c r="AG83" s="30">
        <v>45121.549999999996</v>
      </c>
      <c r="AH83" s="30">
        <v>0</v>
      </c>
      <c r="AI83" s="30">
        <v>0</v>
      </c>
      <c r="AJ83" s="30">
        <v>111463.17999999924</v>
      </c>
      <c r="AK83" s="30">
        <v>5597.29</v>
      </c>
      <c r="AL83" s="30">
        <v>5723.54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883454.64</v>
      </c>
      <c r="AS83" s="24">
        <v>0</v>
      </c>
      <c r="AT83" s="24">
        <v>0</v>
      </c>
      <c r="AU83" s="30">
        <v>0</v>
      </c>
      <c r="AV83" s="30">
        <v>704769.1</v>
      </c>
      <c r="AW83" s="30">
        <v>0</v>
      </c>
      <c r="AX83" s="30">
        <v>0</v>
      </c>
      <c r="AY83" s="30">
        <v>11436.830000000002</v>
      </c>
      <c r="AZ83" s="30">
        <v>0</v>
      </c>
      <c r="BA83" s="30">
        <v>0</v>
      </c>
      <c r="BB83" s="30">
        <v>0</v>
      </c>
      <c r="BC83" s="30">
        <v>46.97</v>
      </c>
      <c r="BD83" s="30">
        <v>0</v>
      </c>
      <c r="BE83" s="30">
        <v>179673.97999999998</v>
      </c>
      <c r="BF83" s="30">
        <v>2232.52</v>
      </c>
      <c r="BG83" s="30">
        <v>0</v>
      </c>
      <c r="BH83" s="31">
        <v>0</v>
      </c>
      <c r="BI83" s="30">
        <v>-17.069999999999993</v>
      </c>
      <c r="BJ83" s="30">
        <v>0</v>
      </c>
      <c r="BK83" s="30">
        <v>126192</v>
      </c>
      <c r="BL83" s="30">
        <v>4622.13</v>
      </c>
      <c r="BM83" s="30">
        <v>0</v>
      </c>
      <c r="BN83" s="30">
        <v>379834.83</v>
      </c>
      <c r="BO83" s="30">
        <v>0</v>
      </c>
      <c r="BP83" s="30">
        <v>0</v>
      </c>
      <c r="BQ83" s="30">
        <v>0</v>
      </c>
      <c r="BR83" s="30">
        <v>336608.3</v>
      </c>
      <c r="BS83" s="30">
        <v>0</v>
      </c>
      <c r="BT83" s="30">
        <v>7870.69</v>
      </c>
      <c r="BU83" s="30">
        <v>0</v>
      </c>
      <c r="BV83" s="30">
        <v>0</v>
      </c>
      <c r="BW83" s="30">
        <v>0</v>
      </c>
      <c r="BX83" s="30">
        <v>0</v>
      </c>
      <c r="BY83" s="30">
        <v>8126.81</v>
      </c>
      <c r="BZ83" s="30">
        <v>176</v>
      </c>
      <c r="CA83" s="30">
        <v>2997.21</v>
      </c>
      <c r="CB83" s="30">
        <v>0</v>
      </c>
      <c r="CC83" s="30">
        <v>761577.700000003</v>
      </c>
      <c r="CD83" s="35">
        <v>34520090.22</v>
      </c>
      <c r="CE83" s="32">
        <f t="shared" si="11"/>
        <v>42257256.44</v>
      </c>
    </row>
    <row r="84">
      <c r="A84" s="39" t="s">
        <v>284</v>
      </c>
      <c r="B84" s="20"/>
      <c r="C84" s="24">
        <v>38000</v>
      </c>
      <c r="D84" s="24">
        <v>0</v>
      </c>
      <c r="E84" s="24">
        <v>32050.010000000002</v>
      </c>
      <c r="F84" s="24">
        <v>0</v>
      </c>
      <c r="G84" s="24">
        <v>0</v>
      </c>
      <c r="H84" s="24">
        <v>0</v>
      </c>
      <c r="I84" s="24">
        <v>0</v>
      </c>
      <c r="J84" s="24">
        <v>7016.5</v>
      </c>
      <c r="K84" s="24">
        <v>0</v>
      </c>
      <c r="L84" s="24">
        <v>0</v>
      </c>
      <c r="M84" s="24">
        <v>0</v>
      </c>
      <c r="N84" s="24">
        <v>0</v>
      </c>
      <c r="O84" s="24">
        <v>31384.760000000002</v>
      </c>
      <c r="P84" s="24">
        <v>982370</v>
      </c>
      <c r="Q84" s="24">
        <v>0</v>
      </c>
      <c r="R84" s="24">
        <v>0</v>
      </c>
      <c r="S84" s="24">
        <v>0</v>
      </c>
      <c r="T84" s="24">
        <v>0</v>
      </c>
      <c r="U84" s="24">
        <v>1415496.8800000001</v>
      </c>
      <c r="V84" s="24">
        <v>13049.69</v>
      </c>
      <c r="W84" s="24">
        <v>0</v>
      </c>
      <c r="X84" s="24">
        <v>0</v>
      </c>
      <c r="Y84" s="24">
        <v>19322.42</v>
      </c>
      <c r="Z84" s="24">
        <v>0</v>
      </c>
      <c r="AA84" s="24">
        <v>0</v>
      </c>
      <c r="AB84" s="24">
        <v>5512026.86</v>
      </c>
      <c r="AC84" s="24">
        <v>0</v>
      </c>
      <c r="AD84" s="24">
        <v>397328.8</v>
      </c>
      <c r="AE84" s="24">
        <v>3910</v>
      </c>
      <c r="AF84" s="24">
        <v>0</v>
      </c>
      <c r="AG84" s="24">
        <v>9000</v>
      </c>
      <c r="AH84" s="24">
        <v>0</v>
      </c>
      <c r="AI84" s="24">
        <v>0</v>
      </c>
      <c r="AJ84" s="24">
        <v>6676565.06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514566.35000000003</v>
      </c>
      <c r="AQ84" s="24">
        <v>0</v>
      </c>
      <c r="AR84" s="24">
        <v>41084.22</v>
      </c>
      <c r="AS84" s="24">
        <v>0</v>
      </c>
      <c r="AT84" s="24">
        <v>0</v>
      </c>
      <c r="AU84" s="24">
        <v>0</v>
      </c>
      <c r="AV84" s="24">
        <v>5953130.34</v>
      </c>
      <c r="AW84" s="24">
        <v>0</v>
      </c>
      <c r="AX84" s="24">
        <v>0</v>
      </c>
      <c r="AY84" s="24">
        <v>2023114.3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148.21</v>
      </c>
      <c r="BF84" s="24">
        <v>0</v>
      </c>
      <c r="BG84" s="24">
        <v>0</v>
      </c>
      <c r="BH84" s="24">
        <v>0</v>
      </c>
      <c r="BI84" s="24">
        <v>240721.35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3600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35">
        <v>-2407827.35</v>
      </c>
      <c r="CE84" s="32">
        <f t="shared" si="11"/>
        <v>21506058.400000002</v>
      </c>
    </row>
    <row r="85">
      <c r="A85" s="39" t="s">
        <v>285</v>
      </c>
      <c r="B85" s="32"/>
      <c r="C85" s="32">
        <f>SUM(C61:C69)-C84</f>
        <v>43996694.209999993</v>
      </c>
      <c r="D85" s="32">
        <f ref="D85:BO85" t="shared" si="12">SUM(D61:D69)-D84</f>
        <v>0</v>
      </c>
      <c r="E85" s="32">
        <f t="shared" si="12"/>
        <v>88301082.49000001</v>
      </c>
      <c r="F85" s="32">
        <f t="shared" si="12"/>
        <v>0</v>
      </c>
      <c r="G85" s="32">
        <f t="shared" si="12"/>
        <v>0</v>
      </c>
      <c r="H85" s="32">
        <f t="shared" si="12"/>
        <v>148981.11</v>
      </c>
      <c r="I85" s="32">
        <f t="shared" si="12"/>
        <v>0</v>
      </c>
      <c r="J85" s="32">
        <f t="shared" si="12"/>
        <v>14503042.99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27452223.15</v>
      </c>
      <c r="P85" s="32">
        <f t="shared" si="12"/>
        <v>96329866.87</v>
      </c>
      <c r="Q85" s="32">
        <f t="shared" si="12"/>
        <v>2721730.95</v>
      </c>
      <c r="R85" s="32">
        <f t="shared" si="12"/>
        <v>0</v>
      </c>
      <c r="S85" s="32">
        <f t="shared" si="12"/>
        <v>5718722.4</v>
      </c>
      <c r="T85" s="32">
        <f t="shared" si="12"/>
        <v>3357473.3299999996</v>
      </c>
      <c r="U85" s="32">
        <f t="shared" si="12"/>
        <v>30026465.8</v>
      </c>
      <c r="V85" s="32">
        <f t="shared" si="12"/>
        <v>26222982.009999998</v>
      </c>
      <c r="W85" s="32">
        <f t="shared" si="12"/>
        <v>1607087.6100000006</v>
      </c>
      <c r="X85" s="32">
        <f t="shared" si="12"/>
        <v>2658722.0900000003</v>
      </c>
      <c r="Y85" s="32">
        <f t="shared" si="12"/>
        <v>14669955.970000004</v>
      </c>
      <c r="Z85" s="32">
        <f t="shared" si="12"/>
        <v>0</v>
      </c>
      <c r="AA85" s="32">
        <f t="shared" si="12"/>
        <v>1465157.2</v>
      </c>
      <c r="AB85" s="32">
        <f t="shared" si="12"/>
        <v>28254514.929999992</v>
      </c>
      <c r="AC85" s="32">
        <f t="shared" si="12"/>
        <v>7476423.1800000006</v>
      </c>
      <c r="AD85" s="32">
        <f t="shared" si="12"/>
        <v>2982341.5999999996</v>
      </c>
      <c r="AE85" s="32">
        <f t="shared" si="12"/>
        <v>7041450.2800000012</v>
      </c>
      <c r="AF85" s="32">
        <f t="shared" si="12"/>
        <v>0</v>
      </c>
      <c r="AG85" s="32">
        <f t="shared" si="12"/>
        <v>20375972.87</v>
      </c>
      <c r="AH85" s="32">
        <f t="shared" si="12"/>
        <v>0</v>
      </c>
      <c r="AI85" s="32">
        <f t="shared" si="12"/>
        <v>0</v>
      </c>
      <c r="AJ85" s="32">
        <f t="shared" si="12"/>
        <v>158337363.50999996</v>
      </c>
      <c r="AK85" s="32">
        <f t="shared" si="12"/>
        <v>2313403.6500000004</v>
      </c>
      <c r="AL85" s="32">
        <f t="shared" si="12"/>
        <v>844310.62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-471122.37000000005</v>
      </c>
      <c r="AQ85" s="32">
        <f t="shared" si="12"/>
        <v>0</v>
      </c>
      <c r="AR85" s="32">
        <f t="shared" si="12"/>
        <v>41317793.089999996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5412210.3599999975</v>
      </c>
      <c r="AW85" s="32">
        <f t="shared" si="12"/>
        <v>0</v>
      </c>
      <c r="AX85" s="32">
        <f t="shared" si="12"/>
        <v>0</v>
      </c>
      <c r="AY85" s="32">
        <f t="shared" si="12"/>
        <v>8216225.03</v>
      </c>
      <c r="AZ85" s="32">
        <f t="shared" si="12"/>
        <v>404169</v>
      </c>
      <c r="BA85" s="32">
        <f t="shared" si="12"/>
        <v>342814.57</v>
      </c>
      <c r="BB85" s="32">
        <f t="shared" si="12"/>
        <v>0</v>
      </c>
      <c r="BC85" s="32">
        <f t="shared" si="12"/>
        <v>652731.11</v>
      </c>
      <c r="BD85" s="32">
        <f t="shared" si="12"/>
        <v>1600723.47</v>
      </c>
      <c r="BE85" s="32">
        <f t="shared" si="12"/>
        <v>30125939.800000004</v>
      </c>
      <c r="BF85" s="32">
        <f t="shared" si="12"/>
        <v>6554301.9900000012</v>
      </c>
      <c r="BG85" s="32">
        <f t="shared" si="12"/>
        <v>0</v>
      </c>
      <c r="BH85" s="32">
        <f t="shared" si="12"/>
        <v>0</v>
      </c>
      <c r="BI85" s="32">
        <f t="shared" si="12"/>
        <v>-114419.47</v>
      </c>
      <c r="BJ85" s="32">
        <f t="shared" si="12"/>
        <v>0</v>
      </c>
      <c r="BK85" s="32">
        <f t="shared" si="12"/>
        <v>30274351.01</v>
      </c>
      <c r="BL85" s="32">
        <f t="shared" si="12"/>
        <v>6074817.29</v>
      </c>
      <c r="BM85" s="32">
        <f t="shared" si="12"/>
        <v>0</v>
      </c>
      <c r="BN85" s="32">
        <f t="shared" si="12"/>
        <v>6481926.8400000008</v>
      </c>
      <c r="BO85" s="32">
        <f t="shared" si="12"/>
        <v>0</v>
      </c>
      <c r="BP85" s="32">
        <f ref="BP85:CD85" t="shared" si="13">SUM(BP61:BP69)-BP84</f>
        <v>0</v>
      </c>
      <c r="BQ85" s="32">
        <f t="shared" si="13"/>
        <v>0</v>
      </c>
      <c r="BR85" s="32">
        <f t="shared" si="13"/>
        <v>695661.22</v>
      </c>
      <c r="BS85" s="32">
        <f t="shared" si="13"/>
        <v>0</v>
      </c>
      <c r="BT85" s="32">
        <f t="shared" si="13"/>
        <v>238050.91</v>
      </c>
      <c r="BU85" s="32">
        <f t="shared" si="13"/>
        <v>0</v>
      </c>
      <c r="BV85" s="32">
        <f t="shared" si="13"/>
        <v>200721</v>
      </c>
      <c r="BW85" s="32">
        <f t="shared" si="13"/>
        <v>0</v>
      </c>
      <c r="BX85" s="32">
        <f t="shared" si="13"/>
        <v>0</v>
      </c>
      <c r="BY85" s="32">
        <f t="shared" si="13"/>
        <v>5836540.12</v>
      </c>
      <c r="BZ85" s="32">
        <f t="shared" si="13"/>
        <v>1251193.7799999998</v>
      </c>
      <c r="CA85" s="32">
        <f t="shared" si="13"/>
        <v>982365.71999999986</v>
      </c>
      <c r="CB85" s="32">
        <f t="shared" si="13"/>
        <v>151171.32999999996</v>
      </c>
      <c r="CC85" s="32">
        <f t="shared" si="13"/>
        <v>110687076.92</v>
      </c>
      <c r="CD85" s="32">
        <f t="shared" si="13"/>
        <v>36927917.57</v>
      </c>
      <c r="CE85" s="32">
        <f t="shared" si="11"/>
        <v>880649129.11000013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142282237.89</v>
      </c>
      <c r="D87" s="24">
        <v>0</v>
      </c>
      <c r="E87" s="24">
        <v>354196579.26</v>
      </c>
      <c r="F87" s="24">
        <v>0</v>
      </c>
      <c r="G87" s="24">
        <v>0</v>
      </c>
      <c r="H87" s="24">
        <v>0</v>
      </c>
      <c r="I87" s="24">
        <v>0</v>
      </c>
      <c r="J87" s="24">
        <v>75979898.4</v>
      </c>
      <c r="K87" s="24">
        <v>0</v>
      </c>
      <c r="L87" s="24">
        <v>0</v>
      </c>
      <c r="M87" s="24">
        <v>0</v>
      </c>
      <c r="N87" s="24">
        <v>0</v>
      </c>
      <c r="O87" s="24">
        <v>171427979.75</v>
      </c>
      <c r="P87" s="24">
        <v>539696444.06999993</v>
      </c>
      <c r="Q87" s="24">
        <v>14864405.089999998</v>
      </c>
      <c r="R87" s="24">
        <v>0</v>
      </c>
      <c r="S87" s="24">
        <v>0</v>
      </c>
      <c r="T87" s="24">
        <v>17900599.509999998</v>
      </c>
      <c r="U87" s="24">
        <v>124220010.38000003</v>
      </c>
      <c r="V87" s="24">
        <v>88501134.629999965</v>
      </c>
      <c r="W87" s="24">
        <v>17520900.77</v>
      </c>
      <c r="X87" s="24">
        <v>98338732.910000011</v>
      </c>
      <c r="Y87" s="24">
        <v>64872642.329999991</v>
      </c>
      <c r="Z87" s="24">
        <v>0</v>
      </c>
      <c r="AA87" s="24">
        <v>3342610.5</v>
      </c>
      <c r="AB87" s="24">
        <v>311135486.39</v>
      </c>
      <c r="AC87" s="24">
        <v>79137548.23</v>
      </c>
      <c r="AD87" s="24">
        <v>11115169.989999998</v>
      </c>
      <c r="AE87" s="24">
        <v>11343433.829999998</v>
      </c>
      <c r="AF87" s="24">
        <v>0</v>
      </c>
      <c r="AG87" s="24">
        <v>77714774.45</v>
      </c>
      <c r="AH87" s="24">
        <v>0</v>
      </c>
      <c r="AI87" s="24">
        <v>0</v>
      </c>
      <c r="AJ87" s="24">
        <v>121851.31000000003</v>
      </c>
      <c r="AK87" s="24">
        <v>9632326.9699999988</v>
      </c>
      <c r="AL87" s="24">
        <v>3570784.83</v>
      </c>
      <c r="AM87" s="24">
        <v>0</v>
      </c>
      <c r="AN87" s="24">
        <v>0</v>
      </c>
      <c r="AO87" s="24">
        <v>0</v>
      </c>
      <c r="AP87" s="24">
        <v>71297.44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1965534.2300000005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2218952383.1599994</v>
      </c>
    </row>
    <row r="88">
      <c r="A88" s="26" t="s">
        <v>288</v>
      </c>
      <c r="B88" s="20"/>
      <c r="C88" s="24">
        <v>680958.85999999987</v>
      </c>
      <c r="D88" s="24">
        <v>0</v>
      </c>
      <c r="E88" s="24">
        <v>13862894.87</v>
      </c>
      <c r="F88" s="24">
        <v>0</v>
      </c>
      <c r="G88" s="24">
        <v>0</v>
      </c>
      <c r="H88" s="24">
        <v>379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11277102.629999999</v>
      </c>
      <c r="P88" s="24">
        <v>496201562.2099998</v>
      </c>
      <c r="Q88" s="24">
        <v>10406983.059999999</v>
      </c>
      <c r="R88" s="24">
        <v>0</v>
      </c>
      <c r="S88" s="24">
        <v>0</v>
      </c>
      <c r="T88" s="24">
        <v>1396852.6300000001</v>
      </c>
      <c r="U88" s="24">
        <v>38689222.300000004</v>
      </c>
      <c r="V88" s="24">
        <v>143519928.35999996</v>
      </c>
      <c r="W88" s="24">
        <v>27870485.45</v>
      </c>
      <c r="X88" s="24">
        <v>105753658.54</v>
      </c>
      <c r="Y88" s="24">
        <v>42552986.29999999</v>
      </c>
      <c r="Z88" s="24">
        <v>0</v>
      </c>
      <c r="AA88" s="24">
        <v>14966758.57</v>
      </c>
      <c r="AB88" s="24">
        <v>125462754.98</v>
      </c>
      <c r="AC88" s="24">
        <v>7210254.3400000008</v>
      </c>
      <c r="AD88" s="24">
        <v>229200.63000000003</v>
      </c>
      <c r="AE88" s="24">
        <v>18865590.220000003</v>
      </c>
      <c r="AF88" s="24">
        <v>0</v>
      </c>
      <c r="AG88" s="24">
        <v>121389967.69</v>
      </c>
      <c r="AH88" s="24">
        <v>0</v>
      </c>
      <c r="AI88" s="24">
        <v>0</v>
      </c>
      <c r="AJ88" s="24">
        <v>266790696.16</v>
      </c>
      <c r="AK88" s="24">
        <v>4822832.2</v>
      </c>
      <c r="AL88" s="24">
        <v>674094.20000000007</v>
      </c>
      <c r="AM88" s="24">
        <v>0</v>
      </c>
      <c r="AN88" s="24">
        <v>0</v>
      </c>
      <c r="AO88" s="24">
        <v>0</v>
      </c>
      <c r="AP88" s="24">
        <v>9031316.8499999978</v>
      </c>
      <c r="AQ88" s="24">
        <v>0</v>
      </c>
      <c r="AR88" s="24">
        <v>38983513.879999995</v>
      </c>
      <c r="AS88" s="24">
        <v>0</v>
      </c>
      <c r="AT88" s="24">
        <v>0</v>
      </c>
      <c r="AU88" s="24">
        <v>0</v>
      </c>
      <c r="AV88" s="24">
        <v>1797881.13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1502437875.06</v>
      </c>
    </row>
    <row r="89">
      <c r="A89" s="26" t="s">
        <v>289</v>
      </c>
      <c r="B89" s="20"/>
      <c r="C89" s="32">
        <f>C87+C88</f>
        <v>142963196.75</v>
      </c>
      <c r="D89" s="32">
        <f ref="D89:AV89" t="shared" si="15">D87+D88</f>
        <v>0</v>
      </c>
      <c r="E89" s="32">
        <f t="shared" si="15"/>
        <v>368059474.13</v>
      </c>
      <c r="F89" s="32">
        <f t="shared" si="15"/>
        <v>0</v>
      </c>
      <c r="G89" s="32">
        <f t="shared" si="15"/>
        <v>0</v>
      </c>
      <c r="H89" s="32">
        <f t="shared" si="15"/>
        <v>379</v>
      </c>
      <c r="I89" s="32">
        <f t="shared" si="15"/>
        <v>0</v>
      </c>
      <c r="J89" s="32">
        <f t="shared" si="15"/>
        <v>75979898.4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182705082.38</v>
      </c>
      <c r="P89" s="32">
        <f t="shared" si="15"/>
        <v>1035898006.2799997</v>
      </c>
      <c r="Q89" s="32">
        <f t="shared" si="15"/>
        <v>25271388.15</v>
      </c>
      <c r="R89" s="32">
        <f t="shared" si="15"/>
        <v>0</v>
      </c>
      <c r="S89" s="32">
        <f t="shared" si="15"/>
        <v>0</v>
      </c>
      <c r="T89" s="32">
        <f t="shared" si="15"/>
        <v>19297452.139999997</v>
      </c>
      <c r="U89" s="32">
        <f t="shared" si="15"/>
        <v>162909232.68000004</v>
      </c>
      <c r="V89" s="32">
        <f t="shared" si="15"/>
        <v>232021062.98999992</v>
      </c>
      <c r="W89" s="32">
        <f t="shared" si="15"/>
        <v>45391386.22</v>
      </c>
      <c r="X89" s="32">
        <f t="shared" si="15"/>
        <v>204092391.45000002</v>
      </c>
      <c r="Y89" s="32">
        <f t="shared" si="15"/>
        <v>107425628.62999998</v>
      </c>
      <c r="Z89" s="32">
        <f t="shared" si="15"/>
        <v>0</v>
      </c>
      <c r="AA89" s="32">
        <f t="shared" si="15"/>
        <v>18309369.07</v>
      </c>
      <c r="AB89" s="32">
        <f t="shared" si="15"/>
        <v>436598241.37</v>
      </c>
      <c r="AC89" s="32">
        <f t="shared" si="15"/>
        <v>86347802.570000008</v>
      </c>
      <c r="AD89" s="32">
        <f t="shared" si="15"/>
        <v>11344370.62</v>
      </c>
      <c r="AE89" s="32">
        <f t="shared" si="15"/>
        <v>30209024.05</v>
      </c>
      <c r="AF89" s="32">
        <f t="shared" si="15"/>
        <v>0</v>
      </c>
      <c r="AG89" s="32">
        <f t="shared" si="15"/>
        <v>199104742.14</v>
      </c>
      <c r="AH89" s="32">
        <f t="shared" si="15"/>
        <v>0</v>
      </c>
      <c r="AI89" s="32">
        <f t="shared" si="15"/>
        <v>0</v>
      </c>
      <c r="AJ89" s="32">
        <f t="shared" si="15"/>
        <v>266912547.47</v>
      </c>
      <c r="AK89" s="32">
        <f t="shared" si="15"/>
        <v>14455159.169999998</v>
      </c>
      <c r="AL89" s="32">
        <f t="shared" si="15"/>
        <v>4244879.03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9102614.2899999972</v>
      </c>
      <c r="AQ89" s="32">
        <f t="shared" si="15"/>
        <v>0</v>
      </c>
      <c r="AR89" s="32">
        <f t="shared" si="15"/>
        <v>38983513.879999995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3763415.3600000003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3721390258.22</v>
      </c>
    </row>
    <row r="90">
      <c r="A90" s="39" t="s">
        <v>290</v>
      </c>
      <c r="B90" s="32"/>
      <c r="C90" s="24">
        <v>20827</v>
      </c>
      <c r="D90" s="24">
        <v>0</v>
      </c>
      <c r="E90" s="24">
        <v>114276.2125</v>
      </c>
      <c r="F90" s="24">
        <v>0</v>
      </c>
      <c r="G90" s="24">
        <v>0</v>
      </c>
      <c r="H90" s="24">
        <v>0</v>
      </c>
      <c r="I90" s="24">
        <v>0</v>
      </c>
      <c r="J90" s="24">
        <v>2522</v>
      </c>
      <c r="K90" s="24">
        <v>0</v>
      </c>
      <c r="L90" s="24">
        <v>0</v>
      </c>
      <c r="M90" s="24">
        <v>0</v>
      </c>
      <c r="N90" s="24">
        <v>0</v>
      </c>
      <c r="O90" s="24">
        <v>17618.916666666668</v>
      </c>
      <c r="P90" s="24">
        <v>89564</v>
      </c>
      <c r="Q90" s="24">
        <v>2369</v>
      </c>
      <c r="R90" s="24">
        <v>0</v>
      </c>
      <c r="S90" s="24">
        <v>17441</v>
      </c>
      <c r="T90" s="24">
        <v>0</v>
      </c>
      <c r="U90" s="24">
        <v>16657</v>
      </c>
      <c r="V90" s="24">
        <v>3310</v>
      </c>
      <c r="W90" s="24">
        <v>0</v>
      </c>
      <c r="X90" s="24">
        <v>0</v>
      </c>
      <c r="Y90" s="24">
        <v>46104</v>
      </c>
      <c r="Z90" s="24">
        <v>0</v>
      </c>
      <c r="AA90" s="24">
        <v>0</v>
      </c>
      <c r="AB90" s="24">
        <v>13531.44</v>
      </c>
      <c r="AC90" s="24">
        <v>981</v>
      </c>
      <c r="AD90" s="24">
        <v>11307</v>
      </c>
      <c r="AE90" s="24">
        <v>11376</v>
      </c>
      <c r="AF90" s="24">
        <v>0</v>
      </c>
      <c r="AG90" s="24">
        <v>20182</v>
      </c>
      <c r="AH90" s="24">
        <v>0</v>
      </c>
      <c r="AI90" s="24">
        <v>0</v>
      </c>
      <c r="AJ90" s="24">
        <v>20716</v>
      </c>
      <c r="AK90" s="24">
        <v>5815</v>
      </c>
      <c r="AL90" s="24">
        <v>4171</v>
      </c>
      <c r="AM90" s="24">
        <v>0</v>
      </c>
      <c r="AN90" s="24">
        <v>0</v>
      </c>
      <c r="AO90" s="24">
        <v>0</v>
      </c>
      <c r="AP90" s="24">
        <v>1797</v>
      </c>
      <c r="AQ90" s="24">
        <v>0</v>
      </c>
      <c r="AR90" s="24">
        <v>44604</v>
      </c>
      <c r="AS90" s="24">
        <v>0</v>
      </c>
      <c r="AT90" s="24">
        <v>0</v>
      </c>
      <c r="AU90" s="24">
        <v>0</v>
      </c>
      <c r="AV90" s="24">
        <v>1394</v>
      </c>
      <c r="AW90" s="24"/>
      <c r="AX90" s="24"/>
      <c r="AY90" s="24"/>
      <c r="AZ90" s="24">
        <v>19038.4088</v>
      </c>
      <c r="BA90" s="24">
        <v>4244</v>
      </c>
      <c r="BB90" s="24">
        <v>0</v>
      </c>
      <c r="BC90" s="24">
        <v>0</v>
      </c>
      <c r="BD90" s="24">
        <v>0</v>
      </c>
      <c r="BE90" s="24">
        <v>174493</v>
      </c>
      <c r="BF90" s="24">
        <v>2066</v>
      </c>
      <c r="BG90" s="24">
        <v>0</v>
      </c>
      <c r="BH90" s="24">
        <v>0</v>
      </c>
      <c r="BI90" s="24">
        <v>1333</v>
      </c>
      <c r="BJ90" s="24"/>
      <c r="BK90" s="24"/>
      <c r="BL90" s="24"/>
      <c r="BM90" s="24"/>
      <c r="BN90" s="24">
        <v>158305</v>
      </c>
      <c r="BO90" s="24">
        <v>0</v>
      </c>
      <c r="BP90" s="24">
        <v>0</v>
      </c>
      <c r="BQ90" s="24">
        <v>0</v>
      </c>
      <c r="BR90" s="24">
        <v>16702</v>
      </c>
      <c r="BS90" s="24">
        <v>0</v>
      </c>
      <c r="BT90" s="24">
        <v>1535</v>
      </c>
      <c r="BU90" s="24">
        <v>0</v>
      </c>
      <c r="BV90" s="24">
        <v>9455</v>
      </c>
      <c r="BW90" s="24">
        <v>0</v>
      </c>
      <c r="BX90" s="24">
        <v>0</v>
      </c>
      <c r="BY90" s="24">
        <v>978</v>
      </c>
      <c r="BZ90" s="24">
        <v>0</v>
      </c>
      <c r="CA90" s="24">
        <v>0</v>
      </c>
      <c r="CB90" s="24">
        <v>0</v>
      </c>
      <c r="CC90" s="24"/>
      <c r="CD90" s="264" t="s">
        <v>248</v>
      </c>
      <c r="CE90" s="32">
        <f t="shared" si="14"/>
        <v>854712.97796666669</v>
      </c>
      <c r="CF90" s="32">
        <f>BE59-CE90</f>
        <v>0</v>
      </c>
    </row>
    <row r="91">
      <c r="A91" s="26" t="s">
        <v>291</v>
      </c>
      <c r="B91" s="20"/>
      <c r="C91" s="24">
        <v>74702</v>
      </c>
      <c r="D91" s="24">
        <v>0</v>
      </c>
      <c r="E91" s="24">
        <v>200715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5755</v>
      </c>
      <c r="Q91" s="24">
        <v>0</v>
      </c>
      <c r="R91" s="24">
        <v>0</v>
      </c>
      <c r="S91" s="24">
        <v>0</v>
      </c>
      <c r="T91" s="24">
        <v>27000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16737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8225</v>
      </c>
      <c r="AW91" s="24"/>
      <c r="AX91" s="321" t="s">
        <v>248</v>
      </c>
      <c r="AY91" s="321" t="s">
        <v>248</v>
      </c>
      <c r="AZ91" s="24"/>
      <c r="BA91" s="24"/>
      <c r="BB91" s="24"/>
      <c r="BC91" s="24"/>
      <c r="BD91" s="29" t="s">
        <v>248</v>
      </c>
      <c r="BE91" s="29" t="s">
        <v>248</v>
      </c>
      <c r="BF91" s="24"/>
      <c r="BG91" s="29" t="s">
        <v>248</v>
      </c>
      <c r="BH91" s="24"/>
      <c r="BI91" s="24"/>
      <c r="BJ91" s="29" t="s">
        <v>248</v>
      </c>
      <c r="BK91" s="24"/>
      <c r="BL91" s="24"/>
      <c r="BM91" s="24"/>
      <c r="BN91" s="29" t="s">
        <v>248</v>
      </c>
      <c r="BO91" s="29" t="s">
        <v>248</v>
      </c>
      <c r="BP91" s="29" t="s">
        <v>248</v>
      </c>
      <c r="BQ91" s="29" t="s">
        <v>248</v>
      </c>
      <c r="BR91" s="24"/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333134</v>
      </c>
      <c r="CF91" s="32">
        <f>AY59-CE91</f>
        <v>-2</v>
      </c>
    </row>
    <row r="92">
      <c r="A92" s="26" t="s">
        <v>292</v>
      </c>
      <c r="B92" s="20"/>
      <c r="C92" s="24">
        <v>8198.4815118890965</v>
      </c>
      <c r="D92" s="24">
        <v>0</v>
      </c>
      <c r="E92" s="24">
        <v>44984.46321745617</v>
      </c>
      <c r="F92" s="24">
        <v>0</v>
      </c>
      <c r="G92" s="24">
        <v>0</v>
      </c>
      <c r="H92" s="24">
        <v>0</v>
      </c>
      <c r="I92" s="24">
        <v>0</v>
      </c>
      <c r="J92" s="24">
        <v>992.77718216662515</v>
      </c>
      <c r="K92" s="24">
        <v>0</v>
      </c>
      <c r="L92" s="24">
        <v>0</v>
      </c>
      <c r="M92" s="24">
        <v>0</v>
      </c>
      <c r="N92" s="24">
        <v>0</v>
      </c>
      <c r="O92" s="24">
        <v>6935.6298339262175</v>
      </c>
      <c r="P92" s="24">
        <v>35256.580310694539</v>
      </c>
      <c r="Q92" s="24">
        <v>932.54922464422486</v>
      </c>
      <c r="R92" s="24">
        <v>0</v>
      </c>
      <c r="S92" s="24">
        <v>6865.5935107724463</v>
      </c>
      <c r="T92" s="24">
        <v>0</v>
      </c>
      <c r="U92" s="24">
        <v>6556.9744343177945</v>
      </c>
      <c r="V92" s="24">
        <v>1302.9708457460465</v>
      </c>
      <c r="W92" s="24">
        <v>0</v>
      </c>
      <c r="X92" s="24">
        <v>0</v>
      </c>
      <c r="Y92" s="24">
        <v>18148.6912000833</v>
      </c>
      <c r="Z92" s="24">
        <v>0</v>
      </c>
      <c r="AA92" s="24">
        <v>0</v>
      </c>
      <c r="AB92" s="24">
        <v>5326.6078008948289</v>
      </c>
      <c r="AC92" s="24">
        <v>386.16749234950805</v>
      </c>
      <c r="AD92" s="24">
        <v>4450.964154939742</v>
      </c>
      <c r="AE92" s="24">
        <v>4478.1257828420012</v>
      </c>
      <c r="AF92" s="24">
        <v>0</v>
      </c>
      <c r="AG92" s="24">
        <v>7944.579338020154</v>
      </c>
      <c r="AH92" s="24">
        <v>0</v>
      </c>
      <c r="AI92" s="24">
        <v>0</v>
      </c>
      <c r="AJ92" s="24">
        <v>8154.7867191767673</v>
      </c>
      <c r="AK92" s="24">
        <v>2289.0560326324048</v>
      </c>
      <c r="AL92" s="24">
        <v>1641.9007243524954</v>
      </c>
      <c r="AM92" s="24">
        <v>0</v>
      </c>
      <c r="AN92" s="24">
        <v>0</v>
      </c>
      <c r="AO92" s="24">
        <v>0</v>
      </c>
      <c r="AP92" s="24">
        <v>707.38326580230989</v>
      </c>
      <c r="AQ92" s="24">
        <v>0</v>
      </c>
      <c r="AR92" s="24">
        <v>17558.221028295062</v>
      </c>
      <c r="AS92" s="24">
        <v>0</v>
      </c>
      <c r="AT92" s="24">
        <v>0</v>
      </c>
      <c r="AU92" s="24">
        <v>0</v>
      </c>
      <c r="AV92" s="24">
        <v>548.74361298186966</v>
      </c>
      <c r="AW92" s="24"/>
      <c r="AX92" s="321" t="s">
        <v>248</v>
      </c>
      <c r="AY92" s="321" t="s">
        <v>248</v>
      </c>
      <c r="AZ92" s="29" t="s">
        <v>248</v>
      </c>
      <c r="BA92" s="24">
        <v>1670.636939379523</v>
      </c>
      <c r="BB92" s="24"/>
      <c r="BC92" s="24"/>
      <c r="BD92" s="29" t="s">
        <v>248</v>
      </c>
      <c r="BE92" s="29" t="s">
        <v>248</v>
      </c>
      <c r="BF92" s="29" t="s">
        <v>248</v>
      </c>
      <c r="BG92" s="29" t="s">
        <v>248</v>
      </c>
      <c r="BH92" s="24"/>
      <c r="BI92" s="24">
        <v>524.731159329148</v>
      </c>
      <c r="BJ92" s="29" t="s">
        <v>248</v>
      </c>
      <c r="BK92" s="24"/>
      <c r="BL92" s="24"/>
      <c r="BM92" s="24"/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0</v>
      </c>
      <c r="BT92" s="24">
        <v>604.24780912996414</v>
      </c>
      <c r="BU92" s="24">
        <v>0</v>
      </c>
      <c r="BV92" s="24">
        <v>3721.9303161718635</v>
      </c>
      <c r="BW92" s="24">
        <v>0</v>
      </c>
      <c r="BX92" s="24">
        <v>0</v>
      </c>
      <c r="BY92" s="24">
        <v>384.98655200593151</v>
      </c>
      <c r="BZ92" s="24">
        <v>0</v>
      </c>
      <c r="CA92" s="24">
        <v>0</v>
      </c>
      <c r="CB92" s="24">
        <v>0</v>
      </c>
      <c r="CC92" s="29" t="s">
        <v>248</v>
      </c>
      <c r="CD92" s="29" t="s">
        <v>248</v>
      </c>
      <c r="CE92" s="32">
        <f t="shared" si="14"/>
        <v>190567.78000000003</v>
      </c>
      <c r="CF92" s="20"/>
    </row>
    <row r="93">
      <c r="A93" s="26" t="s">
        <v>293</v>
      </c>
      <c r="B93" s="20"/>
      <c r="C93" s="24">
        <v>362436.49999999994</v>
      </c>
      <c r="D93" s="24">
        <v>0</v>
      </c>
      <c r="E93" s="24">
        <v>730434.78999999992</v>
      </c>
      <c r="F93" s="24">
        <v>0</v>
      </c>
      <c r="G93" s="24">
        <v>0</v>
      </c>
      <c r="H93" s="24">
        <v>25669.1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230589.99</v>
      </c>
      <c r="P93" s="24">
        <v>637202.15999999992</v>
      </c>
      <c r="Q93" s="24">
        <v>50997.78</v>
      </c>
      <c r="R93" s="24">
        <v>0</v>
      </c>
      <c r="S93" s="24">
        <v>12868.06</v>
      </c>
      <c r="T93" s="24">
        <v>0</v>
      </c>
      <c r="U93" s="24">
        <v>5855.31</v>
      </c>
      <c r="V93" s="24">
        <v>0</v>
      </c>
      <c r="W93" s="24">
        <v>0</v>
      </c>
      <c r="X93" s="24">
        <v>0</v>
      </c>
      <c r="Y93" s="24">
        <v>99129.41</v>
      </c>
      <c r="Z93" s="24">
        <v>0</v>
      </c>
      <c r="AA93" s="24">
        <v>7808.32</v>
      </c>
      <c r="AB93" s="24">
        <v>0</v>
      </c>
      <c r="AC93" s="24">
        <v>0</v>
      </c>
      <c r="AD93" s="24">
        <v>5947.08</v>
      </c>
      <c r="AE93" s="24">
        <v>0</v>
      </c>
      <c r="AF93" s="24">
        <v>0</v>
      </c>
      <c r="AG93" s="24">
        <v>250195.25</v>
      </c>
      <c r="AH93" s="24">
        <v>0</v>
      </c>
      <c r="AI93" s="24">
        <v>0</v>
      </c>
      <c r="AJ93" s="24">
        <v>8005.89</v>
      </c>
      <c r="AK93" s="24">
        <v>16431.06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17300.48</v>
      </c>
      <c r="AW93" s="24"/>
      <c r="AX93" s="321" t="s">
        <v>248</v>
      </c>
      <c r="AY93" s="321" t="s">
        <v>248</v>
      </c>
      <c r="AZ93" s="29" t="s">
        <v>248</v>
      </c>
      <c r="BA93" s="29" t="s">
        <v>248</v>
      </c>
      <c r="BB93" s="24"/>
      <c r="BC93" s="24"/>
      <c r="BD93" s="29" t="s">
        <v>248</v>
      </c>
      <c r="BE93" s="29" t="s">
        <v>248</v>
      </c>
      <c r="BF93" s="29" t="s">
        <v>248</v>
      </c>
      <c r="BG93" s="29" t="s">
        <v>248</v>
      </c>
      <c r="BH93" s="24"/>
      <c r="BI93" s="24"/>
      <c r="BJ93" s="29" t="s">
        <v>248</v>
      </c>
      <c r="BK93" s="24"/>
      <c r="BL93" s="24"/>
      <c r="BM93" s="24"/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2460871.18</v>
      </c>
      <c r="CF93" s="32">
        <f>BA59</f>
        <v>0</v>
      </c>
    </row>
    <row r="94">
      <c r="A94" s="26" t="s">
        <v>294</v>
      </c>
      <c r="B94" s="20"/>
      <c r="C94" s="315">
        <v>157.80775961538461</v>
      </c>
      <c r="D94" s="315">
        <v>0</v>
      </c>
      <c r="E94" s="315">
        <v>432.31484615384596</v>
      </c>
      <c r="F94" s="315">
        <v>0</v>
      </c>
      <c r="G94" s="315">
        <v>0</v>
      </c>
      <c r="H94" s="315">
        <v>0</v>
      </c>
      <c r="I94" s="315">
        <v>0</v>
      </c>
      <c r="J94" s="315">
        <v>52.452884615384619</v>
      </c>
      <c r="K94" s="315">
        <v>0</v>
      </c>
      <c r="L94" s="315">
        <v>0</v>
      </c>
      <c r="M94" s="315">
        <v>0</v>
      </c>
      <c r="N94" s="315">
        <v>0</v>
      </c>
      <c r="O94" s="315">
        <v>109.02668269230769</v>
      </c>
      <c r="P94" s="316">
        <v>128.8952451923077</v>
      </c>
      <c r="Q94" s="316">
        <v>13.924067307692308</v>
      </c>
      <c r="R94" s="316">
        <v>0</v>
      </c>
      <c r="S94" s="317">
        <v>0</v>
      </c>
      <c r="T94" s="317">
        <v>12.294826923076924</v>
      </c>
      <c r="U94" s="318">
        <v>0</v>
      </c>
      <c r="V94" s="316">
        <v>5.2912884615384614</v>
      </c>
      <c r="W94" s="316">
        <v>0.004206730769230769</v>
      </c>
      <c r="X94" s="316">
        <v>0</v>
      </c>
      <c r="Y94" s="316">
        <v>4.7884086538461537</v>
      </c>
      <c r="Z94" s="316">
        <v>0</v>
      </c>
      <c r="AA94" s="316">
        <v>0</v>
      </c>
      <c r="AB94" s="317">
        <v>1.7074519230769232</v>
      </c>
      <c r="AC94" s="316">
        <v>0.1633798076923077</v>
      </c>
      <c r="AD94" s="316">
        <v>0.31770673076923078</v>
      </c>
      <c r="AE94" s="316">
        <v>0.0057692307692307696</v>
      </c>
      <c r="AF94" s="316">
        <v>0</v>
      </c>
      <c r="AG94" s="316">
        <v>49.46185096153846</v>
      </c>
      <c r="AH94" s="316">
        <v>0</v>
      </c>
      <c r="AI94" s="316">
        <v>0</v>
      </c>
      <c r="AJ94" s="316">
        <v>151.42769230769233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80.172293269230764</v>
      </c>
      <c r="AS94" s="316">
        <v>0</v>
      </c>
      <c r="AT94" s="316">
        <v>0</v>
      </c>
      <c r="AU94" s="316">
        <v>0</v>
      </c>
      <c r="AV94" s="317">
        <v>13.185774038461537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1213.2421346153844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98401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319</v>
      </c>
      <c r="D108" s="42"/>
      <c r="E108" s="43"/>
      <c r="F108" s="16"/>
    </row>
    <row r="109">
      <c r="A109" s="44" t="s">
        <v>321</v>
      </c>
      <c r="B109" s="40" t="s">
        <v>299</v>
      </c>
      <c r="C109" s="41" t="s">
        <v>322</v>
      </c>
      <c r="D109" s="42"/>
      <c r="E109" s="43"/>
      <c r="F109" s="16"/>
    </row>
    <row r="110">
      <c r="A110" s="44" t="s">
        <v>323</v>
      </c>
      <c r="B110" s="40" t="s">
        <v>299</v>
      </c>
      <c r="C110" s="41" t="s">
        <v>324</v>
      </c>
      <c r="D110" s="42"/>
      <c r="E110" s="43"/>
      <c r="F110" s="16"/>
    </row>
    <row r="111">
      <c r="A111" s="38" t="s">
        <v>325</v>
      </c>
      <c r="B111" s="38"/>
      <c r="C111" s="38"/>
      <c r="D111" s="38"/>
      <c r="E111" s="38"/>
    </row>
    <row r="112">
      <c r="A112" s="45" t="s">
        <v>326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327</v>
      </c>
      <c r="B115" s="46" t="s">
        <v>299</v>
      </c>
      <c r="C115" s="47"/>
      <c r="D115" s="20"/>
      <c r="E115" s="20"/>
    </row>
    <row r="116">
      <c r="A116" s="45" t="s">
        <v>328</v>
      </c>
      <c r="B116" s="45"/>
      <c r="C116" s="45"/>
      <c r="D116" s="45"/>
      <c r="E116" s="45"/>
    </row>
    <row r="117">
      <c r="A117" s="20" t="s">
        <v>329</v>
      </c>
      <c r="B117" s="46" t="s">
        <v>299</v>
      </c>
      <c r="C117" s="47">
        <v>1</v>
      </c>
      <c r="D117" s="20"/>
      <c r="E117" s="20"/>
    </row>
    <row r="118">
      <c r="A118" s="20" t="s">
        <v>159</v>
      </c>
      <c r="B118" s="46" t="s">
        <v>299</v>
      </c>
      <c r="C118" s="234"/>
      <c r="D118" s="20"/>
      <c r="E118" s="20"/>
    </row>
    <row r="119">
      <c r="A119" s="45" t="s">
        <v>330</v>
      </c>
      <c r="B119" s="45"/>
      <c r="C119" s="45"/>
      <c r="D119" s="45"/>
      <c r="E119" s="45"/>
    </row>
    <row r="120">
      <c r="A120" s="20" t="s">
        <v>331</v>
      </c>
      <c r="B120" s="46" t="s">
        <v>299</v>
      </c>
      <c r="C120" s="47"/>
      <c r="D120" s="20"/>
      <c r="E120" s="20"/>
    </row>
    <row r="121">
      <c r="A121" s="20" t="s">
        <v>332</v>
      </c>
      <c r="B121" s="46" t="s">
        <v>299</v>
      </c>
      <c r="C121" s="47"/>
      <c r="D121" s="20"/>
      <c r="E121" s="20"/>
    </row>
    <row r="122">
      <c r="A122" s="20" t="s">
        <v>333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334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335</v>
      </c>
      <c r="B126" s="20"/>
      <c r="C126" s="21" t="s">
        <v>336</v>
      </c>
      <c r="D126" s="22" t="s">
        <v>242</v>
      </c>
      <c r="E126" s="20"/>
    </row>
    <row r="127">
      <c r="A127" s="20" t="s">
        <v>337</v>
      </c>
      <c r="B127" s="46" t="s">
        <v>299</v>
      </c>
      <c r="C127" s="47">
        <v>18708</v>
      </c>
      <c r="D127" s="50">
        <v>116880</v>
      </c>
      <c r="E127" s="20"/>
    </row>
    <row r="128">
      <c r="A128" s="20" t="s">
        <v>338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339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340</v>
      </c>
      <c r="B130" s="46" t="s">
        <v>299</v>
      </c>
      <c r="C130" s="47">
        <v>3549</v>
      </c>
      <c r="D130" s="50">
        <v>5237</v>
      </c>
      <c r="E130" s="20"/>
    </row>
    <row r="131">
      <c r="A131" s="26" t="s">
        <v>341</v>
      </c>
      <c r="B131" s="20"/>
      <c r="C131" s="21" t="s">
        <v>194</v>
      </c>
      <c r="D131" s="20"/>
      <c r="E131" s="20"/>
    </row>
    <row r="132">
      <c r="A132" s="20" t="s">
        <v>342</v>
      </c>
      <c r="B132" s="46" t="s">
        <v>299</v>
      </c>
      <c r="C132" s="47">
        <v>48</v>
      </c>
      <c r="D132" s="20"/>
      <c r="E132" s="20"/>
    </row>
    <row r="133">
      <c r="A133" s="20" t="s">
        <v>343</v>
      </c>
      <c r="B133" s="46" t="s">
        <v>299</v>
      </c>
      <c r="C133" s="47">
        <v>34</v>
      </c>
      <c r="D133" s="20"/>
      <c r="E133" s="20"/>
    </row>
    <row r="134">
      <c r="A134" s="20" t="s">
        <v>344</v>
      </c>
      <c r="B134" s="46" t="s">
        <v>299</v>
      </c>
      <c r="C134" s="47">
        <v>214</v>
      </c>
      <c r="D134" s="20"/>
      <c r="E134" s="20"/>
    </row>
    <row r="135">
      <c r="A135" s="20" t="s">
        <v>345</v>
      </c>
      <c r="B135" s="46" t="s">
        <v>299</v>
      </c>
      <c r="C135" s="47">
        <v>0</v>
      </c>
      <c r="D135" s="20"/>
      <c r="E135" s="20"/>
    </row>
    <row r="136">
      <c r="A136" s="20" t="s">
        <v>346</v>
      </c>
      <c r="B136" s="46" t="s">
        <v>299</v>
      </c>
      <c r="C136" s="47">
        <v>32</v>
      </c>
      <c r="D136" s="20"/>
      <c r="E136" s="20"/>
    </row>
    <row r="137">
      <c r="A137" s="20" t="s">
        <v>347</v>
      </c>
      <c r="B137" s="46" t="s">
        <v>299</v>
      </c>
      <c r="C137" s="47">
        <v>0</v>
      </c>
      <c r="D137" s="20"/>
      <c r="E137" s="20"/>
    </row>
    <row r="138">
      <c r="A138" s="20" t="s">
        <v>123</v>
      </c>
      <c r="B138" s="46" t="s">
        <v>299</v>
      </c>
      <c r="C138" s="47">
        <v>0</v>
      </c>
      <c r="D138" s="20"/>
      <c r="E138" s="20"/>
    </row>
    <row r="139">
      <c r="A139" s="20" t="s">
        <v>348</v>
      </c>
      <c r="B139" s="46" t="s">
        <v>299</v>
      </c>
      <c r="C139" s="47">
        <v>0</v>
      </c>
      <c r="D139" s="20"/>
      <c r="E139" s="20"/>
    </row>
    <row r="140">
      <c r="A140" s="20" t="s">
        <v>349</v>
      </c>
      <c r="B140" s="46"/>
      <c r="C140" s="47">
        <v>0</v>
      </c>
      <c r="D140" s="20"/>
      <c r="E140" s="20"/>
    </row>
    <row r="141">
      <c r="A141" s="20" t="s">
        <v>339</v>
      </c>
      <c r="B141" s="46" t="s">
        <v>299</v>
      </c>
      <c r="C141" s="47">
        <v>0</v>
      </c>
      <c r="D141" s="20"/>
      <c r="E141" s="20"/>
    </row>
    <row r="142">
      <c r="A142" s="20" t="s">
        <v>350</v>
      </c>
      <c r="B142" s="46" t="s">
        <v>299</v>
      </c>
      <c r="C142" s="47">
        <v>34</v>
      </c>
      <c r="D142" s="20"/>
      <c r="E142" s="20"/>
    </row>
    <row r="143">
      <c r="A143" s="20" t="s">
        <v>351</v>
      </c>
      <c r="B143" s="20"/>
      <c r="C143" s="27"/>
      <c r="D143" s="20"/>
      <c r="E143" s="32">
        <f>SUM(C132:C142)</f>
        <v>362</v>
      </c>
    </row>
    <row r="144">
      <c r="A144" s="20" t="s">
        <v>352</v>
      </c>
      <c r="B144" s="46" t="s">
        <v>299</v>
      </c>
      <c r="C144" s="47">
        <v>385</v>
      </c>
      <c r="D144" s="20"/>
      <c r="E144" s="20"/>
    </row>
    <row r="145">
      <c r="A145" s="20" t="s">
        <v>353</v>
      </c>
      <c r="B145" s="46" t="s">
        <v>299</v>
      </c>
      <c r="C145" s="47">
        <v>35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354</v>
      </c>
      <c r="B147" s="46" t="s">
        <v>299</v>
      </c>
      <c r="C147" s="47"/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355</v>
      </c>
      <c r="B152" s="49"/>
      <c r="C152" s="49"/>
      <c r="D152" s="49"/>
      <c r="E152" s="49"/>
    </row>
    <row r="153">
      <c r="A153" s="51" t="s">
        <v>356</v>
      </c>
      <c r="B153" s="52" t="s">
        <v>357</v>
      </c>
      <c r="C153" s="53" t="s">
        <v>358</v>
      </c>
      <c r="D153" s="52" t="s">
        <v>159</v>
      </c>
      <c r="E153" s="52" t="s">
        <v>230</v>
      </c>
    </row>
    <row r="154">
      <c r="A154" s="20" t="s">
        <v>336</v>
      </c>
      <c r="B154" s="50">
        <v>7787</v>
      </c>
      <c r="C154" s="50">
        <v>4582</v>
      </c>
      <c r="D154" s="50">
        <v>6339</v>
      </c>
      <c r="E154" s="32">
        <f>SUM(B154:D154)</f>
        <v>18708</v>
      </c>
    </row>
    <row r="155">
      <c r="A155" s="20" t="s">
        <v>242</v>
      </c>
      <c r="B155" s="50">
        <v>59510</v>
      </c>
      <c r="C155" s="50">
        <v>28942</v>
      </c>
      <c r="D155" s="50">
        <v>28428</v>
      </c>
      <c r="E155" s="32">
        <f>SUM(B155:D155)</f>
        <v>116880</v>
      </c>
    </row>
    <row r="156">
      <c r="A156" s="20" t="s">
        <v>359</v>
      </c>
      <c r="B156" s="50">
        <v>0</v>
      </c>
      <c r="C156" s="50">
        <v>0</v>
      </c>
      <c r="D156" s="50">
        <v>0</v>
      </c>
      <c r="E156" s="32">
        <f>SUM(B156:D156)</f>
        <v>0</v>
      </c>
    </row>
    <row r="157">
      <c r="A157" s="20" t="s">
        <v>287</v>
      </c>
      <c r="B157" s="50">
        <v>1107949923.22</v>
      </c>
      <c r="C157" s="50">
        <v>516551230.34</v>
      </c>
      <c r="D157" s="50">
        <v>594451229.5999999</v>
      </c>
      <c r="E157" s="32">
        <f>SUM(B157:D157)</f>
        <v>2218952383.16</v>
      </c>
      <c r="F157" s="18"/>
    </row>
    <row r="158">
      <c r="A158" s="20" t="s">
        <v>288</v>
      </c>
      <c r="B158" s="50">
        <v>633592701.21</v>
      </c>
      <c r="C158" s="50">
        <v>293807275.27000004</v>
      </c>
      <c r="D158" s="50">
        <v>575037898.57999969</v>
      </c>
      <c r="E158" s="32">
        <f>SUM(B158:D158)</f>
        <v>1502437875.0599997</v>
      </c>
      <c r="F158" s="18"/>
    </row>
    <row r="159">
      <c r="A159" s="51" t="s">
        <v>360</v>
      </c>
      <c r="B159" s="52" t="s">
        <v>357</v>
      </c>
      <c r="C159" s="53" t="s">
        <v>358</v>
      </c>
      <c r="D159" s="52" t="s">
        <v>159</v>
      </c>
      <c r="E159" s="52" t="s">
        <v>230</v>
      </c>
    </row>
    <row r="160">
      <c r="A160" s="20" t="s">
        <v>336</v>
      </c>
      <c r="B160" s="50"/>
      <c r="C160" s="50"/>
      <c r="D160" s="50"/>
      <c r="E160" s="32">
        <f>SUM(B160:D160)</f>
        <v>0</v>
      </c>
    </row>
    <row r="161">
      <c r="A161" s="20" t="s">
        <v>242</v>
      </c>
      <c r="B161" s="50"/>
      <c r="C161" s="50"/>
      <c r="D161" s="50"/>
      <c r="E161" s="32">
        <f>SUM(B161:D161)</f>
        <v>0</v>
      </c>
    </row>
    <row r="162">
      <c r="A162" s="20" t="s">
        <v>359</v>
      </c>
      <c r="B162" s="50"/>
      <c r="C162" s="50"/>
      <c r="D162" s="50"/>
      <c r="E162" s="32">
        <f>SUM(B162:D162)</f>
        <v>0</v>
      </c>
    </row>
    <row r="163">
      <c r="A163" s="20" t="s">
        <v>287</v>
      </c>
      <c r="B163" s="50"/>
      <c r="C163" s="50"/>
      <c r="D163" s="50"/>
      <c r="E163" s="32">
        <f>SUM(B163:D163)</f>
        <v>0</v>
      </c>
    </row>
    <row r="164">
      <c r="A164" s="20" t="s">
        <v>288</v>
      </c>
      <c r="B164" s="50"/>
      <c r="C164" s="50"/>
      <c r="D164" s="50"/>
      <c r="E164" s="32">
        <f>SUM(B164:D164)</f>
        <v>0</v>
      </c>
    </row>
    <row r="165">
      <c r="A165" s="51" t="s">
        <v>361</v>
      </c>
      <c r="B165" s="52" t="s">
        <v>357</v>
      </c>
      <c r="C165" s="53" t="s">
        <v>358</v>
      </c>
      <c r="D165" s="52" t="s">
        <v>159</v>
      </c>
      <c r="E165" s="52" t="s">
        <v>230</v>
      </c>
    </row>
    <row r="166">
      <c r="A166" s="20" t="s">
        <v>336</v>
      </c>
      <c r="B166" s="50"/>
      <c r="C166" s="50"/>
      <c r="D166" s="50"/>
      <c r="E166" s="32">
        <f>SUM(B166:D166)</f>
        <v>0</v>
      </c>
    </row>
    <row r="167">
      <c r="A167" s="20" t="s">
        <v>242</v>
      </c>
      <c r="B167" s="50"/>
      <c r="C167" s="50"/>
      <c r="D167" s="50"/>
      <c r="E167" s="32">
        <f>SUM(B167:D167)</f>
        <v>0</v>
      </c>
    </row>
    <row r="168">
      <c r="A168" s="20" t="s">
        <v>359</v>
      </c>
      <c r="B168" s="50"/>
      <c r="C168" s="50"/>
      <c r="D168" s="50"/>
      <c r="E168" s="32">
        <f>SUM(B168:D168)</f>
        <v>0</v>
      </c>
    </row>
    <row r="169">
      <c r="A169" s="20" t="s">
        <v>287</v>
      </c>
      <c r="B169" s="50"/>
      <c r="C169" s="50"/>
      <c r="D169" s="50"/>
      <c r="E169" s="32">
        <f>SUM(B169:D169)</f>
        <v>0</v>
      </c>
    </row>
    <row r="170">
      <c r="A170" s="20" t="s">
        <v>288</v>
      </c>
      <c r="B170" s="50"/>
      <c r="C170" s="50"/>
      <c r="D170" s="50"/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362</v>
      </c>
      <c r="B172" s="52" t="s">
        <v>363</v>
      </c>
      <c r="C172" s="53" t="s">
        <v>364</v>
      </c>
      <c r="D172" s="20"/>
      <c r="E172" s="20"/>
    </row>
    <row r="173">
      <c r="A173" s="25" t="s">
        <v>365</v>
      </c>
      <c r="B173" s="50"/>
      <c r="C173" s="50"/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366</v>
      </c>
      <c r="B179" s="38"/>
      <c r="C179" s="38"/>
      <c r="D179" s="38"/>
      <c r="E179" s="38"/>
    </row>
    <row r="180">
      <c r="A180" s="45" t="s">
        <v>367</v>
      </c>
      <c r="B180" s="45"/>
      <c r="C180" s="45"/>
      <c r="D180" s="45"/>
      <c r="E180" s="45"/>
    </row>
    <row r="181">
      <c r="A181" s="20" t="s">
        <v>368</v>
      </c>
      <c r="B181" s="46" t="s">
        <v>299</v>
      </c>
      <c r="C181" s="47">
        <v>21678638.66</v>
      </c>
      <c r="D181" s="20"/>
      <c r="E181" s="20"/>
    </row>
    <row r="182">
      <c r="A182" s="20" t="s">
        <v>369</v>
      </c>
      <c r="B182" s="46" t="s">
        <v>299</v>
      </c>
      <c r="C182" s="47">
        <v>-268321.85133504792</v>
      </c>
      <c r="D182" s="20"/>
      <c r="E182" s="20"/>
    </row>
    <row r="183">
      <c r="A183" s="25" t="s">
        <v>370</v>
      </c>
      <c r="B183" s="46" t="s">
        <v>299</v>
      </c>
      <c r="C183" s="47">
        <v>2520573.4220080087</v>
      </c>
      <c r="D183" s="20"/>
      <c r="E183" s="20"/>
    </row>
    <row r="184">
      <c r="A184" s="20" t="s">
        <v>371</v>
      </c>
      <c r="B184" s="46" t="s">
        <v>299</v>
      </c>
      <c r="C184" s="47">
        <v>32146028.685913723</v>
      </c>
      <c r="D184" s="20"/>
      <c r="E184" s="20"/>
    </row>
    <row r="185">
      <c r="A185" s="20" t="s">
        <v>372</v>
      </c>
      <c r="B185" s="46" t="s">
        <v>299</v>
      </c>
      <c r="C185" s="47">
        <v>497246.89425410365</v>
      </c>
      <c r="D185" s="20"/>
      <c r="E185" s="20"/>
    </row>
    <row r="186">
      <c r="A186" s="20" t="s">
        <v>373</v>
      </c>
      <c r="B186" s="46" t="s">
        <v>299</v>
      </c>
      <c r="C186" s="47">
        <v>13853986.840957193</v>
      </c>
      <c r="D186" s="20"/>
      <c r="E186" s="20"/>
    </row>
    <row r="187">
      <c r="A187" s="20" t="s">
        <v>374</v>
      </c>
      <c r="B187" s="46" t="s">
        <v>299</v>
      </c>
      <c r="C187" s="47"/>
      <c r="D187" s="20"/>
      <c r="E187" s="20"/>
    </row>
    <row r="188">
      <c r="A188" s="20" t="s">
        <v>374</v>
      </c>
      <c r="B188" s="46" t="s">
        <v>299</v>
      </c>
      <c r="C188" s="47">
        <v>465172.54820202291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70893325.2</v>
      </c>
      <c r="E189" s="20"/>
    </row>
    <row r="190">
      <c r="A190" s="45" t="s">
        <v>375</v>
      </c>
      <c r="B190" s="45"/>
      <c r="C190" s="45"/>
      <c r="D190" s="45"/>
      <c r="E190" s="45"/>
    </row>
    <row r="191">
      <c r="A191" s="20" t="s">
        <v>376</v>
      </c>
      <c r="B191" s="46" t="s">
        <v>299</v>
      </c>
      <c r="C191" s="47">
        <v>13774984.06</v>
      </c>
      <c r="D191" s="20"/>
      <c r="E191" s="20"/>
    </row>
    <row r="192">
      <c r="A192" s="20" t="s">
        <v>377</v>
      </c>
      <c r="B192" s="46" t="s">
        <v>299</v>
      </c>
      <c r="C192" s="47">
        <v>4414041.4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18189025.46</v>
      </c>
      <c r="E193" s="20"/>
    </row>
    <row r="194">
      <c r="A194" s="45" t="s">
        <v>378</v>
      </c>
      <c r="B194" s="45"/>
      <c r="C194" s="45"/>
      <c r="D194" s="45"/>
      <c r="E194" s="45"/>
    </row>
    <row r="195">
      <c r="A195" s="20" t="s">
        <v>379</v>
      </c>
      <c r="B195" s="46" t="s">
        <v>299</v>
      </c>
      <c r="C195" s="47">
        <v>7575353.75</v>
      </c>
      <c r="D195" s="20"/>
      <c r="E195" s="20"/>
    </row>
    <row r="196">
      <c r="A196" s="20" t="s">
        <v>380</v>
      </c>
      <c r="B196" s="46" t="s">
        <v>299</v>
      </c>
      <c r="C196" s="47">
        <v>-3449126.34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4126227.41</v>
      </c>
      <c r="E197" s="20"/>
    </row>
    <row r="198">
      <c r="A198" s="45" t="s">
        <v>381</v>
      </c>
      <c r="B198" s="45"/>
      <c r="C198" s="45"/>
      <c r="D198" s="45"/>
      <c r="E198" s="45"/>
    </row>
    <row r="199">
      <c r="A199" s="20" t="s">
        <v>382</v>
      </c>
      <c r="B199" s="46" t="s">
        <v>299</v>
      </c>
      <c r="C199" s="47">
        <v>368537.64</v>
      </c>
      <c r="D199" s="20"/>
      <c r="E199" s="20"/>
    </row>
    <row r="200">
      <c r="A200" s="20" t="s">
        <v>383</v>
      </c>
      <c r="B200" s="46" t="s">
        <v>299</v>
      </c>
      <c r="C200" s="47">
        <v>29995410.95</v>
      </c>
      <c r="D200" s="20"/>
      <c r="E200" s="20"/>
    </row>
    <row r="201">
      <c r="A201" s="20" t="s">
        <v>159</v>
      </c>
      <c r="B201" s="46" t="s">
        <v>299</v>
      </c>
      <c r="C201" s="47"/>
      <c r="D201" s="20"/>
      <c r="E201" s="20"/>
    </row>
    <row r="202">
      <c r="A202" s="20" t="s">
        <v>230</v>
      </c>
      <c r="B202" s="20"/>
      <c r="C202" s="27"/>
      <c r="D202" s="32">
        <f>SUM(C199:C201)</f>
        <v>30363948.59</v>
      </c>
      <c r="E202" s="20"/>
    </row>
    <row r="203">
      <c r="A203" s="45" t="s">
        <v>384</v>
      </c>
      <c r="B203" s="45"/>
      <c r="C203" s="45"/>
      <c r="D203" s="45"/>
      <c r="E203" s="45"/>
    </row>
    <row r="204">
      <c r="A204" s="20" t="s">
        <v>385</v>
      </c>
      <c r="B204" s="46" t="s">
        <v>299</v>
      </c>
      <c r="C204" s="47"/>
      <c r="D204" s="20"/>
      <c r="E204" s="20"/>
    </row>
    <row r="205">
      <c r="A205" s="20" t="s">
        <v>386</v>
      </c>
      <c r="B205" s="46" t="s">
        <v>299</v>
      </c>
      <c r="C205" s="47">
        <v>29914.22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29914.22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387</v>
      </c>
      <c r="B208" s="38"/>
      <c r="C208" s="38"/>
      <c r="D208" s="38"/>
      <c r="E208" s="38"/>
    </row>
    <row r="209">
      <c r="A209" s="49" t="s">
        <v>388</v>
      </c>
      <c r="B209" s="38"/>
      <c r="C209" s="38"/>
      <c r="D209" s="38"/>
      <c r="E209" s="38"/>
    </row>
    <row r="210">
      <c r="A210" s="26"/>
      <c r="B210" s="22" t="s">
        <v>389</v>
      </c>
      <c r="C210" s="21" t="s">
        <v>390</v>
      </c>
      <c r="D210" s="22" t="s">
        <v>391</v>
      </c>
      <c r="E210" s="22" t="s">
        <v>392</v>
      </c>
    </row>
    <row r="211">
      <c r="A211" s="20" t="s">
        <v>393</v>
      </c>
      <c r="B211" s="50">
        <v>7877314.96</v>
      </c>
      <c r="C211" s="47">
        <v>0</v>
      </c>
      <c r="D211" s="50">
        <v>0</v>
      </c>
      <c r="E211" s="32">
        <f ref="E211:E219" t="shared" si="16">SUM(B211:C211)-D211</f>
        <v>7877314.96</v>
      </c>
    </row>
    <row r="212">
      <c r="A212" s="20" t="s">
        <v>394</v>
      </c>
      <c r="B212" s="50">
        <v>4412190.25</v>
      </c>
      <c r="C212" s="47">
        <v>0</v>
      </c>
      <c r="D212" s="50">
        <v>0</v>
      </c>
      <c r="E212" s="32">
        <f t="shared" si="16"/>
        <v>4412190.25</v>
      </c>
    </row>
    <row r="213">
      <c r="A213" s="20" t="s">
        <v>395</v>
      </c>
      <c r="B213" s="50">
        <v>122860258.49</v>
      </c>
      <c r="C213" s="47">
        <v>0</v>
      </c>
      <c r="D213" s="50">
        <v>0</v>
      </c>
      <c r="E213" s="32">
        <f t="shared" si="16"/>
        <v>122860258.49</v>
      </c>
    </row>
    <row r="214">
      <c r="A214" s="20" t="s">
        <v>396</v>
      </c>
      <c r="B214" s="50">
        <v>64792363.36</v>
      </c>
      <c r="C214" s="47">
        <v>856628.78</v>
      </c>
      <c r="D214" s="50">
        <v>0</v>
      </c>
      <c r="E214" s="32">
        <f t="shared" si="16"/>
        <v>65648992.14</v>
      </c>
    </row>
    <row r="215">
      <c r="A215" s="20" t="s">
        <v>397</v>
      </c>
      <c r="B215" s="50">
        <v>83127243.03</v>
      </c>
      <c r="C215" s="47">
        <v>44024.079999999965</v>
      </c>
      <c r="D215" s="50">
        <v>0</v>
      </c>
      <c r="E215" s="32">
        <f t="shared" si="16"/>
        <v>83171267.11</v>
      </c>
    </row>
    <row r="216">
      <c r="A216" s="20" t="s">
        <v>398</v>
      </c>
      <c r="B216" s="50">
        <v>296683146.66999996</v>
      </c>
      <c r="C216" s="47">
        <v>9961968</v>
      </c>
      <c r="D216" s="50">
        <v>5712790</v>
      </c>
      <c r="E216" s="32">
        <f t="shared" si="16"/>
        <v>300932324.66999996</v>
      </c>
    </row>
    <row r="217">
      <c r="A217" s="20" t="s">
        <v>399</v>
      </c>
      <c r="B217" s="50"/>
      <c r="C217" s="47"/>
      <c r="D217" s="50"/>
      <c r="E217" s="32">
        <f t="shared" si="16"/>
        <v>0</v>
      </c>
    </row>
    <row r="218">
      <c r="A218" s="20" t="s">
        <v>400</v>
      </c>
      <c r="B218" s="50">
        <v>60430333.28</v>
      </c>
      <c r="C218" s="47">
        <v>5791699.8699999982</v>
      </c>
      <c r="D218" s="50">
        <v>4216.86</v>
      </c>
      <c r="E218" s="32">
        <f t="shared" si="16"/>
        <v>66217816.29</v>
      </c>
    </row>
    <row r="219">
      <c r="A219" s="20" t="s">
        <v>401</v>
      </c>
      <c r="B219" s="50">
        <v>11894054.94</v>
      </c>
      <c r="C219" s="47">
        <v>-6775214.330000001</v>
      </c>
      <c r="D219" s="50">
        <v>0</v>
      </c>
      <c r="E219" s="32">
        <f t="shared" si="16"/>
        <v>5118840.6099999985</v>
      </c>
    </row>
    <row r="220">
      <c r="A220" s="20" t="s">
        <v>230</v>
      </c>
      <c r="B220" s="32">
        <f>SUM(B211:B219)</f>
        <v>652076904.98</v>
      </c>
      <c r="C220" s="266">
        <f>SUM(C211:C219)</f>
        <v>9879106.3999999948</v>
      </c>
      <c r="D220" s="32">
        <f>SUM(D211:D219)</f>
        <v>5717006.86</v>
      </c>
      <c r="E220" s="32">
        <f>SUM(E211:E219)</f>
        <v>656239004.51999986</v>
      </c>
    </row>
    <row r="221">
      <c r="A221" s="20"/>
      <c r="B221" s="20"/>
      <c r="C221" s="27"/>
      <c r="D221" s="20"/>
      <c r="E221" s="20"/>
    </row>
    <row r="222">
      <c r="A222" s="49" t="s">
        <v>402</v>
      </c>
      <c r="B222" s="49"/>
      <c r="C222" s="49"/>
      <c r="D222" s="49"/>
      <c r="E222" s="49"/>
    </row>
    <row r="223">
      <c r="A223" s="26"/>
      <c r="B223" s="22" t="s">
        <v>389</v>
      </c>
      <c r="C223" s="21" t="s">
        <v>390</v>
      </c>
      <c r="D223" s="22" t="s">
        <v>391</v>
      </c>
      <c r="E223" s="22" t="s">
        <v>392</v>
      </c>
    </row>
    <row r="224">
      <c r="A224" s="20" t="s">
        <v>393</v>
      </c>
      <c r="B224" s="55"/>
      <c r="C224" s="54"/>
      <c r="D224" s="55"/>
      <c r="E224" s="20"/>
    </row>
    <row r="225">
      <c r="A225" s="20" t="s">
        <v>394</v>
      </c>
      <c r="B225" s="50">
        <v>3774780.93</v>
      </c>
      <c r="C225" s="47">
        <v>124635.02</v>
      </c>
      <c r="D225" s="50">
        <v>0</v>
      </c>
      <c r="E225" s="32">
        <f ref="E225:E232" t="shared" si="17">SUM(B225:C225)-D225</f>
        <v>3899415.95</v>
      </c>
    </row>
    <row r="226">
      <c r="A226" s="20" t="s">
        <v>395</v>
      </c>
      <c r="B226" s="50">
        <v>78432616.19</v>
      </c>
      <c r="C226" s="47">
        <v>1988884.67</v>
      </c>
      <c r="D226" s="50">
        <v>0</v>
      </c>
      <c r="E226" s="32">
        <f t="shared" si="17"/>
        <v>80421500.86</v>
      </c>
    </row>
    <row r="227">
      <c r="A227" s="20" t="s">
        <v>396</v>
      </c>
      <c r="B227" s="50">
        <v>27736965.48</v>
      </c>
      <c r="C227" s="47">
        <v>4286487.3</v>
      </c>
      <c r="D227" s="50">
        <v>-15525.080000000016</v>
      </c>
      <c r="E227" s="32">
        <f t="shared" si="17"/>
        <v>32038977.86</v>
      </c>
    </row>
    <row r="228">
      <c r="A228" s="20" t="s">
        <v>397</v>
      </c>
      <c r="B228" s="50">
        <v>68993184.49</v>
      </c>
      <c r="C228" s="47">
        <v>1881813.6700000002</v>
      </c>
      <c r="D228" s="50">
        <v>-22642.239999999991</v>
      </c>
      <c r="E228" s="32">
        <f t="shared" si="17"/>
        <v>70897640.399999991</v>
      </c>
    </row>
    <row r="229">
      <c r="A229" s="20" t="s">
        <v>398</v>
      </c>
      <c r="B229" s="50">
        <v>247228666.67</v>
      </c>
      <c r="C229" s="47">
        <v>26727863.45</v>
      </c>
      <c r="D229" s="50">
        <v>14711943.75</v>
      </c>
      <c r="E229" s="32">
        <f t="shared" si="17"/>
        <v>259244586.37</v>
      </c>
    </row>
    <row r="230">
      <c r="A230" s="20" t="s">
        <v>399</v>
      </c>
      <c r="B230" s="50"/>
      <c r="C230" s="47"/>
      <c r="D230" s="50"/>
      <c r="E230" s="32">
        <f t="shared" si="17"/>
        <v>0</v>
      </c>
    </row>
    <row r="231">
      <c r="A231" s="20" t="s">
        <v>400</v>
      </c>
      <c r="B231" s="50">
        <v>30327959.580000002</v>
      </c>
      <c r="C231" s="47">
        <v>4459754.24</v>
      </c>
      <c r="D231" s="50">
        <v>-626799.55000000016</v>
      </c>
      <c r="E231" s="32">
        <f t="shared" si="17"/>
        <v>35414513.37</v>
      </c>
    </row>
    <row r="232">
      <c r="A232" s="20" t="s">
        <v>401</v>
      </c>
      <c r="B232" s="50"/>
      <c r="C232" s="47"/>
      <c r="D232" s="50"/>
      <c r="E232" s="32">
        <f t="shared" si="17"/>
        <v>0</v>
      </c>
    </row>
    <row r="233">
      <c r="A233" s="20" t="s">
        <v>230</v>
      </c>
      <c r="B233" s="32">
        <f>SUM(B224:B232)</f>
        <v>456494173.34</v>
      </c>
      <c r="C233" s="266">
        <f>SUM(C224:C232)</f>
        <v>39469438.35</v>
      </c>
      <c r="D233" s="32">
        <f>SUM(D224:D232)</f>
        <v>14046976.879999999</v>
      </c>
      <c r="E233" s="32">
        <f>SUM(E224:E232)</f>
        <v>481916634.81</v>
      </c>
    </row>
    <row r="234">
      <c r="A234" s="20"/>
      <c r="B234" s="20"/>
      <c r="C234" s="27"/>
      <c r="D234" s="20"/>
      <c r="E234" s="20"/>
    </row>
    <row r="235">
      <c r="A235" s="38" t="s">
        <v>403</v>
      </c>
      <c r="B235" s="38"/>
      <c r="C235" s="38"/>
      <c r="D235" s="38"/>
      <c r="E235" s="38"/>
    </row>
    <row r="236">
      <c r="A236" s="38"/>
      <c r="B236" s="344" t="s">
        <v>404</v>
      </c>
      <c r="C236" s="344"/>
      <c r="D236" s="38"/>
      <c r="E236" s="38"/>
    </row>
    <row r="237">
      <c r="A237" s="56" t="s">
        <v>404</v>
      </c>
      <c r="B237" s="38"/>
      <c r="C237" s="47">
        <v>12690527.06</v>
      </c>
      <c r="D237" s="40">
        <f>C237</f>
        <v>12690527.06</v>
      </c>
      <c r="E237" s="38"/>
    </row>
    <row r="238">
      <c r="A238" s="45" t="s">
        <v>405</v>
      </c>
      <c r="B238" s="45"/>
      <c r="C238" s="45"/>
      <c r="D238" s="45"/>
      <c r="E238" s="45"/>
    </row>
    <row r="239">
      <c r="A239" s="20" t="s">
        <v>406</v>
      </c>
      <c r="B239" s="46" t="s">
        <v>299</v>
      </c>
      <c r="C239" s="47">
        <v>1448203453.38</v>
      </c>
      <c r="D239" s="20"/>
      <c r="E239" s="20"/>
    </row>
    <row r="240">
      <c r="A240" s="20" t="s">
        <v>407</v>
      </c>
      <c r="B240" s="46" t="s">
        <v>299</v>
      </c>
      <c r="C240" s="47">
        <v>684179740.61</v>
      </c>
      <c r="D240" s="20"/>
      <c r="E240" s="20"/>
    </row>
    <row r="241">
      <c r="A241" s="20" t="s">
        <v>408</v>
      </c>
      <c r="B241" s="46" t="s">
        <v>299</v>
      </c>
      <c r="C241" s="47"/>
      <c r="D241" s="20"/>
      <c r="E241" s="20"/>
    </row>
    <row r="242">
      <c r="A242" s="20" t="s">
        <v>409</v>
      </c>
      <c r="B242" s="46" t="s">
        <v>299</v>
      </c>
      <c r="C242" s="47">
        <v>130413746.87</v>
      </c>
      <c r="D242" s="20"/>
      <c r="E242" s="20"/>
    </row>
    <row r="243">
      <c r="A243" s="20" t="s">
        <v>410</v>
      </c>
      <c r="B243" s="46" t="s">
        <v>299</v>
      </c>
      <c r="C243" s="47">
        <v>554541976.68</v>
      </c>
      <c r="D243" s="20"/>
      <c r="E243" s="20"/>
    </row>
    <row r="244">
      <c r="A244" s="20" t="s">
        <v>411</v>
      </c>
      <c r="B244" s="46" t="s">
        <v>299</v>
      </c>
      <c r="C244" s="47">
        <v>46563533.110000007</v>
      </c>
      <c r="D244" s="20"/>
      <c r="E244" s="20"/>
    </row>
    <row r="245">
      <c r="A245" s="20" t="s">
        <v>412</v>
      </c>
      <c r="B245" s="20"/>
      <c r="C245" s="27"/>
      <c r="D245" s="32">
        <f>SUM(C239:C244)</f>
        <v>2863902450.65</v>
      </c>
      <c r="E245" s="20"/>
    </row>
    <row r="246">
      <c r="A246" s="45" t="s">
        <v>413</v>
      </c>
      <c r="B246" s="45"/>
      <c r="C246" s="45"/>
      <c r="D246" s="45"/>
      <c r="E246" s="45"/>
    </row>
    <row r="247">
      <c r="A247" s="26" t="s">
        <v>414</v>
      </c>
      <c r="B247" s="46" t="s">
        <v>299</v>
      </c>
      <c r="C247" s="47">
        <v>9762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415</v>
      </c>
      <c r="B249" s="46" t="s">
        <v>299</v>
      </c>
      <c r="C249" s="47">
        <v>14542606.88</v>
      </c>
      <c r="D249" s="20"/>
      <c r="E249" s="20"/>
    </row>
    <row r="250">
      <c r="A250" s="26" t="s">
        <v>416</v>
      </c>
      <c r="B250" s="46" t="s">
        <v>299</v>
      </c>
      <c r="C250" s="47">
        <v>17858501.24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417</v>
      </c>
      <c r="B252" s="20"/>
      <c r="C252" s="27"/>
      <c r="D252" s="32">
        <f>SUM(C249:C251)</f>
        <v>32401108.119999997</v>
      </c>
      <c r="E252" s="20"/>
    </row>
    <row r="253">
      <c r="A253" s="45" t="s">
        <v>418</v>
      </c>
      <c r="B253" s="45"/>
      <c r="C253" s="45"/>
      <c r="D253" s="45"/>
      <c r="E253" s="45"/>
    </row>
    <row r="254">
      <c r="A254" s="20" t="s">
        <v>419</v>
      </c>
      <c r="B254" s="46" t="s">
        <v>299</v>
      </c>
      <c r="C254" s="47">
        <v>21326378.480000004</v>
      </c>
      <c r="D254" s="20"/>
      <c r="E254" s="20"/>
    </row>
    <row r="255">
      <c r="A255" s="20" t="s">
        <v>418</v>
      </c>
      <c r="B255" s="46" t="s">
        <v>299</v>
      </c>
      <c r="C255" s="47"/>
      <c r="D255" s="20"/>
      <c r="E255" s="20"/>
    </row>
    <row r="256">
      <c r="A256" s="20" t="s">
        <v>420</v>
      </c>
      <c r="B256" s="20"/>
      <c r="C256" s="27"/>
      <c r="D256" s="32">
        <f>SUM(C254:C255)</f>
        <v>21326378.480000004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421</v>
      </c>
      <c r="B258" s="20"/>
      <c r="C258" s="27"/>
      <c r="D258" s="32">
        <f>D237+D245+D252+D256</f>
        <v>2930320464.31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422</v>
      </c>
      <c r="B264" s="38"/>
      <c r="C264" s="38"/>
      <c r="D264" s="38"/>
      <c r="E264" s="38"/>
    </row>
    <row r="265">
      <c r="A265" s="45" t="s">
        <v>423</v>
      </c>
      <c r="B265" s="45"/>
      <c r="C265" s="45"/>
      <c r="D265" s="45"/>
      <c r="E265" s="45"/>
    </row>
    <row r="266">
      <c r="A266" s="20" t="s">
        <v>424</v>
      </c>
      <c r="B266" s="46" t="s">
        <v>299</v>
      </c>
      <c r="C266" s="47">
        <v>59533466.75</v>
      </c>
      <c r="D266" s="20"/>
      <c r="E266" s="20"/>
    </row>
    <row r="267">
      <c r="A267" s="20" t="s">
        <v>425</v>
      </c>
      <c r="B267" s="46" t="s">
        <v>299</v>
      </c>
      <c r="C267" s="47"/>
      <c r="D267" s="20"/>
      <c r="E267" s="20"/>
    </row>
    <row r="268">
      <c r="A268" s="20" t="s">
        <v>426</v>
      </c>
      <c r="B268" s="46" t="s">
        <v>299</v>
      </c>
      <c r="C268" s="47">
        <v>586831859.13</v>
      </c>
      <c r="D268" s="20"/>
      <c r="E268" s="20"/>
    </row>
    <row r="269">
      <c r="A269" s="20" t="s">
        <v>427</v>
      </c>
      <c r="B269" s="46" t="s">
        <v>299</v>
      </c>
      <c r="C269" s="47">
        <v>479100271.90000004</v>
      </c>
      <c r="D269" s="20"/>
      <c r="E269" s="20"/>
    </row>
    <row r="270">
      <c r="A270" s="20" t="s">
        <v>428</v>
      </c>
      <c r="B270" s="46" t="s">
        <v>299</v>
      </c>
      <c r="C270" s="47"/>
      <c r="D270" s="20"/>
      <c r="E270" s="20"/>
    </row>
    <row r="271">
      <c r="A271" s="20" t="s">
        <v>429</v>
      </c>
      <c r="B271" s="46" t="s">
        <v>299</v>
      </c>
      <c r="C271" s="47">
        <v>-6021228.6199999992</v>
      </c>
      <c r="D271" s="20"/>
      <c r="E271" s="20"/>
    </row>
    <row r="272">
      <c r="A272" s="20" t="s">
        <v>430</v>
      </c>
      <c r="B272" s="46" t="s">
        <v>299</v>
      </c>
      <c r="C272" s="47"/>
      <c r="D272" s="20"/>
      <c r="E272" s="20"/>
    </row>
    <row r="273">
      <c r="A273" s="20" t="s">
        <v>431</v>
      </c>
      <c r="B273" s="46" t="s">
        <v>299</v>
      </c>
      <c r="C273" s="47">
        <v>21203675.23</v>
      </c>
      <c r="D273" s="20"/>
      <c r="E273" s="20"/>
    </row>
    <row r="274">
      <c r="A274" s="20" t="s">
        <v>432</v>
      </c>
      <c r="B274" s="46" t="s">
        <v>299</v>
      </c>
      <c r="C274" s="47">
        <v>2542797.56</v>
      </c>
      <c r="D274" s="20"/>
      <c r="E274" s="20"/>
    </row>
    <row r="275">
      <c r="A275" s="20" t="s">
        <v>433</v>
      </c>
      <c r="B275" s="46" t="s">
        <v>299</v>
      </c>
      <c r="C275" s="47"/>
      <c r="D275" s="20"/>
      <c r="E275" s="20"/>
    </row>
    <row r="276">
      <c r="A276" s="20" t="s">
        <v>434</v>
      </c>
      <c r="B276" s="20"/>
      <c r="C276" s="27"/>
      <c r="D276" s="32">
        <f>SUM(C266:C268)-C269+SUM(C270:C275)</f>
        <v>184990298.14999998</v>
      </c>
      <c r="E276" s="20"/>
    </row>
    <row r="277">
      <c r="A277" s="45" t="s">
        <v>435</v>
      </c>
      <c r="B277" s="45"/>
      <c r="C277" s="45"/>
      <c r="D277" s="45"/>
      <c r="E277" s="45"/>
    </row>
    <row r="278">
      <c r="A278" s="20" t="s">
        <v>424</v>
      </c>
      <c r="B278" s="46" t="s">
        <v>299</v>
      </c>
      <c r="C278" s="47"/>
      <c r="D278" s="20"/>
      <c r="E278" s="20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436</v>
      </c>
      <c r="B280" s="46" t="s">
        <v>299</v>
      </c>
      <c r="C280" s="47"/>
      <c r="D280" s="20"/>
      <c r="E280" s="20"/>
    </row>
    <row r="281">
      <c r="A281" s="20" t="s">
        <v>437</v>
      </c>
      <c r="B281" s="20"/>
      <c r="C281" s="27"/>
      <c r="D281" s="32">
        <f>SUM(C278:C280)</f>
        <v>0</v>
      </c>
      <c r="E281" s="20"/>
    </row>
    <row r="282">
      <c r="A282" s="45" t="s">
        <v>438</v>
      </c>
      <c r="B282" s="45"/>
      <c r="C282" s="45"/>
      <c r="D282" s="45"/>
      <c r="E282" s="45"/>
    </row>
    <row r="283">
      <c r="A283" s="20" t="s">
        <v>393</v>
      </c>
      <c r="B283" s="46" t="s">
        <v>299</v>
      </c>
      <c r="C283" s="47">
        <v>7877314.96</v>
      </c>
      <c r="D283" s="20"/>
      <c r="E283" s="20"/>
    </row>
    <row r="284">
      <c r="A284" s="20" t="s">
        <v>394</v>
      </c>
      <c r="B284" s="46" t="s">
        <v>299</v>
      </c>
      <c r="C284" s="47">
        <v>4412190.25</v>
      </c>
      <c r="D284" s="20"/>
      <c r="E284" s="20"/>
    </row>
    <row r="285">
      <c r="A285" s="20" t="s">
        <v>395</v>
      </c>
      <c r="B285" s="46" t="s">
        <v>299</v>
      </c>
      <c r="C285" s="47">
        <v>122860258.49</v>
      </c>
      <c r="D285" s="20"/>
      <c r="E285" s="20"/>
    </row>
    <row r="286">
      <c r="A286" s="20" t="s">
        <v>439</v>
      </c>
      <c r="B286" s="46" t="s">
        <v>299</v>
      </c>
      <c r="C286" s="47">
        <v>65648992.14</v>
      </c>
      <c r="D286" s="20"/>
      <c r="E286" s="20"/>
    </row>
    <row r="287">
      <c r="A287" s="20" t="s">
        <v>440</v>
      </c>
      <c r="B287" s="46" t="s">
        <v>299</v>
      </c>
      <c r="C287" s="47">
        <v>83171267.11</v>
      </c>
      <c r="D287" s="20"/>
      <c r="E287" s="20"/>
    </row>
    <row r="288">
      <c r="A288" s="20" t="s">
        <v>441</v>
      </c>
      <c r="B288" s="46" t="s">
        <v>299</v>
      </c>
      <c r="C288" s="47">
        <v>300932325</v>
      </c>
      <c r="D288" s="20"/>
      <c r="E288" s="20"/>
    </row>
    <row r="289">
      <c r="A289" s="20" t="s">
        <v>400</v>
      </c>
      <c r="B289" s="46" t="s">
        <v>299</v>
      </c>
      <c r="C289" s="47">
        <v>66217816.29</v>
      </c>
      <c r="D289" s="20"/>
      <c r="E289" s="20"/>
    </row>
    <row r="290">
      <c r="A290" s="20" t="s">
        <v>401</v>
      </c>
      <c r="B290" s="46" t="s">
        <v>299</v>
      </c>
      <c r="C290" s="47">
        <v>5118840.61</v>
      </c>
      <c r="D290" s="20"/>
      <c r="E290" s="20"/>
    </row>
    <row r="291">
      <c r="A291" s="20" t="s">
        <v>442</v>
      </c>
      <c r="B291" s="20"/>
      <c r="C291" s="27"/>
      <c r="D291" s="32">
        <f>SUM(C283:C290)</f>
        <v>656239004.85</v>
      </c>
      <c r="E291" s="20"/>
    </row>
    <row r="292">
      <c r="A292" s="20" t="s">
        <v>443</v>
      </c>
      <c r="B292" s="46" t="s">
        <v>299</v>
      </c>
      <c r="C292" s="47">
        <v>481916634.81</v>
      </c>
      <c r="D292" s="20"/>
      <c r="E292" s="20"/>
    </row>
    <row r="293">
      <c r="A293" s="20" t="s">
        <v>444</v>
      </c>
      <c r="B293" s="20"/>
      <c r="C293" s="27"/>
      <c r="D293" s="32">
        <f>D291-C292</f>
        <v>174322370.04000002</v>
      </c>
      <c r="E293" s="20"/>
    </row>
    <row r="294">
      <c r="A294" s="45" t="s">
        <v>445</v>
      </c>
      <c r="B294" s="45"/>
      <c r="C294" s="45"/>
      <c r="D294" s="45"/>
      <c r="E294" s="45"/>
    </row>
    <row r="295">
      <c r="A295" s="20" t="s">
        <v>446</v>
      </c>
      <c r="B295" s="46" t="s">
        <v>299</v>
      </c>
      <c r="C295" s="47"/>
      <c r="D295" s="20"/>
      <c r="E295" s="20"/>
    </row>
    <row r="296">
      <c r="A296" s="20" t="s">
        <v>447</v>
      </c>
      <c r="B296" s="46" t="s">
        <v>299</v>
      </c>
      <c r="C296" s="47"/>
      <c r="D296" s="20"/>
      <c r="E296" s="20"/>
    </row>
    <row r="297">
      <c r="A297" s="20" t="s">
        <v>448</v>
      </c>
      <c r="B297" s="46" t="s">
        <v>299</v>
      </c>
      <c r="C297" s="47">
        <v>17827418.59</v>
      </c>
      <c r="D297" s="20"/>
      <c r="E297" s="20"/>
    </row>
    <row r="298">
      <c r="A298" s="20" t="s">
        <v>436</v>
      </c>
      <c r="B298" s="46" t="s">
        <v>299</v>
      </c>
      <c r="C298" s="47">
        <v>51358629.8</v>
      </c>
      <c r="D298" s="20"/>
      <c r="E298" s="20"/>
    </row>
    <row r="299">
      <c r="A299" s="20" t="s">
        <v>449</v>
      </c>
      <c r="B299" s="20"/>
      <c r="C299" s="27"/>
      <c r="D299" s="32">
        <f>C295-C296+C297+C298</f>
        <v>69186048.39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450</v>
      </c>
      <c r="B301" s="45"/>
      <c r="C301" s="45"/>
      <c r="D301" s="45"/>
      <c r="E301" s="45"/>
    </row>
    <row r="302">
      <c r="A302" s="20" t="s">
        <v>451</v>
      </c>
      <c r="B302" s="46" t="s">
        <v>299</v>
      </c>
      <c r="C302" s="47">
        <v>4245001.81</v>
      </c>
      <c r="D302" s="20"/>
      <c r="E302" s="20"/>
    </row>
    <row r="303">
      <c r="A303" s="20" t="s">
        <v>452</v>
      </c>
      <c r="B303" s="46" t="s">
        <v>299</v>
      </c>
      <c r="C303" s="47"/>
      <c r="D303" s="20"/>
      <c r="E303" s="20"/>
    </row>
    <row r="304">
      <c r="A304" s="20" t="s">
        <v>453</v>
      </c>
      <c r="B304" s="46" t="s">
        <v>299</v>
      </c>
      <c r="C304" s="47"/>
      <c r="D304" s="20"/>
      <c r="E304" s="20"/>
    </row>
    <row r="305">
      <c r="A305" s="20" t="s">
        <v>454</v>
      </c>
      <c r="B305" s="46" t="s">
        <v>299</v>
      </c>
      <c r="C305" s="47">
        <v>132771.63</v>
      </c>
      <c r="D305" s="20"/>
      <c r="E305" s="20"/>
    </row>
    <row r="306">
      <c r="A306" s="20" t="s">
        <v>455</v>
      </c>
      <c r="B306" s="20"/>
      <c r="C306" s="27"/>
      <c r="D306" s="32">
        <f>SUM(C302:C305)</f>
        <v>4377773.4399999995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456</v>
      </c>
      <c r="B308" s="20"/>
      <c r="C308" s="27"/>
      <c r="D308" s="32">
        <f>D276+D281+D293+D299+D306</f>
        <v>432876490.02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457</v>
      </c>
      <c r="B312" s="38"/>
      <c r="C312" s="38"/>
      <c r="D312" s="38"/>
      <c r="E312" s="38"/>
    </row>
    <row r="313">
      <c r="A313" s="45" t="s">
        <v>458</v>
      </c>
      <c r="B313" s="45"/>
      <c r="C313" s="45"/>
      <c r="D313" s="45"/>
      <c r="E313" s="45"/>
    </row>
    <row r="314">
      <c r="A314" s="20" t="s">
        <v>459</v>
      </c>
      <c r="B314" s="46" t="s">
        <v>299</v>
      </c>
      <c r="C314" s="47">
        <v>0</v>
      </c>
      <c r="D314" s="20"/>
      <c r="E314" s="20"/>
    </row>
    <row r="315">
      <c r="A315" s="20" t="s">
        <v>460</v>
      </c>
      <c r="B315" s="46" t="s">
        <v>299</v>
      </c>
      <c r="C315" s="47">
        <v>14583513.45</v>
      </c>
      <c r="D315" s="20"/>
      <c r="E315" s="20"/>
    </row>
    <row r="316">
      <c r="A316" s="20" t="s">
        <v>461</v>
      </c>
      <c r="B316" s="46" t="s">
        <v>299</v>
      </c>
      <c r="C316" s="47">
        <v>37876966.43</v>
      </c>
      <c r="D316" s="20"/>
      <c r="E316" s="20"/>
    </row>
    <row r="317">
      <c r="A317" s="20" t="s">
        <v>462</v>
      </c>
      <c r="B317" s="46" t="s">
        <v>299</v>
      </c>
      <c r="C317" s="47">
        <v>93562450.53</v>
      </c>
      <c r="D317" s="20"/>
      <c r="E317" s="20"/>
    </row>
    <row r="318">
      <c r="A318" s="20" t="s">
        <v>463</v>
      </c>
      <c r="B318" s="46" t="s">
        <v>299</v>
      </c>
      <c r="C318" s="47"/>
      <c r="D318" s="20"/>
      <c r="E318" s="20"/>
    </row>
    <row r="319">
      <c r="A319" s="20" t="s">
        <v>464</v>
      </c>
      <c r="B319" s="46" t="s">
        <v>299</v>
      </c>
      <c r="C319" s="47">
        <v>21852176.58</v>
      </c>
      <c r="D319" s="20"/>
      <c r="E319" s="20"/>
    </row>
    <row r="320">
      <c r="A320" s="20" t="s">
        <v>465</v>
      </c>
      <c r="B320" s="46" t="s">
        <v>299</v>
      </c>
      <c r="C320" s="47"/>
      <c r="D320" s="20"/>
      <c r="E320" s="20"/>
    </row>
    <row r="321">
      <c r="A321" s="20" t="s">
        <v>466</v>
      </c>
      <c r="B321" s="46" t="s">
        <v>299</v>
      </c>
      <c r="C321" s="47"/>
      <c r="D321" s="20"/>
      <c r="E321" s="20"/>
    </row>
    <row r="322">
      <c r="A322" s="20" t="s">
        <v>467</v>
      </c>
      <c r="B322" s="46" t="s">
        <v>299</v>
      </c>
      <c r="C322" s="47"/>
      <c r="D322" s="20"/>
      <c r="E322" s="20"/>
    </row>
    <row r="323">
      <c r="A323" s="20" t="s">
        <v>468</v>
      </c>
      <c r="B323" s="46" t="s">
        <v>299</v>
      </c>
      <c r="C323" s="47">
        <v>869466.49</v>
      </c>
      <c r="D323" s="20"/>
      <c r="E323" s="20"/>
    </row>
    <row r="324">
      <c r="A324" s="20" t="s">
        <v>469</v>
      </c>
      <c r="B324" s="20"/>
      <c r="C324" s="27"/>
      <c r="D324" s="32">
        <f>SUM(C314:C323)</f>
        <v>168744573.48000002</v>
      </c>
      <c r="E324" s="20"/>
    </row>
    <row r="325">
      <c r="A325" s="45" t="s">
        <v>470</v>
      </c>
      <c r="B325" s="45"/>
      <c r="C325" s="45"/>
      <c r="D325" s="45"/>
      <c r="E325" s="45"/>
    </row>
    <row r="326">
      <c r="A326" s="20" t="s">
        <v>471</v>
      </c>
      <c r="B326" s="46" t="s">
        <v>299</v>
      </c>
      <c r="C326" s="47"/>
      <c r="D326" s="20"/>
      <c r="E326" s="20"/>
    </row>
    <row r="327">
      <c r="A327" s="20" t="s">
        <v>472</v>
      </c>
      <c r="B327" s="46" t="s">
        <v>299</v>
      </c>
      <c r="C327" s="47"/>
      <c r="D327" s="20"/>
      <c r="E327" s="20"/>
    </row>
    <row r="328">
      <c r="A328" s="20" t="s">
        <v>473</v>
      </c>
      <c r="B328" s="46" t="s">
        <v>299</v>
      </c>
      <c r="C328" s="47">
        <v>51902292.31</v>
      </c>
      <c r="D328" s="20"/>
      <c r="E328" s="20"/>
    </row>
    <row r="329">
      <c r="A329" s="20" t="s">
        <v>474</v>
      </c>
      <c r="B329" s="20"/>
      <c r="C329" s="27"/>
      <c r="D329" s="32">
        <f>SUM(C326:C328)</f>
        <v>51902292.31</v>
      </c>
      <c r="E329" s="20"/>
    </row>
    <row r="330">
      <c r="A330" s="45" t="s">
        <v>475</v>
      </c>
      <c r="B330" s="45"/>
      <c r="C330" s="45"/>
      <c r="D330" s="45"/>
      <c r="E330" s="45"/>
    </row>
    <row r="331">
      <c r="A331" s="20" t="s">
        <v>476</v>
      </c>
      <c r="B331" s="46" t="s">
        <v>299</v>
      </c>
      <c r="C331" s="47"/>
      <c r="D331" s="20"/>
      <c r="E331" s="20"/>
    </row>
    <row r="332">
      <c r="A332" s="20" t="s">
        <v>477</v>
      </c>
      <c r="B332" s="46" t="s">
        <v>299</v>
      </c>
      <c r="C332" s="47"/>
      <c r="D332" s="20"/>
      <c r="E332" s="20"/>
    </row>
    <row r="333">
      <c r="A333" s="20" t="s">
        <v>478</v>
      </c>
      <c r="B333" s="46" t="s">
        <v>299</v>
      </c>
      <c r="C333" s="47"/>
      <c r="D333" s="20"/>
      <c r="E333" s="20"/>
    </row>
    <row r="334">
      <c r="A334" s="26" t="s">
        <v>479</v>
      </c>
      <c r="B334" s="46" t="s">
        <v>299</v>
      </c>
      <c r="C334" s="47">
        <v>3101920.26</v>
      </c>
      <c r="D334" s="20"/>
      <c r="E334" s="20"/>
    </row>
    <row r="335">
      <c r="A335" s="20" t="s">
        <v>480</v>
      </c>
      <c r="B335" s="46" t="s">
        <v>299</v>
      </c>
      <c r="C335" s="47"/>
      <c r="D335" s="20"/>
      <c r="E335" s="20"/>
    </row>
    <row r="336">
      <c r="A336" s="26" t="s">
        <v>481</v>
      </c>
      <c r="B336" s="46" t="s">
        <v>299</v>
      </c>
      <c r="C336" s="47"/>
      <c r="D336" s="20"/>
      <c r="E336" s="20"/>
    </row>
    <row r="337">
      <c r="A337" s="26" t="s">
        <v>482</v>
      </c>
      <c r="B337" s="46" t="s">
        <v>299</v>
      </c>
      <c r="C337" s="272"/>
      <c r="D337" s="20"/>
      <c r="E337" s="20"/>
    </row>
    <row r="338">
      <c r="A338" s="20" t="s">
        <v>483</v>
      </c>
      <c r="B338" s="46" t="s">
        <v>299</v>
      </c>
      <c r="C338" s="47"/>
      <c r="D338" s="20"/>
      <c r="E338" s="20"/>
    </row>
    <row r="339">
      <c r="A339" s="20" t="s">
        <v>230</v>
      </c>
      <c r="B339" s="20"/>
      <c r="C339" s="27"/>
      <c r="D339" s="32">
        <f>SUM(C331:C338)</f>
        <v>3101920.26</v>
      </c>
      <c r="E339" s="20"/>
    </row>
    <row r="340">
      <c r="A340" s="20" t="s">
        <v>484</v>
      </c>
      <c r="B340" s="20"/>
      <c r="C340" s="27"/>
      <c r="D340" s="32">
        <f>C323</f>
        <v>869466.49</v>
      </c>
      <c r="E340" s="20"/>
    </row>
    <row r="341">
      <c r="A341" s="20" t="s">
        <v>485</v>
      </c>
      <c r="B341" s="20"/>
      <c r="C341" s="27"/>
      <c r="D341" s="32">
        <f>D339-D340</f>
        <v>2232453.7699999996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486</v>
      </c>
      <c r="B343" s="46" t="s">
        <v>299</v>
      </c>
      <c r="C343" s="327">
        <v>209997170.34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487</v>
      </c>
      <c r="B345" s="46" t="s">
        <v>299</v>
      </c>
      <c r="C345" s="234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20"/>
      <c r="C350" s="27"/>
      <c r="D350" s="32">
        <f>D324+D329+D341+C343+C347+C348</f>
        <v>432876489.90000004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493</v>
      </c>
      <c r="B352" s="20"/>
      <c r="C352" s="27"/>
      <c r="D352" s="32">
        <f>D308</f>
        <v>432876490.02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494</v>
      </c>
      <c r="B356" s="38"/>
      <c r="C356" s="38"/>
      <c r="D356" s="38"/>
      <c r="E356" s="38"/>
    </row>
    <row r="357">
      <c r="A357" s="45" t="s">
        <v>495</v>
      </c>
      <c r="B357" s="45"/>
      <c r="C357" s="45"/>
      <c r="D357" s="45"/>
      <c r="E357" s="45"/>
    </row>
    <row r="358">
      <c r="A358" s="20" t="s">
        <v>496</v>
      </c>
      <c r="B358" s="46" t="s">
        <v>299</v>
      </c>
      <c r="C358" s="234">
        <v>2218952383.16</v>
      </c>
      <c r="D358" s="20"/>
      <c r="E358" s="20"/>
    </row>
    <row r="359">
      <c r="A359" s="20" t="s">
        <v>497</v>
      </c>
      <c r="B359" s="46" t="s">
        <v>299</v>
      </c>
      <c r="C359" s="234">
        <v>1502437875.0599997</v>
      </c>
      <c r="D359" s="20"/>
      <c r="E359" s="20"/>
    </row>
    <row r="360">
      <c r="A360" s="20" t="s">
        <v>498</v>
      </c>
      <c r="B360" s="20"/>
      <c r="C360" s="27"/>
      <c r="D360" s="32">
        <f>SUM(C358:C359)</f>
        <v>3721390258.2199993</v>
      </c>
      <c r="E360" s="20"/>
    </row>
    <row r="361">
      <c r="A361" s="45" t="s">
        <v>499</v>
      </c>
      <c r="B361" s="45"/>
      <c r="C361" s="45"/>
      <c r="D361" s="45"/>
      <c r="E361" s="45"/>
    </row>
    <row r="362">
      <c r="A362" s="20" t="s">
        <v>404</v>
      </c>
      <c r="B362" s="45"/>
      <c r="C362" s="47">
        <v>12690527.06</v>
      </c>
      <c r="D362" s="20"/>
      <c r="E362" s="45"/>
    </row>
    <row r="363">
      <c r="A363" s="20" t="s">
        <v>500</v>
      </c>
      <c r="B363" s="46" t="s">
        <v>299</v>
      </c>
      <c r="C363" s="47">
        <v>2863902450.65</v>
      </c>
      <c r="D363" s="20"/>
      <c r="E363" s="20"/>
    </row>
    <row r="364">
      <c r="A364" s="20" t="s">
        <v>501</v>
      </c>
      <c r="B364" s="46" t="s">
        <v>299</v>
      </c>
      <c r="C364" s="47">
        <v>32401108.12</v>
      </c>
      <c r="D364" s="20"/>
      <c r="E364" s="20"/>
    </row>
    <row r="365">
      <c r="A365" s="20" t="s">
        <v>502</v>
      </c>
      <c r="B365" s="46" t="s">
        <v>299</v>
      </c>
      <c r="C365" s="47">
        <v>21326378.480000004</v>
      </c>
      <c r="D365" s="20"/>
      <c r="E365" s="20"/>
    </row>
    <row r="366">
      <c r="A366" s="20" t="s">
        <v>421</v>
      </c>
      <c r="B366" s="20"/>
      <c r="C366" s="27"/>
      <c r="D366" s="32">
        <f>SUM(C362:C365)</f>
        <v>2930320464.31</v>
      </c>
      <c r="E366" s="20"/>
    </row>
    <row r="367">
      <c r="A367" s="20" t="s">
        <v>503</v>
      </c>
      <c r="B367" s="20"/>
      <c r="C367" s="27"/>
      <c r="D367" s="32">
        <f>D360-D366</f>
        <v>791069793.90999937</v>
      </c>
      <c r="E367" s="20"/>
    </row>
    <row r="368">
      <c r="A368" s="58" t="s">
        <v>504</v>
      </c>
      <c r="B368" s="45"/>
      <c r="C368" s="45"/>
      <c r="D368" s="45"/>
      <c r="E368" s="45"/>
    </row>
    <row r="369">
      <c r="A369" s="32" t="s">
        <v>505</v>
      </c>
      <c r="B369" s="20"/>
      <c r="C369" s="20"/>
      <c r="D369" s="20"/>
      <c r="E369" s="20"/>
    </row>
    <row r="370">
      <c r="A370" s="59" t="s">
        <v>506</v>
      </c>
      <c r="B370" s="40" t="s">
        <v>299</v>
      </c>
      <c r="C370" s="273"/>
      <c r="D370" s="32"/>
      <c r="E370" s="32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36">
        <v>21506058.4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517</v>
      </c>
      <c r="B381" s="46"/>
      <c r="C381" s="46"/>
      <c r="D381" s="32">
        <f>SUM(C370:C380)</f>
        <v>21506058.4</v>
      </c>
      <c r="E381" s="32"/>
      <c r="F381" s="60"/>
    </row>
    <row r="382">
      <c r="A382" s="56" t="s">
        <v>518</v>
      </c>
      <c r="B382" s="46" t="s">
        <v>299</v>
      </c>
      <c r="C382" s="47"/>
      <c r="D382" s="32"/>
      <c r="E382" s="20"/>
    </row>
    <row r="383">
      <c r="A383" s="20" t="s">
        <v>519</v>
      </c>
      <c r="B383" s="20"/>
      <c r="C383" s="27"/>
      <c r="D383" s="32">
        <f>D381+C382</f>
        <v>21506058.4</v>
      </c>
      <c r="E383" s="20"/>
    </row>
    <row r="384">
      <c r="A384" s="20" t="s">
        <v>520</v>
      </c>
      <c r="B384" s="20"/>
      <c r="C384" s="27"/>
      <c r="D384" s="32">
        <f>D367+D383</f>
        <v>812575852.30999935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521</v>
      </c>
      <c r="B388" s="45"/>
      <c r="C388" s="45"/>
      <c r="D388" s="45"/>
      <c r="E388" s="45"/>
    </row>
    <row r="389">
      <c r="A389" s="20" t="s">
        <v>522</v>
      </c>
      <c r="B389" s="46" t="s">
        <v>299</v>
      </c>
      <c r="C389" s="47">
        <v>359558993.66</v>
      </c>
      <c r="D389" s="20"/>
      <c r="E389" s="20"/>
    </row>
    <row r="390">
      <c r="A390" s="20" t="s">
        <v>11</v>
      </c>
      <c r="B390" s="46" t="s">
        <v>299</v>
      </c>
      <c r="C390" s="47">
        <v>70893325.2</v>
      </c>
      <c r="D390" s="20"/>
      <c r="E390" s="20"/>
    </row>
    <row r="391">
      <c r="A391" s="20" t="s">
        <v>264</v>
      </c>
      <c r="B391" s="46" t="s">
        <v>299</v>
      </c>
      <c r="C391" s="47">
        <v>30254462.79</v>
      </c>
      <c r="D391" s="20"/>
      <c r="E391" s="20"/>
    </row>
    <row r="392">
      <c r="A392" s="20" t="s">
        <v>523</v>
      </c>
      <c r="B392" s="46" t="s">
        <v>299</v>
      </c>
      <c r="C392" s="47">
        <v>136278892.56</v>
      </c>
      <c r="D392" s="20"/>
      <c r="E392" s="20"/>
    </row>
    <row r="393">
      <c r="A393" s="20" t="s">
        <v>524</v>
      </c>
      <c r="B393" s="46" t="s">
        <v>299</v>
      </c>
      <c r="C393" s="47">
        <v>4442044</v>
      </c>
      <c r="D393" s="20"/>
      <c r="E393" s="20"/>
    </row>
    <row r="394">
      <c r="A394" s="20" t="s">
        <v>525</v>
      </c>
      <c r="B394" s="46" t="s">
        <v>299</v>
      </c>
      <c r="C394" s="47">
        <v>200811748.6</v>
      </c>
      <c r="D394" s="20"/>
      <c r="E394" s="20"/>
    </row>
    <row r="395">
      <c r="A395" s="20" t="s">
        <v>16</v>
      </c>
      <c r="B395" s="46" t="s">
        <v>299</v>
      </c>
      <c r="C395" s="47">
        <v>39469438.35</v>
      </c>
      <c r="D395" s="20"/>
      <c r="E395" s="20"/>
    </row>
    <row r="396">
      <c r="A396" s="20" t="s">
        <v>526</v>
      </c>
      <c r="B396" s="46" t="s">
        <v>299</v>
      </c>
      <c r="C396" s="47">
        <v>18189025.46</v>
      </c>
      <c r="D396" s="20"/>
      <c r="E396" s="20"/>
    </row>
    <row r="397">
      <c r="A397" s="20" t="s">
        <v>527</v>
      </c>
      <c r="B397" s="46" t="s">
        <v>299</v>
      </c>
      <c r="C397" s="47">
        <v>4126227.41</v>
      </c>
      <c r="D397" s="20"/>
      <c r="E397" s="20"/>
    </row>
    <row r="398">
      <c r="A398" s="20" t="s">
        <v>528</v>
      </c>
      <c r="B398" s="46" t="s">
        <v>299</v>
      </c>
      <c r="C398" s="47">
        <v>30363948.59</v>
      </c>
      <c r="D398" s="20"/>
      <c r="E398" s="20"/>
    </row>
    <row r="399">
      <c r="A399" s="20" t="s">
        <v>529</v>
      </c>
      <c r="B399" s="46" t="s">
        <v>299</v>
      </c>
      <c r="C399" s="47">
        <v>29914.22</v>
      </c>
      <c r="D399" s="20"/>
      <c r="E399" s="20"/>
    </row>
    <row r="400">
      <c r="A400" s="32" t="s">
        <v>530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531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7737166.21999979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532</v>
      </c>
      <c r="B415" s="46"/>
      <c r="C415" s="46"/>
      <c r="D415" s="32">
        <f>SUM(C401:C414)</f>
        <v>7737166.21999979</v>
      </c>
      <c r="E415" s="32"/>
      <c r="F415" s="60"/>
      <c r="G415" s="60"/>
      <c r="H415" s="60"/>
      <c r="I415" s="60"/>
    </row>
    <row r="416">
      <c r="A416" s="32" t="s">
        <v>533</v>
      </c>
      <c r="B416" s="20"/>
      <c r="C416" s="27"/>
      <c r="D416" s="32">
        <f>SUM(C389:C399,D415)</f>
        <v>902155187.06</v>
      </c>
      <c r="E416" s="32"/>
    </row>
    <row r="417">
      <c r="A417" s="32" t="s">
        <v>534</v>
      </c>
      <c r="B417" s="20"/>
      <c r="C417" s="27"/>
      <c r="D417" s="32">
        <f>D384-D416</f>
        <v>-89579334.7500006</v>
      </c>
      <c r="E417" s="32"/>
    </row>
    <row r="418">
      <c r="A418" s="32" t="s">
        <v>535</v>
      </c>
      <c r="B418" s="20"/>
      <c r="C418" s="236">
        <v>-177725.79</v>
      </c>
      <c r="D418" s="32"/>
      <c r="E418" s="32"/>
    </row>
    <row r="419">
      <c r="A419" s="59" t="s">
        <v>536</v>
      </c>
      <c r="B419" s="46" t="s">
        <v>299</v>
      </c>
      <c r="C419" s="273"/>
      <c r="D419" s="32"/>
      <c r="E419" s="32"/>
    </row>
    <row r="420">
      <c r="A420" s="61" t="s">
        <v>537</v>
      </c>
      <c r="B420" s="20"/>
      <c r="C420" s="20"/>
      <c r="D420" s="32">
        <f>SUM(C418:C419)</f>
        <v>-177725.79</v>
      </c>
      <c r="E420" s="32"/>
    </row>
    <row r="421">
      <c r="A421" s="32" t="s">
        <v>538</v>
      </c>
      <c r="B421" s="20"/>
      <c r="C421" s="27"/>
      <c r="D421" s="32">
        <f>D417+D420</f>
        <v>-89757060.5400006</v>
      </c>
      <c r="E421" s="32"/>
      <c r="F421" s="63"/>
    </row>
    <row r="422">
      <c r="A422" s="32" t="s">
        <v>539</v>
      </c>
      <c r="B422" s="46" t="s">
        <v>299</v>
      </c>
      <c r="C422" s="47"/>
      <c r="D422" s="32"/>
      <c r="E422" s="20"/>
    </row>
    <row r="423">
      <c r="A423" s="20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20"/>
      <c r="C424" s="27"/>
      <c r="D424" s="32">
        <f>D421+C422-C423</f>
        <v>-89757060.5400006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542</v>
      </c>
      <c r="D612" s="256">
        <f>CE90-(BE90+CD90)</f>
        <v>680219.97796666669</v>
      </c>
      <c r="E612" s="258">
        <f>SUM(C624:D647)+SUM(C668:D713)</f>
        <v>747723765.64742625</v>
      </c>
      <c r="F612" s="258">
        <f>CE64-(AX64+BD64+BE64+BG64+BJ64+BN64+BP64+BQ64+CB64+CC64+CD64)</f>
        <v>135822193.75000003</v>
      </c>
      <c r="G612" s="256">
        <f>CE91-(AX91+AY91+BD91+BE91+BG91+BJ91+BN91+BP91+BQ91+CB91+CC91+CD91)</f>
        <v>333134</v>
      </c>
      <c r="H612" s="261">
        <f>CE60-(AX60+AY60+AZ60+BD60+BE60+BG60+BJ60+BN60+BO60+BP60+BQ60+BR60+CB60+CC60+CD60)</f>
        <v>3012.2062644230764</v>
      </c>
      <c r="I612" s="256">
        <f>CE92-(AX92+AY92+AZ92+BD92+BE92+BF92+BG92+BJ92+BN92+BO92+BP92+BQ92+BR92+CB92+CC92+CD92)</f>
        <v>190567.78000000003</v>
      </c>
      <c r="J612" s="256">
        <f>CE93-(AX93+AY93+AZ93+BA93+BD93+BE93+BF93+BG93+BJ93+BN93+BO93+BP93+BQ93+BR93+CB93+CC93+CD93)</f>
        <v>2460871.18</v>
      </c>
      <c r="K612" s="256">
        <f>CE89-(AW89+AX89+AY89+AZ89+BA89+BB89+BC89+BD89+BE89+BF89+BG89+BH89+BI89+BJ89+BK89+BL89+BM89+BN89+BO89+BP89+BQ89+BR89+BS89+BT89+BU89+BV89+BW89+BX89+CB89+CC89+CD89)</f>
        <v>3721390258.22</v>
      </c>
      <c r="L612" s="262">
        <f>CE94-(AW94+AX94+AY94+AZ94+BA94+BB94+BC94+BD94+BE94+BF94+BG94+BH94+BI94+BJ94+BK94+BL94+BM94+BN94+BO94+BP94+BQ94+BR94+BS94+BT94+BU94+BV94+BW94+BX94+BY94+BZ94+CA94+CB94+CC94+CD94)</f>
        <v>1213.2421346153844</v>
      </c>
    </row>
    <row r="613" ht="12.6" customHeight="1" s="231" customFormat="1">
      <c r="A613" s="251"/>
      <c r="C613" s="249" t="s">
        <v>543</v>
      </c>
      <c r="D613" s="257" t="s">
        <v>544</v>
      </c>
      <c r="E613" s="259" t="s">
        <v>545</v>
      </c>
      <c r="F613" s="260" t="s">
        <v>546</v>
      </c>
      <c r="G613" s="257" t="s">
        <v>547</v>
      </c>
      <c r="H613" s="260" t="s">
        <v>548</v>
      </c>
      <c r="I613" s="257" t="s">
        <v>549</v>
      </c>
      <c r="J613" s="257" t="s">
        <v>550</v>
      </c>
      <c r="K613" s="249" t="s">
        <v>551</v>
      </c>
      <c r="L613" s="250" t="s">
        <v>552</v>
      </c>
    </row>
    <row r="614" ht="12.6" customHeight="1" s="231" customFormat="1">
      <c r="A614" s="251">
        <v>8430</v>
      </c>
      <c r="B614" s="250" t="s">
        <v>167</v>
      </c>
      <c r="C614" s="256">
        <f>BE85</f>
        <v>30125939.800000004</v>
      </c>
      <c r="D614" s="256"/>
      <c r="E614" s="258"/>
      <c r="F614" s="258"/>
      <c r="G614" s="256"/>
      <c r="H614" s="258"/>
      <c r="I614" s="256"/>
      <c r="J614" s="256"/>
      <c r="N614" s="252" t="s">
        <v>553</v>
      </c>
    </row>
    <row r="615" ht="12.6" customHeight="1" s="231" customFormat="1">
      <c r="A615" s="251"/>
      <c r="B615" s="250" t="s">
        <v>554</v>
      </c>
      <c r="C615" s="256">
        <f>CD69-CD84</f>
        <v>36927917.57</v>
      </c>
      <c r="D615" s="256">
        <f>SUM(C614:C615)</f>
        <v>67053857.370000005</v>
      </c>
      <c r="E615" s="258"/>
      <c r="F615" s="258"/>
      <c r="G615" s="256"/>
      <c r="H615" s="258"/>
      <c r="I615" s="256"/>
      <c r="J615" s="256"/>
      <c r="N615" s="252" t="s">
        <v>555</v>
      </c>
    </row>
    <row r="616" ht="12.6" customHeight="1" s="231" customFormat="1">
      <c r="A616" s="251">
        <v>8310</v>
      </c>
      <c r="B616" s="255" t="s">
        <v>556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557</v>
      </c>
    </row>
    <row r="617" ht="12.6" customHeight="1" s="231" customFormat="1">
      <c r="A617" s="251">
        <v>8510</v>
      </c>
      <c r="B617" s="255" t="s">
        <v>172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8470</v>
      </c>
      <c r="B618" s="255" t="s">
        <v>559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560</v>
      </c>
    </row>
    <row r="619" ht="12.6" customHeight="1" s="231" customFormat="1">
      <c r="A619" s="251">
        <v>8610</v>
      </c>
      <c r="B619" s="255" t="s">
        <v>561</v>
      </c>
      <c r="C619" s="256">
        <f>BN85</f>
        <v>6481926.8400000008</v>
      </c>
      <c r="D619" s="256">
        <f>(D615/D612)*BN90</f>
        <v>15605188.372573827</v>
      </c>
      <c r="E619" s="258"/>
      <c r="F619" s="258"/>
      <c r="G619" s="256"/>
      <c r="H619" s="258"/>
      <c r="I619" s="256"/>
      <c r="J619" s="256"/>
      <c r="N619" s="252" t="s">
        <v>562</v>
      </c>
    </row>
    <row r="620" ht="12.6" customHeight="1" s="231" customFormat="1">
      <c r="A620" s="251">
        <v>8790</v>
      </c>
      <c r="B620" s="255" t="s">
        <v>563</v>
      </c>
      <c r="C620" s="256">
        <f>CC85</f>
        <v>110687076.92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564</v>
      </c>
    </row>
    <row r="621" ht="12.6" customHeight="1" s="231" customFormat="1">
      <c r="A621" s="251">
        <v>8630</v>
      </c>
      <c r="B621" s="255" t="s">
        <v>565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566</v>
      </c>
    </row>
    <row r="622" ht="12.6" customHeight="1" s="231" customFormat="1">
      <c r="A622" s="251">
        <v>8770</v>
      </c>
      <c r="B622" s="250" t="s">
        <v>567</v>
      </c>
      <c r="C622" s="256">
        <f>CB85</f>
        <v>151171.32999999996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568</v>
      </c>
    </row>
    <row r="623" ht="12.6" customHeight="1" s="231" customFormat="1">
      <c r="A623" s="251">
        <v>8640</v>
      </c>
      <c r="B623" s="255" t="s">
        <v>569</v>
      </c>
      <c r="C623" s="256">
        <f>BQ85</f>
        <v>0</v>
      </c>
      <c r="D623" s="256">
        <f>(D615/D612)*BQ90</f>
        <v>0</v>
      </c>
      <c r="E623" s="258">
        <f>SUM(C616:D623)</f>
        <v>132925363.46257383</v>
      </c>
      <c r="F623" s="258"/>
      <c r="G623" s="256"/>
      <c r="H623" s="258"/>
      <c r="I623" s="256"/>
      <c r="J623" s="256"/>
      <c r="N623" s="252" t="s">
        <v>570</v>
      </c>
    </row>
    <row r="624" ht="12.6" customHeight="1" s="231" customFormat="1">
      <c r="A624" s="251">
        <v>8420</v>
      </c>
      <c r="B624" s="255" t="s">
        <v>166</v>
      </c>
      <c r="C624" s="256">
        <f>BD85</f>
        <v>1600723.47</v>
      </c>
      <c r="D624" s="256">
        <f>(D615/D612)*BD90</f>
        <v>0</v>
      </c>
      <c r="E624" s="258">
        <f>(E623/E612)*SUM(C624:D624)</f>
        <v>284565.98389458295</v>
      </c>
      <c r="F624" s="258">
        <f>SUM(C624:E624)</f>
        <v>1885289.453894583</v>
      </c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8320</v>
      </c>
      <c r="B625" s="255" t="s">
        <v>162</v>
      </c>
      <c r="C625" s="256">
        <f>AY85</f>
        <v>8216225.03</v>
      </c>
      <c r="D625" s="256">
        <f>(D615/D612)*AY90</f>
        <v>0</v>
      </c>
      <c r="E625" s="258">
        <f>(E623/E612)*SUM(C625:D625)</f>
        <v>1460625.9003382071</v>
      </c>
      <c r="F625" s="258">
        <f>(F624/F612)*AY64</f>
        <v>40238.381991982707</v>
      </c>
      <c r="G625" s="256">
        <f>SUM(C625:F625)</f>
        <v>9717089.31233019</v>
      </c>
      <c r="H625" s="258"/>
      <c r="I625" s="256"/>
      <c r="J625" s="256"/>
      <c r="N625" s="252" t="s">
        <v>572</v>
      </c>
    </row>
    <row r="626" ht="12.6" customHeight="1" s="231" customFormat="1">
      <c r="A626" s="251">
        <v>8650</v>
      </c>
      <c r="B626" s="255" t="s">
        <v>179</v>
      </c>
      <c r="C626" s="256">
        <f>BR85</f>
        <v>695661.22</v>
      </c>
      <c r="D626" s="256">
        <f>(D615/D612)*BR90</f>
        <v>1646428.452662443</v>
      </c>
      <c r="E626" s="258">
        <f>(E623/E612)*SUM(C626:D626)</f>
        <v>416361.14204693318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8620</v>
      </c>
      <c r="B627" s="250" t="s">
        <v>574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575</v>
      </c>
    </row>
    <row r="628" ht="12.6" customHeight="1" s="231" customFormat="1">
      <c r="A628" s="251">
        <v>8330</v>
      </c>
      <c r="B628" s="255" t="s">
        <v>163</v>
      </c>
      <c r="C628" s="256">
        <f>AZ85</f>
        <v>404169</v>
      </c>
      <c r="D628" s="256">
        <f>(D615/D612)*AZ90</f>
        <v>1876743.9792682936</v>
      </c>
      <c r="E628" s="258">
        <f>(E623/E612)*SUM(C628:D628)</f>
        <v>405485.55593016103</v>
      </c>
      <c r="F628" s="258">
        <f>(F624/F612)*AZ64</f>
        <v>0</v>
      </c>
      <c r="G628" s="256">
        <f>(G625/G612)*AZ91</f>
        <v>0</v>
      </c>
      <c r="H628" s="258">
        <f>SUM(C626:G628)</f>
        <v>5444849.34990783</v>
      </c>
      <c r="I628" s="256"/>
      <c r="J628" s="256"/>
      <c r="N628" s="252" t="s">
        <v>576</v>
      </c>
    </row>
    <row r="629" ht="12.6" customHeight="1" s="231" customFormat="1">
      <c r="A629" s="251">
        <v>8460</v>
      </c>
      <c r="B629" s="255" t="s">
        <v>168</v>
      </c>
      <c r="C629" s="256">
        <f>BF85</f>
        <v>6554301.9900000012</v>
      </c>
      <c r="D629" s="256">
        <f>(D615/D612)*BF90</f>
        <v>203659.51282484777</v>
      </c>
      <c r="E629" s="258">
        <f>(E623/E612)*SUM(C629:D629)</f>
        <v>1201385.498628984</v>
      </c>
      <c r="F629" s="258">
        <f>(F624/F612)*BF64</f>
        <v>6765.1760069633656</v>
      </c>
      <c r="G629" s="256">
        <f>(G625/G612)*BF91</f>
        <v>0</v>
      </c>
      <c r="H629" s="258">
        <f>(H628/H612)*BF60</f>
        <v>165673.56663821387</v>
      </c>
      <c r="I629" s="256">
        <f>SUM(C629:H629)</f>
        <v>8131785.74409901</v>
      </c>
      <c r="J629" s="256"/>
      <c r="N629" s="252" t="s">
        <v>577</v>
      </c>
    </row>
    <row r="630" ht="12.6" customHeight="1" s="231" customFormat="1">
      <c r="A630" s="251">
        <v>8350</v>
      </c>
      <c r="B630" s="255" t="s">
        <v>578</v>
      </c>
      <c r="C630" s="256">
        <f>BA85</f>
        <v>342814.57</v>
      </c>
      <c r="D630" s="256">
        <f>(D615/D612)*BA90</f>
        <v>418359.61879412096</v>
      </c>
      <c r="E630" s="258">
        <f>(E623/E612)*SUM(C630:D630)</f>
        <v>135316.4903300631</v>
      </c>
      <c r="F630" s="258">
        <f>(F624/F612)*BA64</f>
        <v>51.642660301345593</v>
      </c>
      <c r="G630" s="256">
        <f>(G625/G612)*BA91</f>
        <v>0</v>
      </c>
      <c r="H630" s="258">
        <f>(H628/H612)*BA60</f>
        <v>8516.2237062785862</v>
      </c>
      <c r="I630" s="256">
        <f>(I629/I612)*BA92</f>
        <v>71288.345003607668</v>
      </c>
      <c r="J630" s="256">
        <f>SUM(C630:I630)</f>
        <v>976346.89049437153</v>
      </c>
      <c r="N630" s="252" t="s">
        <v>579</v>
      </c>
    </row>
    <row r="631" ht="12.6" customHeight="1" s="231" customFormat="1">
      <c r="A631" s="251">
        <v>8200</v>
      </c>
      <c r="B631" s="255" t="s">
        <v>580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581</v>
      </c>
    </row>
    <row r="632" ht="12.6" customHeight="1" s="231" customFormat="1">
      <c r="A632" s="251">
        <v>8360</v>
      </c>
      <c r="B632" s="255" t="s">
        <v>582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583</v>
      </c>
    </row>
    <row r="633" ht="12.6" customHeight="1" s="231" customFormat="1">
      <c r="A633" s="251">
        <v>8370</v>
      </c>
      <c r="B633" s="255" t="s">
        <v>584</v>
      </c>
      <c r="C633" s="256">
        <f>BC85</f>
        <v>652731.11</v>
      </c>
      <c r="D633" s="256">
        <f>(D615/D612)*BC90</f>
        <v>0</v>
      </c>
      <c r="E633" s="258">
        <f>(E623/E612)*SUM(C633:D633)</f>
        <v>116038.20023689242</v>
      </c>
      <c r="F633" s="258">
        <f>(F624/F612)*BC64</f>
        <v>-7.261620141553272</v>
      </c>
      <c r="G633" s="256">
        <f>(G625/G612)*BC91</f>
        <v>0</v>
      </c>
      <c r="H633" s="258">
        <f>(H628/H612)*BC60</f>
        <v>19348.428662568134</v>
      </c>
      <c r="I633" s="256">
        <f>(I629/I612)*BC92</f>
        <v>0</v>
      </c>
      <c r="J633" s="256">
        <f>(J630/J612)*BC93</f>
        <v>0</v>
      </c>
      <c r="N633" s="252" t="s">
        <v>585</v>
      </c>
    </row>
    <row r="634" ht="12.6" customHeight="1" s="231" customFormat="1">
      <c r="A634" s="251">
        <v>8490</v>
      </c>
      <c r="B634" s="255" t="s">
        <v>586</v>
      </c>
      <c r="C634" s="256">
        <f>BI85</f>
        <v>-114419.47</v>
      </c>
      <c r="D634" s="256">
        <f>(D615/D612)*BI90</f>
        <v>131402.77376356346</v>
      </c>
      <c r="E634" s="258">
        <f>(E623/E612)*SUM(C634:D634)</f>
        <v>3019.1789124320189</v>
      </c>
      <c r="F634" s="258">
        <f>(F624/F612)*BI64</f>
        <v>1351.4421283856082</v>
      </c>
      <c r="G634" s="256">
        <f>(G625/G612)*BI91</f>
        <v>0</v>
      </c>
      <c r="H634" s="258">
        <f>(H628/H612)*BI60</f>
        <v>0</v>
      </c>
      <c r="I634" s="256">
        <f>(I629/I612)*BI92</f>
        <v>22390.990548965368</v>
      </c>
      <c r="J634" s="256">
        <f>(J630/J612)*BI93</f>
        <v>0</v>
      </c>
      <c r="N634" s="252" t="s">
        <v>587</v>
      </c>
    </row>
    <row r="635" ht="12.6" customHeight="1" s="231" customFormat="1">
      <c r="A635" s="251">
        <v>8530</v>
      </c>
      <c r="B635" s="255" t="s">
        <v>588</v>
      </c>
      <c r="C635" s="256">
        <f>BK85</f>
        <v>30274351.01</v>
      </c>
      <c r="D635" s="256">
        <f>(D615/D612)*BK90</f>
        <v>0</v>
      </c>
      <c r="E635" s="258">
        <f>(E623/E612)*SUM(C635:D635)</f>
        <v>5381972.9912066646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589</v>
      </c>
    </row>
    <row r="636" ht="12.6" customHeight="1" s="231" customFormat="1">
      <c r="A636" s="251">
        <v>8480</v>
      </c>
      <c r="B636" s="255" t="s">
        <v>590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591</v>
      </c>
    </row>
    <row r="637" ht="12.6" customHeight="1" s="231" customFormat="1">
      <c r="A637" s="251">
        <v>8560</v>
      </c>
      <c r="B637" s="255" t="s">
        <v>174</v>
      </c>
      <c r="C637" s="256">
        <f>BL85</f>
        <v>6074817.29</v>
      </c>
      <c r="D637" s="256">
        <f>(D615/D612)*BL90</f>
        <v>0</v>
      </c>
      <c r="E637" s="258">
        <f>(E623/E612)*SUM(C637:D637)</f>
        <v>1079940.6590250556</v>
      </c>
      <c r="F637" s="258">
        <f>(F624/F612)*BL64</f>
        <v>1233.6746539867052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592</v>
      </c>
    </row>
    <row r="638" ht="12.6" customHeight="1" s="231" customFormat="1">
      <c r="A638" s="251">
        <v>8590</v>
      </c>
      <c r="B638" s="255" t="s">
        <v>593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594</v>
      </c>
    </row>
    <row r="639" ht="12.6" customHeight="1" s="231" customFormat="1">
      <c r="A639" s="251">
        <v>8660</v>
      </c>
      <c r="B639" s="255" t="s">
        <v>595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>
        <f>(G625/G612)*BS91</f>
        <v>0</v>
      </c>
      <c r="H639" s="258">
        <f>(H628/H612)*BS60</f>
        <v>0</v>
      </c>
      <c r="I639" s="256">
        <f>(I629/I612)*BS92</f>
        <v>0</v>
      </c>
      <c r="J639" s="256">
        <f>(J630/J612)*BS93</f>
        <v>0</v>
      </c>
      <c r="N639" s="252" t="s">
        <v>596</v>
      </c>
    </row>
    <row r="640" ht="12.6" customHeight="1" s="231" customFormat="1">
      <c r="A640" s="251">
        <v>8670</v>
      </c>
      <c r="B640" s="255" t="s">
        <v>597</v>
      </c>
      <c r="C640" s="256">
        <f>BT85</f>
        <v>238050.91</v>
      </c>
      <c r="D640" s="256">
        <f>(D615/D612)*BT90</f>
        <v>151315.27211333075</v>
      </c>
      <c r="E640" s="258">
        <f>(E623/E612)*SUM(C640:D640)</f>
        <v>69218.933054287831</v>
      </c>
      <c r="F640" s="258">
        <f>(F624/F612)*BT64</f>
        <v>0</v>
      </c>
      <c r="G640" s="256">
        <f>(G625/G612)*BT91</f>
        <v>0</v>
      </c>
      <c r="H640" s="258">
        <f>(H628/H612)*BT60</f>
        <v>5022.8462547845629</v>
      </c>
      <c r="I640" s="256">
        <f>(I629/I612)*BT92</f>
        <v>25784.073887968374</v>
      </c>
      <c r="J640" s="256">
        <f>(J630/J612)*BT93</f>
        <v>0</v>
      </c>
      <c r="N640" s="252" t="s">
        <v>598</v>
      </c>
    </row>
    <row r="641" ht="12.6" customHeight="1" s="231" customFormat="1">
      <c r="A641" s="251">
        <v>8680</v>
      </c>
      <c r="B641" s="255" t="s">
        <v>599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>
        <f>(G625/G612)*BU91</f>
        <v>0</v>
      </c>
      <c r="H641" s="258">
        <f>(H628/H612)*BU60</f>
        <v>0</v>
      </c>
      <c r="I641" s="256">
        <f>(I629/I612)*BU92</f>
        <v>0</v>
      </c>
      <c r="J641" s="256">
        <f>(J630/J612)*BU93</f>
        <v>0</v>
      </c>
      <c r="N641" s="252" t="s">
        <v>600</v>
      </c>
    </row>
    <row r="642" ht="12.6" customHeight="1" s="231" customFormat="1">
      <c r="A642" s="251">
        <v>8690</v>
      </c>
      <c r="B642" s="255" t="s">
        <v>601</v>
      </c>
      <c r="C642" s="256">
        <f>BV85</f>
        <v>200721</v>
      </c>
      <c r="D642" s="256">
        <f>(D615/D612)*BV90</f>
        <v>932042.93018341507</v>
      </c>
      <c r="E642" s="258">
        <f>(E623/E612)*SUM(C642:D642)</f>
        <v>201375.24585238833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158819.81668452179</v>
      </c>
      <c r="J642" s="256">
        <f>(J630/J612)*BV93</f>
        <v>0</v>
      </c>
      <c r="N642" s="252" t="s">
        <v>602</v>
      </c>
    </row>
    <row r="643" ht="12.6" customHeight="1" s="231" customFormat="1">
      <c r="A643" s="251">
        <v>8700</v>
      </c>
      <c r="B643" s="255" t="s">
        <v>603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>
        <f>(G625/G612)*BW91</f>
        <v>0</v>
      </c>
      <c r="H643" s="258">
        <f>(H628/H612)*BW60</f>
        <v>0</v>
      </c>
      <c r="I643" s="256">
        <f>(I629/I612)*BW92</f>
        <v>0</v>
      </c>
      <c r="J643" s="256">
        <f>(J630/J612)*BW93</f>
        <v>0</v>
      </c>
      <c r="N643" s="252" t="s">
        <v>604</v>
      </c>
    </row>
    <row r="644" ht="12.6" customHeight="1" s="231" customFormat="1">
      <c r="A644" s="251">
        <v>8710</v>
      </c>
      <c r="B644" s="255" t="s">
        <v>605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>
        <f>(G625/G612)*BX91</f>
        <v>0</v>
      </c>
      <c r="H644" s="258">
        <f>(H628/H612)*BX60</f>
        <v>0</v>
      </c>
      <c r="I644" s="256">
        <f>(I629/I612)*BX92</f>
        <v>0</v>
      </c>
      <c r="J644" s="256">
        <f>(J630/J612)*BX93</f>
        <v>0</v>
      </c>
      <c r="K644" s="258">
        <f>SUM(C631:J644)</f>
        <v>45626522.045549065</v>
      </c>
      <c r="L644" s="258"/>
      <c r="N644" s="252" t="s">
        <v>606</v>
      </c>
    </row>
    <row r="645" ht="12.6" customHeight="1" s="231" customFormat="1">
      <c r="A645" s="251">
        <v>8720</v>
      </c>
      <c r="B645" s="255" t="s">
        <v>607</v>
      </c>
      <c r="C645" s="256">
        <f>BY85</f>
        <v>5836540.12</v>
      </c>
      <c r="D645" s="256">
        <f>(D615/D612)*BY90</f>
        <v>96408.036564714959</v>
      </c>
      <c r="E645" s="258">
        <f>(E623/E612)*SUM(C645:D645)</f>
        <v>1054720.1070078583</v>
      </c>
      <c r="F645" s="258">
        <f>(F624/F612)*BY64</f>
        <v>80.3387952833614</v>
      </c>
      <c r="G645" s="256">
        <f>(G625/G612)*BY91</f>
        <v>0</v>
      </c>
      <c r="H645" s="258">
        <f>(H628/H612)*BY60</f>
        <v>88255.101839348339</v>
      </c>
      <c r="I645" s="256">
        <f>(I629/I612)*BY92</f>
        <v>16427.898542301671</v>
      </c>
      <c r="J645" s="256">
        <f>(J630/J612)*BY93</f>
        <v>0</v>
      </c>
      <c r="K645" s="258">
        <v>0</v>
      </c>
      <c r="L645" s="258"/>
      <c r="N645" s="252" t="s">
        <v>608</v>
      </c>
    </row>
    <row r="646" ht="12.6" customHeight="1" s="231" customFormat="1">
      <c r="A646" s="251">
        <v>8730</v>
      </c>
      <c r="B646" s="255" t="s">
        <v>609</v>
      </c>
      <c r="C646" s="256">
        <f>BZ85</f>
        <v>1251193.7799999998</v>
      </c>
      <c r="D646" s="256">
        <f>(D615/D612)*BZ90</f>
        <v>0</v>
      </c>
      <c r="E646" s="258">
        <f>(E623/E612)*SUM(C646:D646)</f>
        <v>222428.91774959874</v>
      </c>
      <c r="F646" s="258">
        <f>(F624/F612)*BZ64</f>
        <v>0.21972942146762553</v>
      </c>
      <c r="G646" s="256">
        <f>(G625/G612)*BZ91</f>
        <v>0</v>
      </c>
      <c r="H646" s="258">
        <f>(H628/H612)*BZ60</f>
        <v>17711.677350717047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610</v>
      </c>
    </row>
    <row r="647" ht="12.6" customHeight="1" s="231" customFormat="1">
      <c r="A647" s="251">
        <v>8740</v>
      </c>
      <c r="B647" s="255" t="s">
        <v>611</v>
      </c>
      <c r="C647" s="256">
        <f>CA85</f>
        <v>982365.71999999986</v>
      </c>
      <c r="D647" s="256">
        <f>(D615/D612)*CA90</f>
        <v>0</v>
      </c>
      <c r="E647" s="258">
        <f>(E623/E612)*SUM(C647:D647)</f>
        <v>174638.45123487216</v>
      </c>
      <c r="F647" s="258">
        <f>(F624/F612)*CA64</f>
        <v>0</v>
      </c>
      <c r="G647" s="256">
        <f>(G625/G612)*CA91</f>
        <v>0</v>
      </c>
      <c r="H647" s="258">
        <f>(H628/H612)*CA60</f>
        <v>12433.291025926581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9753203.6598400436</v>
      </c>
      <c r="N647" s="252" t="s">
        <v>612</v>
      </c>
    </row>
    <row r="648" ht="12.6" customHeight="1" s="231" customFormat="1">
      <c r="A648" s="251"/>
      <c r="B648" s="251"/>
      <c r="C648" s="231">
        <f>SUM(C614:C647)</f>
        <v>247584279.21</v>
      </c>
      <c r="L648" s="254"/>
    </row>
    <row r="666" ht="12.6" customHeight="1" s="231" customFormat="1">
      <c r="C666" s="249" t="s">
        <v>613</v>
      </c>
      <c r="M666" s="249" t="s">
        <v>614</v>
      </c>
    </row>
    <row r="667" ht="12.6" customHeight="1" s="231" customFormat="1">
      <c r="C667" s="249" t="s">
        <v>543</v>
      </c>
      <c r="D667" s="249" t="s">
        <v>544</v>
      </c>
      <c r="E667" s="250" t="s">
        <v>545</v>
      </c>
      <c r="F667" s="249" t="s">
        <v>546</v>
      </c>
      <c r="G667" s="249" t="s">
        <v>547</v>
      </c>
      <c r="H667" s="249" t="s">
        <v>548</v>
      </c>
      <c r="I667" s="249" t="s">
        <v>549</v>
      </c>
      <c r="J667" s="249" t="s">
        <v>550</v>
      </c>
      <c r="K667" s="249" t="s">
        <v>551</v>
      </c>
      <c r="L667" s="250" t="s">
        <v>552</v>
      </c>
      <c r="M667" s="249" t="s">
        <v>615</v>
      </c>
    </row>
    <row r="668" ht="12.6" customHeight="1" s="231" customFormat="1">
      <c r="A668" s="251">
        <v>6010</v>
      </c>
      <c r="B668" s="250" t="s">
        <v>342</v>
      </c>
      <c r="C668" s="256">
        <f>C85</f>
        <v>43996694.209999993</v>
      </c>
      <c r="D668" s="256">
        <f>(D615/D612)*C90</f>
        <v>2053057.441240612</v>
      </c>
      <c r="E668" s="258">
        <f>(E623/E612)*SUM(C668:D668)</f>
        <v>8186418.9114041524</v>
      </c>
      <c r="F668" s="258">
        <f>(F624/F612)*C64</f>
        <v>39953.214844627444</v>
      </c>
      <c r="G668" s="256">
        <f>(G625/G612)*C91</f>
        <v>2178961.0361286746</v>
      </c>
      <c r="H668" s="258">
        <f>(H628/H612)*C60</f>
        <v>344226.26590111334</v>
      </c>
      <c r="I668" s="256">
        <f>(I629/I612)*C92</f>
        <v>349840.33020502754</v>
      </c>
      <c r="J668" s="256">
        <f>(J630/J612)*C93</f>
        <v>143796.12905079543</v>
      </c>
      <c r="K668" s="256">
        <f>(K644/K612)*C89</f>
        <v>1752816.2852062865</v>
      </c>
      <c r="L668" s="256">
        <f>(L647/L612)*C94</f>
        <v>1268610.0941588664</v>
      </c>
      <c r="M668" s="231">
        <f ref="M668:M713" t="shared" si="18">ROUND(SUM(D668:L668),0)</f>
        <v>16317680</v>
      </c>
      <c r="N668" s="250" t="s">
        <v>616</v>
      </c>
    </row>
    <row r="669" ht="12.6" customHeight="1" s="231" customFormat="1">
      <c r="A669" s="251">
        <v>6030</v>
      </c>
      <c r="B669" s="250" t="s">
        <v>343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>
        <f>(G625/G612)*D91</f>
        <v>0</v>
      </c>
      <c r="H669" s="258">
        <f>(H628/H612)*D60</f>
        <v>0</v>
      </c>
      <c r="I669" s="256">
        <f>(I629/I612)*D92</f>
        <v>0</v>
      </c>
      <c r="J669" s="256">
        <f>(J630/J612)*D93</f>
        <v>0</v>
      </c>
      <c r="K669" s="256">
        <f>(K644/K612)*D89</f>
        <v>0</v>
      </c>
      <c r="L669" s="256">
        <f>(L647/L612)*D94</f>
        <v>0</v>
      </c>
      <c r="M669" s="231">
        <f t="shared" si="18"/>
        <v>0</v>
      </c>
      <c r="N669" s="250" t="s">
        <v>617</v>
      </c>
    </row>
    <row r="670" ht="12.6" customHeight="1" s="231" customFormat="1">
      <c r="A670" s="251">
        <v>6070</v>
      </c>
      <c r="B670" s="250" t="s">
        <v>618</v>
      </c>
      <c r="C670" s="256">
        <f>E85</f>
        <v>88301082.49000001</v>
      </c>
      <c r="D670" s="256">
        <f>(D615/D612)*E90</f>
        <v>11264974.716950037</v>
      </c>
      <c r="E670" s="258">
        <f>(E623/E612)*SUM(C670:D670)</f>
        <v>17700192.170981329</v>
      </c>
      <c r="F670" s="258">
        <f>(F624/F612)*E64</f>
        <v>58579.342270257934</v>
      </c>
      <c r="G670" s="256">
        <f>(G625/G612)*E91</f>
        <v>5854597.7934535481</v>
      </c>
      <c r="H670" s="258">
        <f>(H628/H612)*E60</f>
        <v>1008008.0007981345</v>
      </c>
      <c r="I670" s="256">
        <f>(I629/I612)*E92</f>
        <v>1919548.0825649349</v>
      </c>
      <c r="J670" s="256">
        <f>(J630/J612)*E93</f>
        <v>289798.88980836823</v>
      </c>
      <c r="K670" s="256">
        <f>(K644/K612)*E89</f>
        <v>4512634.4041374819</v>
      </c>
      <c r="L670" s="256">
        <f>(L647/L612)*E94</f>
        <v>3475361.281486942</v>
      </c>
      <c r="M670" s="231">
        <f t="shared" si="18"/>
        <v>46083695</v>
      </c>
      <c r="N670" s="250" t="s">
        <v>619</v>
      </c>
    </row>
    <row r="671" ht="12.6" customHeight="1" s="231" customFormat="1">
      <c r="A671" s="251">
        <v>6100</v>
      </c>
      <c r="B671" s="250" t="s">
        <v>620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621</v>
      </c>
    </row>
    <row r="672" ht="12.6" customHeight="1" s="231" customFormat="1">
      <c r="A672" s="251">
        <v>6120</v>
      </c>
      <c r="B672" s="250" t="s">
        <v>622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0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0</v>
      </c>
      <c r="N672" s="250" t="s">
        <v>623</v>
      </c>
    </row>
    <row r="673" ht="12.6" customHeight="1" s="231" customFormat="1">
      <c r="A673" s="251">
        <v>6140</v>
      </c>
      <c r="B673" s="250" t="s">
        <v>624</v>
      </c>
      <c r="C673" s="256">
        <f>H85</f>
        <v>148981.11</v>
      </c>
      <c r="D673" s="256">
        <f>(D615/D612)*H90</f>
        <v>0</v>
      </c>
      <c r="E673" s="258">
        <f>(E623/E612)*SUM(C673:D673)</f>
        <v>26484.871961586898</v>
      </c>
      <c r="F673" s="258">
        <f>(F624/F612)*H64</f>
        <v>0</v>
      </c>
      <c r="G673" s="256">
        <f>(G625/G612)*H91</f>
        <v>0</v>
      </c>
      <c r="H673" s="258">
        <f>(H628/H612)*H60</f>
        <v>6.9522889306145217</v>
      </c>
      <c r="I673" s="256">
        <f>(I629/I612)*H92</f>
        <v>0</v>
      </c>
      <c r="J673" s="256">
        <f>(J630/J612)*H93</f>
        <v>10184.176307347007</v>
      </c>
      <c r="K673" s="256">
        <f>(K644/K612)*H89</f>
        <v>4.6467719468729811</v>
      </c>
      <c r="L673" s="256">
        <f>(L647/L612)*H94</f>
        <v>0</v>
      </c>
      <c r="M673" s="231">
        <f t="shared" si="18"/>
        <v>36681</v>
      </c>
      <c r="N673" s="250" t="s">
        <v>625</v>
      </c>
    </row>
    <row r="674" ht="12.6" customHeight="1" s="231" customFormat="1">
      <c r="A674" s="251">
        <v>6150</v>
      </c>
      <c r="B674" s="250" t="s">
        <v>626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627</v>
      </c>
    </row>
    <row r="675" ht="12.6" customHeight="1" s="231" customFormat="1">
      <c r="A675" s="251">
        <v>6170</v>
      </c>
      <c r="B675" s="250" t="s">
        <v>125</v>
      </c>
      <c r="C675" s="256">
        <f>J85</f>
        <v>14503042.99</v>
      </c>
      <c r="D675" s="256">
        <f>(D615/D612)*J90</f>
        <v>248610.4991985799</v>
      </c>
      <c r="E675" s="258">
        <f>(E623/E612)*SUM(C675:D675)</f>
        <v>2622450.9528967869</v>
      </c>
      <c r="F675" s="258">
        <f>(F624/F612)*J64</f>
        <v>20836.158451244144</v>
      </c>
      <c r="G675" s="256">
        <f>(G625/G612)*J91</f>
        <v>0</v>
      </c>
      <c r="H675" s="258">
        <f>(H628/H612)*J60</f>
        <v>112765.08361122795</v>
      </c>
      <c r="I675" s="256">
        <f>(I629/I612)*J92</f>
        <v>42363.149410720674</v>
      </c>
      <c r="J675" s="256">
        <f>(J630/J612)*J93</f>
        <v>0</v>
      </c>
      <c r="K675" s="256">
        <f>(K644/K612)*J89</f>
        <v>931560.05385588214</v>
      </c>
      <c r="L675" s="256">
        <f>(L647/L612)*J94</f>
        <v>421666.583778939</v>
      </c>
      <c r="M675" s="231">
        <f t="shared" si="18"/>
        <v>4400252</v>
      </c>
      <c r="N675" s="250" t="s">
        <v>628</v>
      </c>
    </row>
    <row r="676" ht="12.6" customHeight="1" s="231" customFormat="1">
      <c r="A676" s="251">
        <v>6200</v>
      </c>
      <c r="B676" s="250" t="s">
        <v>348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629</v>
      </c>
    </row>
    <row r="677" ht="12.6" customHeight="1" s="231" customFormat="1">
      <c r="A677" s="251">
        <v>6210</v>
      </c>
      <c r="B677" s="250" t="s">
        <v>349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630</v>
      </c>
    </row>
    <row r="678" ht="12.6" customHeight="1" s="231" customFormat="1">
      <c r="A678" s="251">
        <v>6330</v>
      </c>
      <c r="B678" s="250" t="s">
        <v>631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>
        <f>(G625/G612)*M91</f>
        <v>0</v>
      </c>
      <c r="H678" s="258">
        <f>(H628/H612)*M60</f>
        <v>0</v>
      </c>
      <c r="I678" s="256">
        <f>(I629/I612)*M92</f>
        <v>0</v>
      </c>
      <c r="J678" s="256">
        <f>(J630/J612)*M93</f>
        <v>0</v>
      </c>
      <c r="K678" s="256">
        <f>(K644/K612)*M89</f>
        <v>0</v>
      </c>
      <c r="L678" s="256">
        <f>(L647/L612)*M94</f>
        <v>0</v>
      </c>
      <c r="M678" s="231">
        <f t="shared" si="18"/>
        <v>0</v>
      </c>
      <c r="N678" s="250" t="s">
        <v>632</v>
      </c>
    </row>
    <row r="679" ht="12.6" customHeight="1" s="231" customFormat="1">
      <c r="A679" s="251">
        <v>6400</v>
      </c>
      <c r="B679" s="250" t="s">
        <v>633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>
        <f>(G625/G612)*N91</f>
        <v>0</v>
      </c>
      <c r="H679" s="258">
        <f>(H628/H612)*N60</f>
        <v>0</v>
      </c>
      <c r="I679" s="256">
        <f>(I629/I612)*N92</f>
        <v>0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0</v>
      </c>
      <c r="N679" s="250" t="s">
        <v>634</v>
      </c>
    </row>
    <row r="680" ht="12.6" customHeight="1" s="231" customFormat="1">
      <c r="A680" s="251">
        <v>7010</v>
      </c>
      <c r="B680" s="250" t="s">
        <v>635</v>
      </c>
      <c r="C680" s="256">
        <f>O85</f>
        <v>27452223.15</v>
      </c>
      <c r="D680" s="256">
        <f>(D615/D612)*O90</f>
        <v>1736815.0943053844</v>
      </c>
      <c r="E680" s="258">
        <f>(E623/E612)*SUM(C680:D680)</f>
        <v>5189033.2981294831</v>
      </c>
      <c r="F680" s="258">
        <f>(F624/F612)*O64</f>
        <v>24991.400743722275</v>
      </c>
      <c r="G680" s="256">
        <f>(G625/G612)*O91</f>
        <v>0</v>
      </c>
      <c r="H680" s="258">
        <f>(H628/H612)*O60</f>
        <v>264664.46256710647</v>
      </c>
      <c r="I680" s="256">
        <f>(I629/I612)*O92</f>
        <v>295952.73560865846</v>
      </c>
      <c r="J680" s="256">
        <f>(J630/J612)*O93</f>
        <v>91486.227131819309</v>
      </c>
      <c r="K680" s="256">
        <f>(K644/K612)*O89</f>
        <v>2240076.124945913</v>
      </c>
      <c r="L680" s="256">
        <f>(L647/L612)*O94</f>
        <v>876461.02151895256</v>
      </c>
      <c r="M680" s="231">
        <f t="shared" si="18"/>
        <v>10719480</v>
      </c>
      <c r="N680" s="250" t="s">
        <v>636</v>
      </c>
    </row>
    <row r="681" ht="12.6" customHeight="1" s="231" customFormat="1">
      <c r="A681" s="251">
        <v>7020</v>
      </c>
      <c r="B681" s="250" t="s">
        <v>637</v>
      </c>
      <c r="C681" s="256">
        <f>P85</f>
        <v>96329866.87</v>
      </c>
      <c r="D681" s="256">
        <f>(D615/D612)*P90</f>
        <v>8828925.7534582112</v>
      </c>
      <c r="E681" s="258">
        <f>(E623/E612)*SUM(C681:D681)</f>
        <v>18694431.517306857</v>
      </c>
      <c r="F681" s="258">
        <f>(F624/F612)*P64</f>
        <v>646663.4409991065</v>
      </c>
      <c r="G681" s="256">
        <f>(G625/G612)*P91</f>
        <v>167865.93080400155</v>
      </c>
      <c r="H681" s="258">
        <f>(H628/H612)*P60</f>
        <v>431296.92365607526</v>
      </c>
      <c r="I681" s="256">
        <f>(I629/I612)*P92</f>
        <v>1504446.11967557</v>
      </c>
      <c r="J681" s="256">
        <f>(J630/J612)*P93</f>
        <v>252808.98593493094</v>
      </c>
      <c r="K681" s="256">
        <f>(K644/K612)*P89</f>
        <v>12700743.523492228</v>
      </c>
      <c r="L681" s="256">
        <f>(L647/L612)*P94</f>
        <v>1036183.5789227082</v>
      </c>
      <c r="M681" s="231">
        <f t="shared" si="18"/>
        <v>44263366</v>
      </c>
      <c r="N681" s="250" t="s">
        <v>638</v>
      </c>
    </row>
    <row r="682" ht="12.6" customHeight="1" s="231" customFormat="1">
      <c r="A682" s="251">
        <v>7030</v>
      </c>
      <c r="B682" s="250" t="s">
        <v>639</v>
      </c>
      <c r="C682" s="256">
        <f>Q85</f>
        <v>2721730.95</v>
      </c>
      <c r="D682" s="256">
        <f>(D615/D612)*Q90</f>
        <v>233528.26034949871</v>
      </c>
      <c r="E682" s="258">
        <f>(E623/E612)*SUM(C682:D682)</f>
        <v>525366.34879017132</v>
      </c>
      <c r="F682" s="258">
        <f>(F624/F612)*Q64</f>
        <v>2040.5177582790511</v>
      </c>
      <c r="G682" s="256">
        <f>(G625/G612)*Q91</f>
        <v>0</v>
      </c>
      <c r="H682" s="258">
        <f>(H628/H612)*Q60</f>
        <v>29086.664884541991</v>
      </c>
      <c r="I682" s="256">
        <f>(I629/I612)*Q92</f>
        <v>39793.140743059987</v>
      </c>
      <c r="J682" s="256">
        <f>(J630/J612)*Q93</f>
        <v>20233.291498466835</v>
      </c>
      <c r="K682" s="256">
        <f>(K644/K612)*Q89</f>
        <v>309842.68473339919</v>
      </c>
      <c r="L682" s="256">
        <f>(L647/L612)*Q94</f>
        <v>111935.00485234603</v>
      </c>
      <c r="M682" s="231">
        <f t="shared" si="18"/>
        <v>1271826</v>
      </c>
      <c r="N682" s="250" t="s">
        <v>640</v>
      </c>
    </row>
    <row r="683" ht="12.6" customHeight="1" s="231" customFormat="1">
      <c r="A683" s="251">
        <v>7040</v>
      </c>
      <c r="B683" s="250" t="s">
        <v>133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>
        <f>(G625/G612)*R91</f>
        <v>0</v>
      </c>
      <c r="H683" s="258">
        <f>(H628/H612)*R60</f>
        <v>0</v>
      </c>
      <c r="I683" s="256">
        <f>(I629/I612)*R92</f>
        <v>0</v>
      </c>
      <c r="J683" s="256">
        <f>(J630/J612)*R93</f>
        <v>0</v>
      </c>
      <c r="K683" s="256">
        <f>(K644/K612)*R89</f>
        <v>0</v>
      </c>
      <c r="L683" s="256">
        <f>(L647/L612)*R94</f>
        <v>0</v>
      </c>
      <c r="M683" s="231">
        <f t="shared" si="18"/>
        <v>0</v>
      </c>
      <c r="N683" s="250" t="s">
        <v>641</v>
      </c>
    </row>
    <row r="684" ht="12.6" customHeight="1" s="231" customFormat="1">
      <c r="A684" s="251">
        <v>7050</v>
      </c>
      <c r="B684" s="250" t="s">
        <v>642</v>
      </c>
      <c r="C684" s="256">
        <f>S85</f>
        <v>5718722.4</v>
      </c>
      <c r="D684" s="256">
        <f>(D615/D612)*S90</f>
        <v>1719276.6520707503</v>
      </c>
      <c r="E684" s="258">
        <f>(E623/E612)*SUM(C684:D684)</f>
        <v>1322278.0562213461</v>
      </c>
      <c r="F684" s="258">
        <f>(F624/F612)*S64</f>
        <v>27677.170813033423</v>
      </c>
      <c r="G684" s="256">
        <f>(G625/G612)*S91</f>
        <v>0</v>
      </c>
      <c r="H684" s="258">
        <f>(H628/H612)*S60</f>
        <v>71941.7818130516</v>
      </c>
      <c r="I684" s="256">
        <f>(I629/I612)*S92</f>
        <v>292964.1906710465</v>
      </c>
      <c r="J684" s="256">
        <f>(J630/J612)*S93</f>
        <v>5105.383195106946</v>
      </c>
      <c r="K684" s="256">
        <f>(K644/K612)*S89</f>
        <v>0</v>
      </c>
      <c r="L684" s="256">
        <f>(L647/L612)*S94</f>
        <v>0</v>
      </c>
      <c r="M684" s="231">
        <f t="shared" si="18"/>
        <v>3439243</v>
      </c>
      <c r="N684" s="250" t="s">
        <v>643</v>
      </c>
    </row>
    <row r="685" ht="12.6" customHeight="1" s="231" customFormat="1">
      <c r="A685" s="251">
        <v>7060</v>
      </c>
      <c r="B685" s="250" t="s">
        <v>644</v>
      </c>
      <c r="C685" s="256">
        <f>T85</f>
        <v>3357473.3299999996</v>
      </c>
      <c r="D685" s="256">
        <f>(D615/D612)*T90</f>
        <v>0</v>
      </c>
      <c r="E685" s="258">
        <f>(E623/E612)*SUM(C685:D685)</f>
        <v>596869.30282297393</v>
      </c>
      <c r="F685" s="258">
        <f>(F624/F612)*T64</f>
        <v>15684.599250015986</v>
      </c>
      <c r="G685" s="256">
        <f>(G625/G612)*T91</f>
        <v>787555.1923037431</v>
      </c>
      <c r="H685" s="258">
        <f>(H628/H612)*T60</f>
        <v>22229.500647220608</v>
      </c>
      <c r="I685" s="256">
        <f>(I629/I612)*T92</f>
        <v>0</v>
      </c>
      <c r="J685" s="256">
        <f>(J630/J612)*T93</f>
        <v>0</v>
      </c>
      <c r="K685" s="256">
        <f>(K644/K612)*T89</f>
        <v>236598.57321972551</v>
      </c>
      <c r="L685" s="256">
        <f>(L647/L612)*T94</f>
        <v>98837.608356940415</v>
      </c>
      <c r="M685" s="231">
        <f t="shared" si="18"/>
        <v>1757775</v>
      </c>
      <c r="N685" s="250" t="s">
        <v>645</v>
      </c>
    </row>
    <row r="686" ht="12.6" customHeight="1" s="231" customFormat="1">
      <c r="A686" s="251">
        <v>7070</v>
      </c>
      <c r="B686" s="250" t="s">
        <v>136</v>
      </c>
      <c r="C686" s="256">
        <f>U85</f>
        <v>30026465.8</v>
      </c>
      <c r="D686" s="256">
        <f>(D615/D612)*U90</f>
        <v>1641992.5000597721</v>
      </c>
      <c r="E686" s="258">
        <f>(E623/E612)*SUM(C686:D686)</f>
        <v>5629808.1233113175</v>
      </c>
      <c r="F686" s="258">
        <f>(F624/F612)*U64</f>
        <v>231832.71569940209</v>
      </c>
      <c r="G686" s="256">
        <f>(G625/G612)*U91</f>
        <v>0</v>
      </c>
      <c r="H686" s="258">
        <f>(H628/H612)*U60</f>
        <v>169589.27826152035</v>
      </c>
      <c r="I686" s="256">
        <f>(I629/I612)*U92</f>
        <v>279794.99592956953</v>
      </c>
      <c r="J686" s="256">
        <f>(J630/J612)*U93</f>
        <v>2323.0853194764136</v>
      </c>
      <c r="K686" s="256">
        <f>(K644/K612)*U89</f>
        <v>1997366.8926227633</v>
      </c>
      <c r="L686" s="256">
        <f>(L647/L612)*U94</f>
        <v>0</v>
      </c>
      <c r="M686" s="231">
        <f t="shared" si="18"/>
        <v>9952708</v>
      </c>
      <c r="N686" s="250" t="s">
        <v>646</v>
      </c>
    </row>
    <row r="687" ht="12.6" customHeight="1" s="231" customFormat="1">
      <c r="A687" s="251">
        <v>7110</v>
      </c>
      <c r="B687" s="250" t="s">
        <v>647</v>
      </c>
      <c r="C687" s="256">
        <f>V85</f>
        <v>26222982.009999998</v>
      </c>
      <c r="D687" s="256">
        <f>(D615/D612)*V90</f>
        <v>326288.95810757315</v>
      </c>
      <c r="E687" s="258">
        <f>(E623/E612)*SUM(C687:D687)</f>
        <v>4719753.0093835741</v>
      </c>
      <c r="F687" s="258">
        <f>(F624/F612)*V64</f>
        <v>272326.36886729614</v>
      </c>
      <c r="G687" s="256">
        <f>(G625/G612)*V91</f>
        <v>0</v>
      </c>
      <c r="H687" s="258">
        <f>(H628/H612)*V60</f>
        <v>50629.096887833468</v>
      </c>
      <c r="I687" s="256">
        <f>(I629/I612)*V92</f>
        <v>55599.533921286849</v>
      </c>
      <c r="J687" s="256">
        <f>(J630/J612)*V93</f>
        <v>0</v>
      </c>
      <c r="K687" s="256">
        <f>(K644/K612)*V89</f>
        <v>2844720.2284579962</v>
      </c>
      <c r="L687" s="256">
        <f>(L647/L612)*V94</f>
        <v>42536.450487442475</v>
      </c>
      <c r="M687" s="231">
        <f t="shared" si="18"/>
        <v>8311854</v>
      </c>
      <c r="N687" s="250" t="s">
        <v>648</v>
      </c>
    </row>
    <row r="688" ht="12.6" customHeight="1" s="231" customFormat="1">
      <c r="A688" s="251">
        <v>7120</v>
      </c>
      <c r="B688" s="250" t="s">
        <v>649</v>
      </c>
      <c r="C688" s="256">
        <f>W85</f>
        <v>1607087.6100000006</v>
      </c>
      <c r="D688" s="256">
        <f>(D615/D612)*W90</f>
        <v>0</v>
      </c>
      <c r="E688" s="258">
        <f>(E623/E612)*SUM(C688:D688)</f>
        <v>285697.35842284112</v>
      </c>
      <c r="F688" s="258">
        <f>(F624/F612)*W64</f>
        <v>1387.472062472641</v>
      </c>
      <c r="G688" s="256">
        <f>(G625/G612)*W91</f>
        <v>0</v>
      </c>
      <c r="H688" s="258">
        <f>(H628/H612)*W60</f>
        <v>15910.156791210393</v>
      </c>
      <c r="I688" s="256">
        <f>(I629/I612)*W92</f>
        <v>0</v>
      </c>
      <c r="J688" s="256">
        <f>(J630/J612)*W93</f>
        <v>0</v>
      </c>
      <c r="K688" s="256">
        <f>(K644/K612)*W89</f>
        <v>556526.17445058783</v>
      </c>
      <c r="L688" s="256">
        <f>(L647/L612)*W94</f>
        <v>33.817735770799025</v>
      </c>
      <c r="M688" s="231">
        <f t="shared" si="18"/>
        <v>859555</v>
      </c>
      <c r="N688" s="250" t="s">
        <v>650</v>
      </c>
    </row>
    <row r="689" ht="12.6" customHeight="1" s="231" customFormat="1">
      <c r="A689" s="251">
        <v>7130</v>
      </c>
      <c r="B689" s="250" t="s">
        <v>651</v>
      </c>
      <c r="C689" s="256">
        <f>X85</f>
        <v>2658722.0900000003</v>
      </c>
      <c r="D689" s="256">
        <f>(D615/D612)*X90</f>
        <v>0</v>
      </c>
      <c r="E689" s="258">
        <f>(E623/E612)*SUM(C689:D689)</f>
        <v>472649.94961504</v>
      </c>
      <c r="F689" s="258">
        <f>(F624/F612)*X64</f>
        <v>4669.2339659202635</v>
      </c>
      <c r="G689" s="256">
        <f>(G625/G612)*X91</f>
        <v>0</v>
      </c>
      <c r="H689" s="258">
        <f>(H628/H612)*X60</f>
        <v>21073.056906502185</v>
      </c>
      <c r="I689" s="256">
        <f>(I629/I612)*X92</f>
        <v>0</v>
      </c>
      <c r="J689" s="256">
        <f>(J630/J612)*X93</f>
        <v>0</v>
      </c>
      <c r="K689" s="256">
        <f>(K644/K612)*X89</f>
        <v>2502297.6231136653</v>
      </c>
      <c r="L689" s="256">
        <f>(L647/L612)*X94</f>
        <v>0</v>
      </c>
      <c r="M689" s="231">
        <f t="shared" si="18"/>
        <v>3000690</v>
      </c>
      <c r="N689" s="250" t="s">
        <v>652</v>
      </c>
    </row>
    <row r="690" ht="12.6" customHeight="1" s="231" customFormat="1">
      <c r="A690" s="251">
        <v>7140</v>
      </c>
      <c r="B690" s="250" t="s">
        <v>653</v>
      </c>
      <c r="C690" s="256">
        <f>Y85</f>
        <v>14669955.970000004</v>
      </c>
      <c r="D690" s="256">
        <f>(D615/D612)*Y90</f>
        <v>4544781.3065231275</v>
      </c>
      <c r="E690" s="258">
        <f>(E623/E612)*SUM(C690:D690)</f>
        <v>3415868.3375647161</v>
      </c>
      <c r="F690" s="258">
        <f>(F624/F612)*Y64</f>
        <v>53597.343807913428</v>
      </c>
      <c r="G690" s="256">
        <f>(G625/G612)*Y91</f>
        <v>0</v>
      </c>
      <c r="H690" s="258">
        <f>(H628/H612)*Y60</f>
        <v>98288.540939677245</v>
      </c>
      <c r="I690" s="256">
        <f>(I629/I612)*Y92</f>
        <v>774429.2785217549</v>
      </c>
      <c r="J690" s="256">
        <f>(J630/J612)*Y93</f>
        <v>39329.442352216771</v>
      </c>
      <c r="K690" s="256">
        <f>(K644/K612)*Y89</f>
        <v>1317103.9511690736</v>
      </c>
      <c r="L690" s="256">
        <f>(L647/L612)*Y94</f>
        <v>38493.820380139834</v>
      </c>
      <c r="M690" s="231">
        <f t="shared" si="18"/>
        <v>10281892</v>
      </c>
      <c r="N690" s="250" t="s">
        <v>654</v>
      </c>
    </row>
    <row r="691" ht="12.6" customHeight="1" s="231" customFormat="1">
      <c r="A691" s="251">
        <v>7150</v>
      </c>
      <c r="B691" s="250" t="s">
        <v>655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>
        <f>(G625/G612)*Z91</f>
        <v>0</v>
      </c>
      <c r="H691" s="258">
        <f>(H628/H612)*Z60</f>
        <v>0</v>
      </c>
      <c r="I691" s="256">
        <f>(I629/I612)*Z92</f>
        <v>0</v>
      </c>
      <c r="J691" s="256">
        <f>(J630/J612)*Z93</f>
        <v>0</v>
      </c>
      <c r="K691" s="256">
        <f>(K644/K612)*Z89</f>
        <v>0</v>
      </c>
      <c r="L691" s="256">
        <f>(L647/L612)*Z94</f>
        <v>0</v>
      </c>
      <c r="M691" s="231">
        <f t="shared" si="18"/>
        <v>0</v>
      </c>
      <c r="N691" s="250" t="s">
        <v>656</v>
      </c>
    </row>
    <row r="692" ht="12.6" customHeight="1" s="231" customFormat="1">
      <c r="A692" s="251">
        <v>7160</v>
      </c>
      <c r="B692" s="250" t="s">
        <v>657</v>
      </c>
      <c r="C692" s="256">
        <f>AA85</f>
        <v>1465157.2</v>
      </c>
      <c r="D692" s="256">
        <f>(D615/D612)*AA90</f>
        <v>0</v>
      </c>
      <c r="E692" s="258">
        <f>(E623/E612)*SUM(C692:D692)</f>
        <v>260465.91306506691</v>
      </c>
      <c r="F692" s="258">
        <f>(F624/F612)*AA64</f>
        <v>6446.8820467149772</v>
      </c>
      <c r="G692" s="256">
        <f>(G625/G612)*AA91</f>
        <v>0</v>
      </c>
      <c r="H692" s="258">
        <f>(H628/H612)*AA60</f>
        <v>7401.9195268408512</v>
      </c>
      <c r="I692" s="256">
        <f>(I629/I612)*AA92</f>
        <v>0</v>
      </c>
      <c r="J692" s="256">
        <f>(J630/J612)*AA93</f>
        <v>3097.9390607455571</v>
      </c>
      <c r="K692" s="256">
        <f>(K644/K612)*AA89</f>
        <v>224484.07007762493</v>
      </c>
      <c r="L692" s="256">
        <f>(L647/L612)*AA94</f>
        <v>0</v>
      </c>
      <c r="M692" s="231">
        <f t="shared" si="18"/>
        <v>501897</v>
      </c>
      <c r="N692" s="250" t="s">
        <v>658</v>
      </c>
    </row>
    <row r="693" ht="12.6" customHeight="1" s="231" customFormat="1">
      <c r="A693" s="251">
        <v>7170</v>
      </c>
      <c r="B693" s="250" t="s">
        <v>142</v>
      </c>
      <c r="C693" s="256">
        <f>AB85</f>
        <v>28254514.929999992</v>
      </c>
      <c r="D693" s="256">
        <f>(D615/D612)*AB90</f>
        <v>1333885.0330196796</v>
      </c>
      <c r="E693" s="258">
        <f>(E623/E612)*SUM(C693:D693)</f>
        <v>5260029.1712741209</v>
      </c>
      <c r="F693" s="258">
        <f>(F624/F612)*AB64</f>
        <v>246588.94690045563</v>
      </c>
      <c r="G693" s="256">
        <f>(G625/G612)*AB91</f>
        <v>0</v>
      </c>
      <c r="H693" s="258">
        <f>(H628/H612)*AB60</f>
        <v>152448.70537536984</v>
      </c>
      <c r="I693" s="256">
        <f>(I629/I612)*AB92</f>
        <v>227293.58226098423</v>
      </c>
      <c r="J693" s="256">
        <f>(J630/J612)*AB93</f>
        <v>0</v>
      </c>
      <c r="K693" s="256">
        <f>(K644/K612)*AB89</f>
        <v>5352961.6360216215</v>
      </c>
      <c r="L693" s="256">
        <f>(L647/L612)*AB94</f>
        <v>13726.135838856315</v>
      </c>
      <c r="M693" s="231">
        <f t="shared" si="18"/>
        <v>12586933</v>
      </c>
      <c r="N693" s="250" t="s">
        <v>659</v>
      </c>
    </row>
    <row r="694" ht="12.6" customHeight="1" s="231" customFormat="1">
      <c r="A694" s="251">
        <v>7180</v>
      </c>
      <c r="B694" s="250" t="s">
        <v>660</v>
      </c>
      <c r="C694" s="256">
        <f>AC85</f>
        <v>7476423.1800000006</v>
      </c>
      <c r="D694" s="256">
        <f>(D615/D612)*AC90</f>
        <v>96703.766738226361</v>
      </c>
      <c r="E694" s="258">
        <f>(E623/E612)*SUM(C694:D694)</f>
        <v>1346300.1955966463</v>
      </c>
      <c r="F694" s="258">
        <f>(F624/F612)*AC64</f>
        <v>17750.827710303631</v>
      </c>
      <c r="G694" s="256">
        <f>(G625/G612)*AC91</f>
        <v>0</v>
      </c>
      <c r="H694" s="258">
        <f>(H628/H612)*AC60</f>
        <v>70577.760105587353</v>
      </c>
      <c r="I694" s="256">
        <f>(I629/I612)*AC92</f>
        <v>16478.290869118551</v>
      </c>
      <c r="J694" s="256">
        <f>(J630/J612)*AC93</f>
        <v>0</v>
      </c>
      <c r="K694" s="256">
        <f>(K644/K612)*AC89</f>
        <v>1058676.9041066035</v>
      </c>
      <c r="L694" s="256">
        <f>(L647/L612)*AC94</f>
        <v>1313.4035596560725</v>
      </c>
      <c r="M694" s="231">
        <f t="shared" si="18"/>
        <v>2607801</v>
      </c>
      <c r="N694" s="250" t="s">
        <v>661</v>
      </c>
    </row>
    <row r="695" ht="12.6" customHeight="1" s="231" customFormat="1">
      <c r="A695" s="251">
        <v>7190</v>
      </c>
      <c r="B695" s="250" t="s">
        <v>144</v>
      </c>
      <c r="C695" s="256">
        <f>AD85</f>
        <v>2982341.5999999996</v>
      </c>
      <c r="D695" s="256">
        <f>(D615/D612)*AD90</f>
        <v>1114607.02396445</v>
      </c>
      <c r="E695" s="258">
        <f>(E623/E612)*SUM(C695:D695)</f>
        <v>728328.307789478</v>
      </c>
      <c r="F695" s="258">
        <f>(F624/F612)*AD64</f>
        <v>916.984732395601</v>
      </c>
      <c r="G695" s="256">
        <f>(G625/G612)*AD91</f>
        <v>0</v>
      </c>
      <c r="H695" s="258">
        <f>(H628/H612)*AD60</f>
        <v>574.28513675224929</v>
      </c>
      <c r="I695" s="256">
        <f>(I629/I612)*AD92</f>
        <v>189928.67977280676</v>
      </c>
      <c r="J695" s="256">
        <f>(J630/J612)*AD93</f>
        <v>2359.4949271262817</v>
      </c>
      <c r="K695" s="256">
        <f>(K644/K612)*AD89</f>
        <v>139088.9265222851</v>
      </c>
      <c r="L695" s="256">
        <f>(L647/L612)*AD94</f>
        <v>2554.0313519333854</v>
      </c>
      <c r="M695" s="231">
        <f t="shared" si="18"/>
        <v>2178358</v>
      </c>
      <c r="N695" s="250" t="s">
        <v>662</v>
      </c>
    </row>
    <row r="696" ht="12.6" customHeight="1" s="231" customFormat="1">
      <c r="A696" s="251">
        <v>7200</v>
      </c>
      <c r="B696" s="250" t="s">
        <v>663</v>
      </c>
      <c r="C696" s="256">
        <f>AE85</f>
        <v>7041450.2800000012</v>
      </c>
      <c r="D696" s="256">
        <f>(D615/D612)*AE90</f>
        <v>1121408.817955212</v>
      </c>
      <c r="E696" s="258">
        <f>(E623/E612)*SUM(C696:D696)</f>
        <v>1451138.8594823771</v>
      </c>
      <c r="F696" s="258">
        <f>(F624/F612)*AE64</f>
        <v>726.23877370685659</v>
      </c>
      <c r="G696" s="256">
        <f>(G625/G612)*AE91</f>
        <v>0</v>
      </c>
      <c r="H696" s="258">
        <f>(H628/H612)*AE60</f>
        <v>76868.1389878404</v>
      </c>
      <c r="I696" s="256">
        <f>(I629/I612)*AE92</f>
        <v>191087.70328959491</v>
      </c>
      <c r="J696" s="256">
        <f>(J630/J612)*AE93</f>
        <v>0</v>
      </c>
      <c r="K696" s="256">
        <f>(K644/K612)*AE89</f>
        <v>370381.12268588709</v>
      </c>
      <c r="L696" s="256">
        <f>(L647/L612)*AE94</f>
        <v>46.378609057095815</v>
      </c>
      <c r="M696" s="231">
        <f t="shared" si="18"/>
        <v>3211657</v>
      </c>
      <c r="N696" s="250" t="s">
        <v>664</v>
      </c>
    </row>
    <row r="697" ht="12.6" customHeight="1" s="231" customFormat="1">
      <c r="A697" s="251">
        <v>7220</v>
      </c>
      <c r="B697" s="250" t="s">
        <v>665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666</v>
      </c>
    </row>
    <row r="698" ht="12.6" customHeight="1" s="231" customFormat="1">
      <c r="A698" s="251">
        <v>7230</v>
      </c>
      <c r="B698" s="250" t="s">
        <v>667</v>
      </c>
      <c r="C698" s="256">
        <f>AG85</f>
        <v>20375972.87</v>
      </c>
      <c r="D698" s="256">
        <f>(D615/D612)*AG90</f>
        <v>1989475.4539356621</v>
      </c>
      <c r="E698" s="258">
        <f>(E623/E612)*SUM(C698:D698)</f>
        <v>3975980.8154397849</v>
      </c>
      <c r="F698" s="258">
        <f>(F624/F612)*AG64</f>
        <v>26260.380210824573</v>
      </c>
      <c r="G698" s="256">
        <f>(G625/G612)*AG91</f>
        <v>488196.71309584251</v>
      </c>
      <c r="H698" s="258">
        <f>(H628/H612)*AG60</f>
        <v>124935.07407462983</v>
      </c>
      <c r="I698" s="256">
        <f>(I629/I612)*AG92</f>
        <v>339005.97993939917</v>
      </c>
      <c r="J698" s="256">
        <f>(J630/J612)*AG93</f>
        <v>99264.584159972932</v>
      </c>
      <c r="K698" s="256">
        <f>(K644/K612)*AG89</f>
        <v>2441145.9901465187</v>
      </c>
      <c r="L698" s="256">
        <f>(L647/L612)*AG94</f>
        <v>397621.787157492</v>
      </c>
      <c r="M698" s="231">
        <f t="shared" si="18"/>
        <v>9881887</v>
      </c>
      <c r="N698" s="250" t="s">
        <v>668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669</v>
      </c>
    </row>
    <row r="700" ht="12.6" customHeight="1" s="231" customFormat="1">
      <c r="A700" s="251">
        <v>7250</v>
      </c>
      <c r="B700" s="250" t="s">
        <v>670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>
        <f>(G625/G612)*AI91</f>
        <v>0</v>
      </c>
      <c r="H700" s="258">
        <f>(H628/H612)*AI60</f>
        <v>0</v>
      </c>
      <c r="I700" s="256">
        <f>(I629/I612)*AI92</f>
        <v>0</v>
      </c>
      <c r="J700" s="256">
        <f>(J630/J612)*AI93</f>
        <v>0</v>
      </c>
      <c r="K700" s="256">
        <f>(K644/K612)*AI89</f>
        <v>0</v>
      </c>
      <c r="L700" s="256">
        <f>(L647/L612)*AI94</f>
        <v>0</v>
      </c>
      <c r="M700" s="231">
        <f t="shared" si="18"/>
        <v>0</v>
      </c>
      <c r="N700" s="250" t="s">
        <v>671</v>
      </c>
    </row>
    <row r="701" ht="12.6" customHeight="1" s="231" customFormat="1">
      <c r="A701" s="251">
        <v>7260</v>
      </c>
      <c r="B701" s="250" t="s">
        <v>148</v>
      </c>
      <c r="C701" s="256">
        <f>AJ85</f>
        <v>158337363.50999996</v>
      </c>
      <c r="D701" s="256">
        <f>(D615/D612)*AJ90</f>
        <v>2042115.4248206904</v>
      </c>
      <c r="E701" s="258">
        <f>(E623/E612)*SUM(C701:D701)</f>
        <v>28511198.26436216</v>
      </c>
      <c r="F701" s="258">
        <f>(F624/F612)*AJ64</f>
        <v>91019.732387983386</v>
      </c>
      <c r="G701" s="256">
        <f>(G625/G612)*AJ91</f>
        <v>0</v>
      </c>
      <c r="H701" s="258">
        <f>(H628/H612)*AJ60</f>
        <v>1494077.3335242157</v>
      </c>
      <c r="I701" s="256">
        <f>(I629/I612)*AJ92</f>
        <v>347975.81411280314</v>
      </c>
      <c r="J701" s="256">
        <f>(J630/J612)*AJ93</f>
        <v>3176.3246571646973</v>
      </c>
      <c r="K701" s="256">
        <f>(K644/K612)*AJ89</f>
        <v>3272511.1816675435</v>
      </c>
      <c r="L701" s="256">
        <f>(L647/L612)*AJ94</f>
        <v>1217320.9952724872</v>
      </c>
      <c r="M701" s="231">
        <f t="shared" si="18"/>
        <v>36979395</v>
      </c>
      <c r="N701" s="250" t="s">
        <v>672</v>
      </c>
    </row>
    <row r="702" ht="12.6" customHeight="1" s="231" customFormat="1">
      <c r="A702" s="251">
        <v>7310</v>
      </c>
      <c r="B702" s="250" t="s">
        <v>673</v>
      </c>
      <c r="C702" s="256">
        <f>AK85</f>
        <v>2313403.6500000004</v>
      </c>
      <c r="D702" s="256">
        <f>(D615/D612)*AK90</f>
        <v>573223.65298958845</v>
      </c>
      <c r="E702" s="258">
        <f>(E623/E612)*SUM(C702:D702)</f>
        <v>513165.42426419148</v>
      </c>
      <c r="F702" s="258">
        <f>(F624/F612)*AK64</f>
        <v>59.023514538313073</v>
      </c>
      <c r="G702" s="256">
        <f>(G625/G612)*AK91</f>
        <v>0</v>
      </c>
      <c r="H702" s="258">
        <f>(H628/H612)*AK60</f>
        <v>30588.872024863362</v>
      </c>
      <c r="I702" s="256">
        <f>(I629/I612)*AK92</f>
        <v>97677.126813378563</v>
      </c>
      <c r="J702" s="256">
        <f>(J630/J612)*AK93</f>
        <v>6518.998015380248</v>
      </c>
      <c r="K702" s="256">
        <f>(K644/K612)*AK89</f>
        <v>177229.09793862724</v>
      </c>
      <c r="L702" s="256">
        <f>(L647/L612)*AK94</f>
        <v>0</v>
      </c>
      <c r="M702" s="231">
        <f t="shared" si="18"/>
        <v>1398462</v>
      </c>
      <c r="N702" s="250" t="s">
        <v>674</v>
      </c>
    </row>
    <row r="703" ht="12.6" customHeight="1" s="231" customFormat="1">
      <c r="A703" s="251">
        <v>7320</v>
      </c>
      <c r="B703" s="250" t="s">
        <v>675</v>
      </c>
      <c r="C703" s="256">
        <f>AL85</f>
        <v>844310.62</v>
      </c>
      <c r="D703" s="256">
        <f>(D615/D612)*AL90</f>
        <v>411163.51790534367</v>
      </c>
      <c r="E703" s="258">
        <f>(E623/E612)*SUM(C703:D703)</f>
        <v>223189.85134092989</v>
      </c>
      <c r="F703" s="258">
        <f>(F624/F612)*AL64</f>
        <v>1.5923789785701832</v>
      </c>
      <c r="G703" s="256">
        <f>(G625/G612)*AL91</f>
        <v>0</v>
      </c>
      <c r="H703" s="258">
        <f>(H628/H612)*AL60</f>
        <v>10834.533973081301</v>
      </c>
      <c r="I703" s="256">
        <f>(I629/I612)*AL92</f>
        <v>70062.131717730343</v>
      </c>
      <c r="J703" s="256">
        <f>(J630/J612)*AL93</f>
        <v>0</v>
      </c>
      <c r="K703" s="256">
        <f>(K644/K612)*AL89</f>
        <v>52044.81476114352</v>
      </c>
      <c r="L703" s="256">
        <f>(L647/L612)*AL94</f>
        <v>0</v>
      </c>
      <c r="M703" s="231">
        <f t="shared" si="18"/>
        <v>767296</v>
      </c>
      <c r="N703" s="250" t="s">
        <v>676</v>
      </c>
    </row>
    <row r="704" ht="12.6" customHeight="1" s="231" customFormat="1">
      <c r="A704" s="251">
        <v>7330</v>
      </c>
      <c r="B704" s="250" t="s">
        <v>677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678</v>
      </c>
    </row>
    <row r="705" ht="12.6" customHeight="1" s="231" customFormat="1">
      <c r="A705" s="251">
        <v>7340</v>
      </c>
      <c r="B705" s="250" t="s">
        <v>679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680</v>
      </c>
    </row>
    <row r="706" ht="12.6" customHeight="1" s="231" customFormat="1">
      <c r="A706" s="251">
        <v>7350</v>
      </c>
      <c r="B706" s="250" t="s">
        <v>681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682</v>
      </c>
    </row>
    <row r="707" ht="12.6" customHeight="1" s="231" customFormat="1">
      <c r="A707" s="251">
        <v>7380</v>
      </c>
      <c r="B707" s="250" t="s">
        <v>683</v>
      </c>
      <c r="C707" s="256">
        <f>AP85</f>
        <v>-471122.37000000005</v>
      </c>
      <c r="D707" s="256">
        <f>(D615/D612)*AP90</f>
        <v>177142.37393332596</v>
      </c>
      <c r="E707" s="258">
        <f>(E623/E612)*SUM(C707:D707)</f>
        <v>-52261.810608698543</v>
      </c>
      <c r="F707" s="258">
        <f>(F624/F612)*AP64</f>
        <v>0.52926613016807078</v>
      </c>
      <c r="G707" s="256">
        <f>(G625/G612)*AP91</f>
        <v>0</v>
      </c>
      <c r="H707" s="258">
        <f>(H628/H612)*AP60</f>
        <v>0</v>
      </c>
      <c r="I707" s="256">
        <f>(I629/I612)*AP92</f>
        <v>30185.003763308905</v>
      </c>
      <c r="J707" s="256">
        <f>(J630/J612)*AP93</f>
        <v>0</v>
      </c>
      <c r="K707" s="256">
        <f>(K644/K612)*AP89</f>
        <v>111603.62196827732</v>
      </c>
      <c r="L707" s="256">
        <f>(L647/L612)*AP94</f>
        <v>0</v>
      </c>
      <c r="M707" s="231">
        <f t="shared" si="18"/>
        <v>266670</v>
      </c>
      <c r="N707" s="250" t="s">
        <v>684</v>
      </c>
    </row>
    <row r="708" ht="12.6" customHeight="1" s="231" customFormat="1">
      <c r="A708" s="251">
        <v>7390</v>
      </c>
      <c r="B708" s="250" t="s">
        <v>685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>
        <f>(G625/G612)*AQ91</f>
        <v>0</v>
      </c>
      <c r="H708" s="258">
        <f>(H628/H612)*AQ60</f>
        <v>0</v>
      </c>
      <c r="I708" s="256">
        <f>(I629/I612)*AQ92</f>
        <v>0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0</v>
      </c>
      <c r="N708" s="250" t="s">
        <v>686</v>
      </c>
    </row>
    <row r="709" ht="12.6" customHeight="1" s="231" customFormat="1">
      <c r="A709" s="251">
        <v>7400</v>
      </c>
      <c r="B709" s="250" t="s">
        <v>687</v>
      </c>
      <c r="C709" s="256">
        <f>AR85</f>
        <v>41317793.089999996</v>
      </c>
      <c r="D709" s="256">
        <f>(D615/D612)*AR90</f>
        <v>4396916.21976743</v>
      </c>
      <c r="E709" s="258">
        <f>(E623/E612)*SUM(C709:D709)</f>
        <v>8126857.3098317962</v>
      </c>
      <c r="F709" s="258">
        <f>(F624/F612)*AR64</f>
        <v>35391.712284653549</v>
      </c>
      <c r="G709" s="256">
        <f>(G625/G612)*AR91</f>
        <v>0</v>
      </c>
      <c r="H709" s="258">
        <f>(H628/H612)*AR60</f>
        <v>396313.48372708686</v>
      </c>
      <c r="I709" s="256">
        <f>(I629/I612)*AR92</f>
        <v>749233.1151133168</v>
      </c>
      <c r="J709" s="256">
        <f>(J630/J612)*AR93</f>
        <v>0</v>
      </c>
      <c r="K709" s="256">
        <f>(K644/K612)*AR89</f>
        <v>477961.73796337063</v>
      </c>
      <c r="L709" s="256">
        <f>(L647/L612)*AR94</f>
        <v>644501.77076904452</v>
      </c>
      <c r="M709" s="231">
        <f t="shared" si="18"/>
        <v>14827175</v>
      </c>
      <c r="N709" s="250" t="s">
        <v>688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689</v>
      </c>
    </row>
    <row r="711" ht="12.6" customHeight="1" s="231" customFormat="1">
      <c r="A711" s="251">
        <v>7420</v>
      </c>
      <c r="B711" s="250" t="s">
        <v>690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691</v>
      </c>
    </row>
    <row r="712" ht="12.6" customHeight="1" s="231" customFormat="1">
      <c r="A712" s="251">
        <v>7430</v>
      </c>
      <c r="B712" s="250" t="s">
        <v>692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693</v>
      </c>
    </row>
    <row r="713" ht="12.6" customHeight="1" s="231" customFormat="1">
      <c r="A713" s="251">
        <v>7490</v>
      </c>
      <c r="B713" s="250" t="s">
        <v>694</v>
      </c>
      <c r="C713" s="256">
        <f>AV85</f>
        <v>5412210.3599999975</v>
      </c>
      <c r="D713" s="256">
        <f>(D615/D612)*AV90</f>
        <v>137415.95395829514</v>
      </c>
      <c r="E713" s="258">
        <f>(E623/E612)*SUM(C713:D713)</f>
        <v>986575.69647480035</v>
      </c>
      <c r="F713" s="258">
        <f>(F624/F612)*AV64</f>
        <v>10174.009808423169</v>
      </c>
      <c r="G713" s="256">
        <f>(G625/G612)*AV91</f>
        <v>239912.646544381</v>
      </c>
      <c r="H713" s="258">
        <f>(H628/H612)*AV60</f>
        <v>123552.34201958108</v>
      </c>
      <c r="I713" s="256">
        <f>(I629/I612)*AV92</f>
        <v>23415.634527575185</v>
      </c>
      <c r="J713" s="256">
        <f>(J630/J612)*AV93</f>
        <v>6863.9390754537844</v>
      </c>
      <c r="K713" s="256">
        <f>(K644/K612)*AV89</f>
        <v>46141.775512609194</v>
      </c>
      <c r="L713" s="256">
        <f>(L647/L612)*AV94</f>
        <v>105999.89560246858</v>
      </c>
      <c r="M713" s="231">
        <f t="shared" si="18"/>
        <v>1680052</v>
      </c>
      <c r="N713" s="252" t="s">
        <v>695</v>
      </c>
    </row>
    <row r="714" ht="12.6" customHeight="1" s="231" customFormat="1"/>
    <row r="715" ht="12.6" customHeight="1" s="231" customFormat="1">
      <c r="C715" s="253">
        <f>SUM(C614:C647)+SUM(C668:C713)</f>
        <v>880649129.11000013</v>
      </c>
      <c r="D715" s="231">
        <f>SUM(D616:D647)+SUM(D668:D713)</f>
        <v>67053857.370000005</v>
      </c>
      <c r="E715" s="231">
        <f>SUM(E624:E647)+SUM(E668:E713)</f>
        <v>132925363.46257383</v>
      </c>
      <c r="F715" s="231">
        <f>SUM(F625:F648)+SUM(F668:F713)</f>
        <v>1885289.4538945828</v>
      </c>
      <c r="G715" s="231">
        <f>SUM(G626:G647)+SUM(G668:G713)</f>
        <v>9717089.3123301882</v>
      </c>
      <c r="H715" s="231">
        <f>SUM(H629:H647)+SUM(H668:H713)</f>
        <v>5444849.3499078322</v>
      </c>
      <c r="I715" s="231">
        <f>SUM(I630:I647)+SUM(I668:I713)</f>
        <v>8131785.7440990089</v>
      </c>
      <c r="J715" s="231">
        <f>SUM(J631:J647)+SUM(J668:J713)</f>
        <v>976346.89049437165</v>
      </c>
      <c r="K715" s="231">
        <f>SUM(K668:K713)</f>
        <v>45626522.04554905</v>
      </c>
      <c r="L715" s="231">
        <f>SUM(L668:L713)</f>
        <v>9753203.6598400436</v>
      </c>
      <c r="M715" s="231">
        <f>SUM(M668:M713)</f>
        <v>247584280</v>
      </c>
      <c r="N715" s="250" t="s">
        <v>696</v>
      </c>
    </row>
    <row r="716" ht="12.6" customHeight="1" s="231" customFormat="1">
      <c r="C716" s="253">
        <f>CE85</f>
        <v>880649129.11000013</v>
      </c>
      <c r="D716" s="231">
        <f>D615</f>
        <v>67053857.370000005</v>
      </c>
      <c r="E716" s="231">
        <f>E623</f>
        <v>132925363.46257383</v>
      </c>
      <c r="F716" s="231">
        <f>F624</f>
        <v>1885289.453894583</v>
      </c>
      <c r="G716" s="231">
        <f>G625</f>
        <v>9717089.31233019</v>
      </c>
      <c r="H716" s="231">
        <f>H628</f>
        <v>5444849.34990783</v>
      </c>
      <c r="I716" s="231">
        <f>I629</f>
        <v>8131785.74409901</v>
      </c>
      <c r="J716" s="231">
        <f>J630</f>
        <v>976346.89049437153</v>
      </c>
      <c r="K716" s="231">
        <f>K644</f>
        <v>45626522.045549065</v>
      </c>
      <c r="L716" s="231">
        <f>L647</f>
        <v>9753203.6598400436</v>
      </c>
      <c r="M716" s="231">
        <f>C648</f>
        <v>247584279.21</v>
      </c>
      <c r="N716" s="250" t="s">
        <v>697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St.Joseph Medical Center</v>
      </c>
      <c r="B3" s="184"/>
      <c r="C3" s="156" t="str">
        <f>"FYE: "&amp;data!C96</f>
        <v>FYE: 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423</v>
      </c>
      <c r="C5" s="189"/>
    </row>
    <row r="6" ht="20.1" customHeight="1">
      <c r="A6" s="188">
        <v>2</v>
      </c>
      <c r="B6" s="190" t="s">
        <v>424</v>
      </c>
      <c r="C6" s="190">
        <f>data!C266</f>
        <v>59533466.75</v>
      </c>
    </row>
    <row r="7" ht="20.1" customHeight="1">
      <c r="A7" s="188">
        <v>3</v>
      </c>
      <c r="B7" s="190" t="s">
        <v>425</v>
      </c>
      <c r="C7" s="190">
        <f>data!C267</f>
        <v>0</v>
      </c>
    </row>
    <row r="8" ht="20.1" customHeight="1">
      <c r="A8" s="188">
        <v>4</v>
      </c>
      <c r="B8" s="190" t="s">
        <v>426</v>
      </c>
      <c r="C8" s="190">
        <f>data!C268</f>
        <v>586831859.13</v>
      </c>
    </row>
    <row r="9" ht="20.1" customHeight="1">
      <c r="A9" s="188">
        <v>5</v>
      </c>
      <c r="B9" s="190" t="s">
        <v>907</v>
      </c>
      <c r="C9" s="190">
        <f>data!C269</f>
        <v>479100271.90000004</v>
      </c>
    </row>
    <row r="10" ht="20.1" customHeight="1">
      <c r="A10" s="188">
        <v>6</v>
      </c>
      <c r="B10" s="190" t="s">
        <v>908</v>
      </c>
      <c r="C10" s="190">
        <f>data!C270</f>
        <v>0</v>
      </c>
    </row>
    <row r="11" ht="20.1" customHeight="1">
      <c r="A11" s="188">
        <v>7</v>
      </c>
      <c r="B11" s="190" t="s">
        <v>909</v>
      </c>
      <c r="C11" s="190">
        <f>data!C271</f>
        <v>-6021228.6199999992</v>
      </c>
    </row>
    <row r="12" ht="20.1" customHeight="1">
      <c r="A12" s="188">
        <v>8</v>
      </c>
      <c r="B12" s="190" t="s">
        <v>430</v>
      </c>
      <c r="C12" s="190">
        <f>data!C272</f>
        <v>0</v>
      </c>
    </row>
    <row r="13" ht="20.1" customHeight="1">
      <c r="A13" s="188">
        <v>9</v>
      </c>
      <c r="B13" s="190" t="s">
        <v>431</v>
      </c>
      <c r="C13" s="190">
        <f>data!C273</f>
        <v>21203675.23</v>
      </c>
    </row>
    <row r="14" ht="20.1" customHeight="1">
      <c r="A14" s="188">
        <v>10</v>
      </c>
      <c r="B14" s="190" t="s">
        <v>432</v>
      </c>
      <c r="C14" s="190">
        <f>data!C274</f>
        <v>2542797.56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184990298.14999998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424</v>
      </c>
      <c r="C19" s="190">
        <f>data!C278</f>
        <v>0</v>
      </c>
    </row>
    <row r="20" ht="20.1" customHeight="1">
      <c r="A20" s="188">
        <v>16</v>
      </c>
      <c r="B20" s="190" t="s">
        <v>425</v>
      </c>
      <c r="C20" s="190">
        <f>data!C279</f>
        <v>0</v>
      </c>
    </row>
    <row r="21" ht="20.1" customHeight="1">
      <c r="A21" s="188">
        <v>17</v>
      </c>
      <c r="B21" s="190" t="s">
        <v>436</v>
      </c>
      <c r="C21" s="190">
        <f>data!C280</f>
        <v>0</v>
      </c>
    </row>
    <row r="22" ht="20.1" customHeight="1">
      <c r="A22" s="188">
        <v>18</v>
      </c>
      <c r="B22" s="190" t="s">
        <v>913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393</v>
      </c>
      <c r="C25" s="190">
        <f>data!C283</f>
        <v>7877314.96</v>
      </c>
    </row>
    <row r="26" ht="20.1" customHeight="1">
      <c r="A26" s="188">
        <v>22</v>
      </c>
      <c r="B26" s="190" t="s">
        <v>394</v>
      </c>
      <c r="C26" s="190">
        <f>data!C284</f>
        <v>4412190.25</v>
      </c>
    </row>
    <row r="27" ht="20.1" customHeight="1">
      <c r="A27" s="188">
        <v>23</v>
      </c>
      <c r="B27" s="190" t="s">
        <v>395</v>
      </c>
      <c r="C27" s="190">
        <f>data!C285</f>
        <v>122860258.49</v>
      </c>
    </row>
    <row r="28" ht="20.1" customHeight="1">
      <c r="A28" s="188">
        <v>24</v>
      </c>
      <c r="B28" s="190" t="s">
        <v>915</v>
      </c>
      <c r="C28" s="190">
        <f>data!C286</f>
        <v>65648992.14</v>
      </c>
    </row>
    <row r="29" ht="20.1" customHeight="1">
      <c r="A29" s="188">
        <v>25</v>
      </c>
      <c r="B29" s="190" t="s">
        <v>397</v>
      </c>
      <c r="C29" s="190">
        <f>data!C287</f>
        <v>83171267.11</v>
      </c>
    </row>
    <row r="30" ht="20.1" customHeight="1">
      <c r="A30" s="188">
        <v>26</v>
      </c>
      <c r="B30" s="190" t="s">
        <v>441</v>
      </c>
      <c r="C30" s="190">
        <f>data!C288</f>
        <v>300932325</v>
      </c>
    </row>
    <row r="31" ht="20.1" customHeight="1">
      <c r="A31" s="188">
        <v>27</v>
      </c>
      <c r="B31" s="190" t="s">
        <v>400</v>
      </c>
      <c r="C31" s="190">
        <f>data!C289</f>
        <v>66217816.29</v>
      </c>
    </row>
    <row r="32" ht="20.1" customHeight="1">
      <c r="A32" s="188">
        <v>28</v>
      </c>
      <c r="B32" s="190" t="s">
        <v>401</v>
      </c>
      <c r="C32" s="190">
        <f>data!C290</f>
        <v>5118840.61</v>
      </c>
    </row>
    <row r="33" ht="20.1" customHeight="1">
      <c r="A33" s="188">
        <v>29</v>
      </c>
      <c r="B33" s="190" t="s">
        <v>614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481916634.81</v>
      </c>
    </row>
    <row r="35" ht="20.1" customHeight="1">
      <c r="A35" s="188">
        <v>31</v>
      </c>
      <c r="B35" s="190" t="s">
        <v>917</v>
      </c>
      <c r="C35" s="190">
        <f>data!D293</f>
        <v>174322370.04000002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448</v>
      </c>
      <c r="C40" s="190">
        <f>data!C297</f>
        <v>17827418.59</v>
      </c>
    </row>
    <row r="41" ht="20.1" customHeight="1">
      <c r="A41" s="188">
        <v>37</v>
      </c>
      <c r="B41" s="190" t="s">
        <v>436</v>
      </c>
      <c r="C41" s="190">
        <f>data!C298</f>
        <v>51358629.8</v>
      </c>
    </row>
    <row r="42" ht="20.1" customHeight="1">
      <c r="A42" s="188">
        <v>38</v>
      </c>
      <c r="B42" s="190" t="s">
        <v>921</v>
      </c>
      <c r="C42" s="190">
        <f>data!D299</f>
        <v>69186048.39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451</v>
      </c>
      <c r="C45" s="190">
        <f>data!C302</f>
        <v>4245001.81</v>
      </c>
    </row>
    <row r="46" ht="20.1" customHeight="1">
      <c r="A46" s="188">
        <v>42</v>
      </c>
      <c r="B46" s="190" t="s">
        <v>452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454</v>
      </c>
      <c r="C48" s="190">
        <f>data!C305</f>
        <v>132771.63</v>
      </c>
    </row>
    <row r="49" ht="20.1" customHeight="1">
      <c r="A49" s="188">
        <v>45</v>
      </c>
      <c r="B49" s="190" t="s">
        <v>924</v>
      </c>
      <c r="C49" s="190">
        <f>data!D306</f>
        <v>4377773.4399999995</v>
      </c>
    </row>
    <row r="50" ht="20.1" customHeight="1">
      <c r="A50" s="193">
        <v>46</v>
      </c>
      <c r="B50" s="194" t="s">
        <v>925</v>
      </c>
      <c r="C50" s="190">
        <f>data!D308</f>
        <v>432876490.02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St.Joseph Medical Center</v>
      </c>
      <c r="B55" s="184"/>
      <c r="C55" s="156" t="str">
        <f>"FYE: "&amp;data!C96</f>
        <v>FYE: 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458</v>
      </c>
      <c r="C57" s="198"/>
    </row>
    <row r="58" ht="20.1" customHeight="1">
      <c r="A58" s="188">
        <v>2</v>
      </c>
      <c r="B58" s="190" t="s">
        <v>459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14583513.45</v>
      </c>
    </row>
    <row r="60" ht="20.1" customHeight="1">
      <c r="A60" s="188">
        <v>4</v>
      </c>
      <c r="B60" s="190" t="s">
        <v>930</v>
      </c>
      <c r="C60" s="190">
        <f>data!C316</f>
        <v>37876966.43</v>
      </c>
    </row>
    <row r="61" ht="20.1" customHeight="1">
      <c r="A61" s="188">
        <v>5</v>
      </c>
      <c r="B61" s="190" t="s">
        <v>462</v>
      </c>
      <c r="C61" s="190">
        <f>data!C317</f>
        <v>93562450.53</v>
      </c>
    </row>
    <row r="62" ht="20.1" customHeight="1">
      <c r="A62" s="188">
        <v>6</v>
      </c>
      <c r="B62" s="190" t="s">
        <v>931</v>
      </c>
      <c r="C62" s="190">
        <f>data!C318</f>
        <v>0</v>
      </c>
    </row>
    <row r="63" ht="20.1" customHeight="1">
      <c r="A63" s="188">
        <v>7</v>
      </c>
      <c r="B63" s="190" t="s">
        <v>932</v>
      </c>
      <c r="C63" s="190">
        <f>data!C319</f>
        <v>21852176.58</v>
      </c>
    </row>
    <row r="64" ht="20.1" customHeight="1">
      <c r="A64" s="188">
        <v>8</v>
      </c>
      <c r="B64" s="190" t="s">
        <v>465</v>
      </c>
      <c r="C64" s="190">
        <f>data!C320</f>
        <v>0</v>
      </c>
    </row>
    <row r="65" ht="20.1" customHeight="1">
      <c r="A65" s="188">
        <v>9</v>
      </c>
      <c r="B65" s="190" t="s">
        <v>466</v>
      </c>
      <c r="C65" s="190">
        <f>data!C321</f>
        <v>0</v>
      </c>
    </row>
    <row r="66" ht="20.1" customHeight="1">
      <c r="A66" s="188">
        <v>10</v>
      </c>
      <c r="B66" s="190" t="s">
        <v>467</v>
      </c>
      <c r="C66" s="190">
        <f>data!C322</f>
        <v>0</v>
      </c>
    </row>
    <row r="67" ht="20.1" customHeight="1">
      <c r="A67" s="188">
        <v>11</v>
      </c>
      <c r="B67" s="190" t="s">
        <v>933</v>
      </c>
      <c r="C67" s="190">
        <f>data!C323</f>
        <v>869466.49</v>
      </c>
    </row>
    <row r="68" ht="20.1" customHeight="1">
      <c r="A68" s="188">
        <v>12</v>
      </c>
      <c r="B68" s="190" t="s">
        <v>934</v>
      </c>
      <c r="C68" s="190">
        <f>data!D324</f>
        <v>168744573.48000002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471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473</v>
      </c>
      <c r="C73" s="190">
        <f>data!C328</f>
        <v>51902292.31</v>
      </c>
    </row>
    <row r="74" ht="20.1" customHeight="1">
      <c r="A74" s="188">
        <v>18</v>
      </c>
      <c r="B74" s="190" t="s">
        <v>937</v>
      </c>
      <c r="C74" s="190">
        <f>data!D329</f>
        <v>51902292.31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475</v>
      </c>
      <c r="C76" s="189"/>
    </row>
    <row r="77" ht="20.1" customHeight="1">
      <c r="A77" s="188">
        <v>21</v>
      </c>
      <c r="B77" s="190" t="s">
        <v>476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478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3101920.26</v>
      </c>
    </row>
    <row r="81" ht="20.1" customHeight="1">
      <c r="A81" s="188">
        <v>25</v>
      </c>
      <c r="B81" s="190" t="s">
        <v>480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0</v>
      </c>
    </row>
    <row r="83" ht="20.1" customHeight="1">
      <c r="A83" s="188">
        <v>27</v>
      </c>
      <c r="B83" s="190" t="s">
        <v>482</v>
      </c>
      <c r="C83" s="190">
        <f>data!C337</f>
        <v>0</v>
      </c>
    </row>
    <row r="84" ht="20.1" customHeight="1">
      <c r="A84" s="188">
        <v>28</v>
      </c>
      <c r="B84" s="190" t="s">
        <v>483</v>
      </c>
      <c r="C84" s="190">
        <f>data!C338</f>
        <v>0</v>
      </c>
    </row>
    <row r="85" ht="20.1" customHeight="1">
      <c r="A85" s="188">
        <v>29</v>
      </c>
      <c r="B85" s="190" t="s">
        <v>614</v>
      </c>
      <c r="C85" s="190">
        <f>data!D339</f>
        <v>3101920.26</v>
      </c>
    </row>
    <row r="86" ht="20.1" customHeight="1">
      <c r="A86" s="188">
        <v>30</v>
      </c>
      <c r="B86" s="190" t="s">
        <v>941</v>
      </c>
      <c r="C86" s="190">
        <f>data!D340</f>
        <v>869466.49</v>
      </c>
    </row>
    <row r="87" ht="20.1" customHeight="1">
      <c r="A87" s="188">
        <v>31</v>
      </c>
      <c r="B87" s="190" t="s">
        <v>942</v>
      </c>
      <c r="C87" s="190">
        <f>data!D341</f>
        <v>2232453.7699999996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209997170.34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487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488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209997170.34</v>
      </c>
    </row>
    <row r="103" ht="20.1" customHeight="1">
      <c r="A103" s="188">
        <v>47</v>
      </c>
      <c r="B103" s="190" t="s">
        <v>950</v>
      </c>
      <c r="C103" s="190">
        <f>data!D352</f>
        <v>432876490.02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St.Joseph Medical Center</v>
      </c>
      <c r="B108" s="184"/>
      <c r="C108" s="156" t="str">
        <f>"FYE: "&amp;data!C96</f>
        <v>FYE: 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496</v>
      </c>
      <c r="C111" s="190">
        <f>data!C358</f>
        <v>2218952383.16</v>
      </c>
    </row>
    <row r="112" ht="20.1" customHeight="1">
      <c r="A112" s="188">
        <v>3</v>
      </c>
      <c r="B112" s="190" t="s">
        <v>497</v>
      </c>
      <c r="C112" s="190">
        <f>data!C359</f>
        <v>1502437875.0599997</v>
      </c>
    </row>
    <row r="113" ht="20.1" customHeight="1">
      <c r="A113" s="188">
        <v>4</v>
      </c>
      <c r="B113" s="190" t="s">
        <v>954</v>
      </c>
      <c r="C113" s="190">
        <f>data!D360</f>
        <v>3721390258.2199993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12690527.06</v>
      </c>
    </row>
    <row r="117" ht="20.1" customHeight="1">
      <c r="A117" s="188">
        <v>8</v>
      </c>
      <c r="B117" s="190" t="s">
        <v>500</v>
      </c>
      <c r="C117" s="203">
        <f>data!C363</f>
        <v>2863902450.65</v>
      </c>
    </row>
    <row r="118" ht="20.1" customHeight="1">
      <c r="A118" s="188">
        <v>9</v>
      </c>
      <c r="B118" s="190" t="s">
        <v>957</v>
      </c>
      <c r="C118" s="203">
        <f>data!C364</f>
        <v>32401108.12</v>
      </c>
    </row>
    <row r="119" ht="20.1" customHeight="1">
      <c r="A119" s="188">
        <v>10</v>
      </c>
      <c r="B119" s="190" t="s">
        <v>958</v>
      </c>
      <c r="C119" s="203">
        <f>data!C365</f>
        <v>21326378.480000004</v>
      </c>
    </row>
    <row r="120" ht="20.1" customHeight="1">
      <c r="A120" s="188">
        <v>11</v>
      </c>
      <c r="B120" s="190" t="s">
        <v>902</v>
      </c>
      <c r="C120" s="203">
        <f>data!D366</f>
        <v>2930320464.31</v>
      </c>
    </row>
    <row r="121" ht="20.1" customHeight="1">
      <c r="A121" s="188">
        <v>12</v>
      </c>
      <c r="B121" s="190" t="s">
        <v>959</v>
      </c>
      <c r="C121" s="203">
        <f>data!D367</f>
        <v>791069793.90999937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504</v>
      </c>
      <c r="C123" s="189"/>
    </row>
    <row r="124" ht="20.1" customHeight="1">
      <c r="A124" s="188">
        <v>15</v>
      </c>
      <c r="B124" s="204" t="s">
        <v>505</v>
      </c>
      <c r="C124" s="205"/>
    </row>
    <row r="125" ht="20.1" customHeight="1">
      <c r="A125" s="209" t="s">
        <v>960</v>
      </c>
      <c r="B125" s="206" t="s">
        <v>506</v>
      </c>
      <c r="C125" s="205">
        <f>data!C370</f>
        <v>0</v>
      </c>
    </row>
    <row r="126" ht="20.1" customHeight="1">
      <c r="A126" s="209" t="s">
        <v>961</v>
      </c>
      <c r="B126" s="206" t="s">
        <v>507</v>
      </c>
      <c r="C126" s="205">
        <f>data!C371</f>
        <v>0</v>
      </c>
    </row>
    <row r="127" ht="20.1" customHeight="1">
      <c r="A127" s="209" t="s">
        <v>962</v>
      </c>
      <c r="B127" s="206" t="s">
        <v>508</v>
      </c>
      <c r="C127" s="205">
        <f>data!C372</f>
        <v>0</v>
      </c>
    </row>
    <row r="128" ht="20.1" customHeight="1">
      <c r="A128" s="209" t="s">
        <v>963</v>
      </c>
      <c r="B128" s="206" t="s">
        <v>509</v>
      </c>
      <c r="C128" s="205">
        <f>data!C373</f>
        <v>0</v>
      </c>
    </row>
    <row r="129" ht="20.1" customHeight="1">
      <c r="A129" s="209" t="s">
        <v>964</v>
      </c>
      <c r="B129" s="206" t="s">
        <v>510</v>
      </c>
      <c r="C129" s="205">
        <f>data!C374</f>
        <v>0</v>
      </c>
    </row>
    <row r="130" ht="20.1" customHeight="1">
      <c r="A130" s="209" t="s">
        <v>965</v>
      </c>
      <c r="B130" s="206" t="s">
        <v>511</v>
      </c>
      <c r="C130" s="205">
        <f>data!C375</f>
        <v>0</v>
      </c>
    </row>
    <row r="131" ht="20.1" customHeight="1">
      <c r="A131" s="209" t="s">
        <v>966</v>
      </c>
      <c r="B131" s="206" t="s">
        <v>512</v>
      </c>
      <c r="C131" s="205">
        <f>data!C376</f>
        <v>0</v>
      </c>
    </row>
    <row r="132" ht="20.1" customHeight="1">
      <c r="A132" s="209" t="s">
        <v>967</v>
      </c>
      <c r="B132" s="206" t="s">
        <v>513</v>
      </c>
      <c r="C132" s="205">
        <f>data!C377</f>
        <v>0</v>
      </c>
    </row>
    <row r="133" ht="20.1" customHeight="1">
      <c r="A133" s="209" t="s">
        <v>968</v>
      </c>
      <c r="B133" s="206" t="s">
        <v>514</v>
      </c>
      <c r="C133" s="205">
        <f>data!C378</f>
        <v>0</v>
      </c>
    </row>
    <row r="134" ht="20.1" customHeight="1">
      <c r="A134" s="209" t="s">
        <v>969</v>
      </c>
      <c r="B134" s="206" t="s">
        <v>515</v>
      </c>
      <c r="C134" s="205">
        <f>data!C379</f>
        <v>0</v>
      </c>
    </row>
    <row r="135" ht="20.1" customHeight="1">
      <c r="A135" s="209" t="s">
        <v>970</v>
      </c>
      <c r="B135" s="206" t="s">
        <v>516</v>
      </c>
      <c r="C135" s="205">
        <f>data!C380</f>
        <v>21506058.4</v>
      </c>
    </row>
    <row r="136" ht="20.1" customHeight="1">
      <c r="A136" s="188">
        <v>16</v>
      </c>
      <c r="B136" s="190" t="s">
        <v>518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21506058.4</v>
      </c>
    </row>
    <row r="138" ht="20.1" customHeight="1">
      <c r="A138" s="188">
        <v>18</v>
      </c>
      <c r="B138" s="190" t="s">
        <v>972</v>
      </c>
      <c r="C138" s="203">
        <f>data!D384</f>
        <v>812575852.30999935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522</v>
      </c>
      <c r="C141" s="203">
        <f>data!C389</f>
        <v>359558993.66</v>
      </c>
    </row>
    <row r="142" ht="20.1" customHeight="1">
      <c r="A142" s="188">
        <v>22</v>
      </c>
      <c r="B142" s="190" t="s">
        <v>11</v>
      </c>
      <c r="C142" s="203">
        <f>data!C390</f>
        <v>70893325.2</v>
      </c>
    </row>
    <row r="143" ht="20.1" customHeight="1">
      <c r="A143" s="188">
        <v>23</v>
      </c>
      <c r="B143" s="190" t="s">
        <v>264</v>
      </c>
      <c r="C143" s="203">
        <f>data!C391</f>
        <v>30254462.79</v>
      </c>
    </row>
    <row r="144" ht="20.1" customHeight="1">
      <c r="A144" s="188">
        <v>24</v>
      </c>
      <c r="B144" s="190" t="s">
        <v>265</v>
      </c>
      <c r="C144" s="203">
        <f>data!C392</f>
        <v>136278892.56</v>
      </c>
    </row>
    <row r="145" ht="20.1" customHeight="1">
      <c r="A145" s="188">
        <v>25</v>
      </c>
      <c r="B145" s="190" t="s">
        <v>974</v>
      </c>
      <c r="C145" s="203">
        <f>data!C393</f>
        <v>4442044</v>
      </c>
    </row>
    <row r="146" ht="20.1" customHeight="1">
      <c r="A146" s="188">
        <v>26</v>
      </c>
      <c r="B146" s="190" t="s">
        <v>975</v>
      </c>
      <c r="C146" s="203">
        <f>data!C394</f>
        <v>200811748.6</v>
      </c>
    </row>
    <row r="147" ht="20.1" customHeight="1">
      <c r="A147" s="188">
        <v>27</v>
      </c>
      <c r="B147" s="190" t="s">
        <v>16</v>
      </c>
      <c r="C147" s="203">
        <f>data!C395</f>
        <v>39469438.35</v>
      </c>
    </row>
    <row r="148" ht="20.1" customHeight="1">
      <c r="A148" s="188">
        <v>28</v>
      </c>
      <c r="B148" s="190" t="s">
        <v>976</v>
      </c>
      <c r="C148" s="203">
        <f>data!C396</f>
        <v>18189025.46</v>
      </c>
    </row>
    <row r="149" ht="20.1" customHeight="1">
      <c r="A149" s="188">
        <v>29</v>
      </c>
      <c r="B149" s="190" t="s">
        <v>527</v>
      </c>
      <c r="C149" s="203">
        <f>data!C397</f>
        <v>4126227.41</v>
      </c>
    </row>
    <row r="150" ht="20.1" customHeight="1">
      <c r="A150" s="188">
        <v>30</v>
      </c>
      <c r="B150" s="190" t="s">
        <v>977</v>
      </c>
      <c r="C150" s="203">
        <f>data!C398</f>
        <v>30363948.59</v>
      </c>
    </row>
    <row r="151" ht="20.1" customHeight="1">
      <c r="A151" s="188">
        <v>31</v>
      </c>
      <c r="B151" s="190" t="s">
        <v>529</v>
      </c>
      <c r="C151" s="203">
        <f>data!C399</f>
        <v>29914.22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7737166.21999979</v>
      </c>
    </row>
    <row r="167" ht="20.1" customHeight="1">
      <c r="A167" s="188">
        <v>34</v>
      </c>
      <c r="B167" s="190" t="s">
        <v>994</v>
      </c>
      <c r="C167" s="203">
        <f>data!D416</f>
        <v>902155187.06</v>
      </c>
    </row>
    <row r="168" ht="20.1" customHeight="1">
      <c r="A168" s="188">
        <v>35</v>
      </c>
      <c r="B168" s="190" t="s">
        <v>995</v>
      </c>
      <c r="C168" s="203">
        <f>data!D417</f>
        <v>-89579334.7500006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-177725.79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-89757060.5400006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-89757060.5400006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St.Joseph Medical Center</v>
      </c>
      <c r="G4" s="286"/>
      <c r="H4" s="285" t="str">
        <f>"FYE: "&amp;data!C96</f>
        <v>FYE: 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17885</v>
      </c>
      <c r="D9" s="287">
        <f>data!D59</f>
        <v>0</v>
      </c>
      <c r="E9" s="287">
        <f>data!E59</f>
        <v>98995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190.43327884615383</v>
      </c>
      <c r="D10" s="294">
        <f>data!D60</f>
        <v>0</v>
      </c>
      <c r="E10" s="294">
        <f>data!E60</f>
        <v>557.65142788461549</v>
      </c>
      <c r="F10" s="294">
        <f>data!F60</f>
        <v>0</v>
      </c>
      <c r="G10" s="294">
        <f>data!G60</f>
        <v>0</v>
      </c>
      <c r="H10" s="294">
        <f>data!H60</f>
        <v>0.0038461538461538464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28796877.470000003</v>
      </c>
      <c r="D11" s="287">
        <f>data!D61</f>
        <v>0</v>
      </c>
      <c r="E11" s="287">
        <f>data!E61</f>
        <v>64820672.530000016</v>
      </c>
      <c r="F11" s="287">
        <f>data!F61</f>
        <v>0</v>
      </c>
      <c r="G11" s="287">
        <f>data!G61</f>
        <v>0</v>
      </c>
      <c r="H11" s="287">
        <f>data!H61</f>
        <v>149.74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5667763</v>
      </c>
      <c r="D12" s="287">
        <f>data!D62</f>
        <v>0</v>
      </c>
      <c r="E12" s="287">
        <f>data!E62</f>
        <v>12778695</v>
      </c>
      <c r="F12" s="287">
        <f>data!F62</f>
        <v>0</v>
      </c>
      <c r="G12" s="287">
        <f>data!G62</f>
        <v>0</v>
      </c>
      <c r="H12" s="287">
        <f>data!H62</f>
        <v>29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4668181.37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2878355.5100000012</v>
      </c>
      <c r="D14" s="287">
        <f>data!D64</f>
        <v>0</v>
      </c>
      <c r="E14" s="287">
        <f>data!E64</f>
        <v>4220240.43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ht="20.1" customHeight="1">
      <c r="A15" s="279">
        <v>10</v>
      </c>
      <c r="B15" s="287" t="s">
        <v>524</v>
      </c>
      <c r="C15" s="287">
        <f>data!C65</f>
        <v>3705.93</v>
      </c>
      <c r="D15" s="287">
        <f>data!D65</f>
        <v>0</v>
      </c>
      <c r="E15" s="287">
        <f>data!E65</f>
        <v>7335.84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525</v>
      </c>
      <c r="C16" s="287">
        <f>data!C66</f>
        <v>330196.88999999996</v>
      </c>
      <c r="D16" s="287">
        <f>data!D66</f>
        <v>0</v>
      </c>
      <c r="E16" s="287">
        <f>data!E66</f>
        <v>2746408.16</v>
      </c>
      <c r="F16" s="287">
        <f>data!F66</f>
        <v>0</v>
      </c>
      <c r="G16" s="287">
        <f>data!G66</f>
        <v>0</v>
      </c>
      <c r="H16" s="287">
        <f>data!H66</f>
        <v>196.37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1626223</v>
      </c>
      <c r="D17" s="287">
        <f>data!D67</f>
        <v>0</v>
      </c>
      <c r="E17" s="287">
        <f>data!E67</f>
        <v>3577030</v>
      </c>
      <c r="F17" s="287">
        <f>data!F67</f>
        <v>0</v>
      </c>
      <c r="G17" s="287">
        <f>data!G67</f>
        <v>0</v>
      </c>
      <c r="H17" s="287">
        <f>data!H67</f>
        <v>148606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23664</v>
      </c>
      <c r="D18" s="287">
        <f>data!D68</f>
        <v>0</v>
      </c>
      <c r="E18" s="287">
        <f>data!E68</f>
        <v>56100.280000000006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39727.04</v>
      </c>
      <c r="D19" s="287">
        <f>data!D69</f>
        <v>0</v>
      </c>
      <c r="E19" s="287">
        <f>data!E69</f>
        <v>126650.26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-38000</v>
      </c>
      <c r="D20" s="287">
        <f>-data!D84</f>
        <v>0</v>
      </c>
      <c r="E20" s="287">
        <f>-data!E84</f>
        <v>-32050.010000000002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43996694.209999993</v>
      </c>
      <c r="D21" s="287">
        <f>data!D85</f>
        <v>0</v>
      </c>
      <c r="E21" s="287">
        <f>data!E85</f>
        <v>88301082.49000001</v>
      </c>
      <c r="F21" s="287">
        <f>data!F85</f>
        <v>0</v>
      </c>
      <c r="G21" s="287">
        <f>data!G85</f>
        <v>0</v>
      </c>
      <c r="H21" s="287">
        <f>data!H85</f>
        <v>148981.11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>
        <f>+data!M668</f>
        <v>16317680</v>
      </c>
      <c r="D23" s="295">
        <f>+data!M669</f>
        <v>0</v>
      </c>
      <c r="E23" s="295">
        <f>+data!M670</f>
        <v>46083695</v>
      </c>
      <c r="F23" s="295">
        <f>+data!M671</f>
        <v>0</v>
      </c>
      <c r="G23" s="295">
        <f>+data!M672</f>
        <v>0</v>
      </c>
      <c r="H23" s="295">
        <f>+data!M673</f>
        <v>36681</v>
      </c>
      <c r="I23" s="295">
        <f>+data!M674</f>
        <v>0</v>
      </c>
    </row>
    <row r="24" ht="20.1" customHeight="1">
      <c r="A24" s="279">
        <v>19</v>
      </c>
      <c r="B24" s="295" t="s">
        <v>1013</v>
      </c>
      <c r="C24" s="287">
        <f>data!C87</f>
        <v>142282237.89</v>
      </c>
      <c r="D24" s="287">
        <f>data!D87</f>
        <v>0</v>
      </c>
      <c r="E24" s="287">
        <f>data!E87</f>
        <v>354196579.26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680958.85999999987</v>
      </c>
      <c r="D25" s="287">
        <f>data!D88</f>
        <v>0</v>
      </c>
      <c r="E25" s="287">
        <f>data!E88</f>
        <v>13862894.87</v>
      </c>
      <c r="F25" s="287">
        <f>data!F88</f>
        <v>0</v>
      </c>
      <c r="G25" s="287">
        <f>data!G88</f>
        <v>0</v>
      </c>
      <c r="H25" s="287">
        <f>data!H88</f>
        <v>379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142963196.75</v>
      </c>
      <c r="D26" s="287">
        <f>data!D89</f>
        <v>0</v>
      </c>
      <c r="E26" s="287">
        <f>data!E89</f>
        <v>368059474.13</v>
      </c>
      <c r="F26" s="287">
        <f>data!F89</f>
        <v>0</v>
      </c>
      <c r="G26" s="287">
        <f>data!G89</f>
        <v>0</v>
      </c>
      <c r="H26" s="287">
        <f>data!H89</f>
        <v>379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20827</v>
      </c>
      <c r="D28" s="287">
        <f>data!D90</f>
        <v>0</v>
      </c>
      <c r="E28" s="287">
        <f>data!E90</f>
        <v>114276.2125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74702</v>
      </c>
      <c r="D29" s="287">
        <f>data!D91</f>
        <v>0</v>
      </c>
      <c r="E29" s="287">
        <f>data!E91</f>
        <v>200715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8198.4815118890965</v>
      </c>
      <c r="D30" s="287">
        <f>data!D92</f>
        <v>0</v>
      </c>
      <c r="E30" s="287">
        <f>data!E92</f>
        <v>44984.46321745617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362436.49999999994</v>
      </c>
      <c r="D31" s="287">
        <f>data!D93</f>
        <v>0</v>
      </c>
      <c r="E31" s="287">
        <f>data!E93</f>
        <v>730434.78999999992</v>
      </c>
      <c r="F31" s="287">
        <f>data!F93</f>
        <v>0</v>
      </c>
      <c r="G31" s="287">
        <f>data!G93</f>
        <v>0</v>
      </c>
      <c r="H31" s="287">
        <f>data!H93</f>
        <v>25669.1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157.80775961538461</v>
      </c>
      <c r="D32" s="294">
        <f>data!D94</f>
        <v>0</v>
      </c>
      <c r="E32" s="294">
        <f>data!E94</f>
        <v>432.31484615384596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St.Joseph Medical Center</v>
      </c>
      <c r="G36" s="286"/>
      <c r="H36" s="285" t="str">
        <f>"FYE: "&amp;data!C96</f>
        <v>FYE: 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5237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16499</v>
      </c>
      <c r="I41" s="287">
        <f>data!P59</f>
        <v>1522721</v>
      </c>
    </row>
    <row r="42" ht="20.1" customHeight="1">
      <c r="A42" s="279">
        <v>5</v>
      </c>
      <c r="B42" s="287" t="s">
        <v>262</v>
      </c>
      <c r="C42" s="294">
        <f>data!J60</f>
        <v>62.384038461538466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146.41800000000004</v>
      </c>
      <c r="I42" s="294">
        <f>data!P60</f>
        <v>238.60261538461538</v>
      </c>
    </row>
    <row r="43" ht="20.1" customHeight="1">
      <c r="A43" s="279">
        <v>6</v>
      </c>
      <c r="B43" s="287" t="s">
        <v>263</v>
      </c>
      <c r="C43" s="287">
        <f>data!J61</f>
        <v>8391642.0799999982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18197682.93</v>
      </c>
      <c r="I43" s="287">
        <f>data!P61</f>
        <v>28818094.759999987</v>
      </c>
    </row>
    <row r="44" ht="20.1" customHeight="1">
      <c r="A44" s="279">
        <v>7</v>
      </c>
      <c r="B44" s="287" t="s">
        <v>11</v>
      </c>
      <c r="C44" s="287">
        <f>data!J62</f>
        <v>1653171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3580552</v>
      </c>
      <c r="I44" s="287">
        <f>data!P62</f>
        <v>5675695</v>
      </c>
    </row>
    <row r="45" ht="20.1" customHeight="1">
      <c r="A45" s="279">
        <v>8</v>
      </c>
      <c r="B45" s="287" t="s">
        <v>264</v>
      </c>
      <c r="C45" s="287">
        <f>data!J63</f>
        <v>1306630.73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1719552.22</v>
      </c>
      <c r="I45" s="287">
        <f>data!P63</f>
        <v>3671903.69</v>
      </c>
    </row>
    <row r="46" ht="20.1" customHeight="1">
      <c r="A46" s="279">
        <v>9</v>
      </c>
      <c r="B46" s="287" t="s">
        <v>265</v>
      </c>
      <c r="C46" s="287">
        <f>data!J64</f>
        <v>1501102.52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1800459.270000001</v>
      </c>
      <c r="I46" s="287">
        <f>data!P64</f>
        <v>46587672.250000015</v>
      </c>
    </row>
    <row r="47" ht="20.1" customHeight="1">
      <c r="A47" s="279">
        <v>10</v>
      </c>
      <c r="B47" s="287" t="s">
        <v>524</v>
      </c>
      <c r="C47" s="287">
        <f>data!J65</f>
        <v>1443.59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3683.23</v>
      </c>
      <c r="I47" s="287">
        <f>data!P65</f>
        <v>11066.34</v>
      </c>
    </row>
    <row r="48" ht="20.1" customHeight="1">
      <c r="A48" s="279">
        <v>11</v>
      </c>
      <c r="B48" s="287" t="s">
        <v>525</v>
      </c>
      <c r="C48" s="287">
        <f>data!J66</f>
        <v>587373.88000000012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902817.25000000023</v>
      </c>
      <c r="I48" s="287">
        <f>data!P66</f>
        <v>5468328.09</v>
      </c>
    </row>
    <row r="49" ht="20.1" customHeight="1">
      <c r="A49" s="279">
        <v>12</v>
      </c>
      <c r="B49" s="287" t="s">
        <v>16</v>
      </c>
      <c r="C49" s="287">
        <f>data!J67</f>
        <v>1013977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1026039</v>
      </c>
      <c r="I49" s="287">
        <f>data!P67</f>
        <v>5543850</v>
      </c>
    </row>
    <row r="50" ht="20.1" customHeight="1">
      <c r="A50" s="279">
        <v>13</v>
      </c>
      <c r="B50" s="287" t="s">
        <v>1009</v>
      </c>
      <c r="C50" s="287">
        <f>data!J68</f>
        <v>8511.14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197596.6</v>
      </c>
      <c r="I50" s="287">
        <f>data!P68</f>
        <v>1199667.19</v>
      </c>
    </row>
    <row r="51" ht="20.1" customHeight="1">
      <c r="A51" s="279">
        <v>14</v>
      </c>
      <c r="B51" s="287" t="s">
        <v>1010</v>
      </c>
      <c r="C51" s="287">
        <f>data!J69</f>
        <v>46207.55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55225.409999999989</v>
      </c>
      <c r="I51" s="287">
        <f>data!P69</f>
        <v>335959.55</v>
      </c>
    </row>
    <row r="52" ht="20.1" customHeight="1">
      <c r="A52" s="279">
        <v>15</v>
      </c>
      <c r="B52" s="287" t="s">
        <v>284</v>
      </c>
      <c r="C52" s="287">
        <f>-data!J84</f>
        <v>-7016.5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-31384.760000000002</v>
      </c>
      <c r="I52" s="287">
        <f>-data!P84</f>
        <v>-982370</v>
      </c>
    </row>
    <row r="53" ht="20.1" customHeight="1">
      <c r="A53" s="279">
        <v>16</v>
      </c>
      <c r="B53" s="295" t="s">
        <v>1011</v>
      </c>
      <c r="C53" s="287">
        <f>data!J85</f>
        <v>14503042.99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27452223.15</v>
      </c>
      <c r="I53" s="287">
        <f>data!P85</f>
        <v>96329866.87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>
        <f>+data!M675</f>
        <v>4400252</v>
      </c>
      <c r="D55" s="295">
        <f>+data!M676</f>
        <v>0</v>
      </c>
      <c r="E55" s="295">
        <f>+data!M677</f>
        <v>0</v>
      </c>
      <c r="F55" s="295">
        <f>+data!M678</f>
        <v>0</v>
      </c>
      <c r="G55" s="295">
        <f>+data!M679</f>
        <v>0</v>
      </c>
      <c r="H55" s="295">
        <f>+data!M680</f>
        <v>10719480</v>
      </c>
      <c r="I55" s="295">
        <f>+data!M681</f>
        <v>44263366</v>
      </c>
    </row>
    <row r="56" ht="20.1" customHeight="1">
      <c r="A56" s="279">
        <v>19</v>
      </c>
      <c r="B56" s="295" t="s">
        <v>1013</v>
      </c>
      <c r="C56" s="287">
        <f>data!J87</f>
        <v>75979898.4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171427979.75</v>
      </c>
      <c r="I56" s="287">
        <f>data!P87</f>
        <v>539696444.06999993</v>
      </c>
    </row>
    <row r="57" ht="20.1" customHeight="1">
      <c r="A57" s="279">
        <v>20</v>
      </c>
      <c r="B57" s="295" t="s">
        <v>1014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11277102.629999999</v>
      </c>
      <c r="I57" s="287">
        <f>data!P88</f>
        <v>496201562.2099998</v>
      </c>
    </row>
    <row r="58" ht="20.1" customHeight="1">
      <c r="A58" s="279">
        <v>21</v>
      </c>
      <c r="B58" s="295" t="s">
        <v>1015</v>
      </c>
      <c r="C58" s="287">
        <f>data!J89</f>
        <v>75979898.4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182705082.38</v>
      </c>
      <c r="I58" s="287">
        <f>data!P89</f>
        <v>1035898006.2799997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2522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17618.916666666668</v>
      </c>
      <c r="I60" s="287">
        <f>data!P90</f>
        <v>89564</v>
      </c>
      <c r="K60" s="298"/>
    </row>
    <row r="61" ht="20.1" customHeight="1">
      <c r="A61" s="279">
        <v>23</v>
      </c>
      <c r="B61" s="287" t="s">
        <v>1018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5755</v>
      </c>
    </row>
    <row r="62" ht="20.1" customHeight="1">
      <c r="A62" s="279">
        <v>24</v>
      </c>
      <c r="B62" s="287" t="s">
        <v>1019</v>
      </c>
      <c r="C62" s="287">
        <f>data!J92</f>
        <v>992.77718216662515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6935.6298339262175</v>
      </c>
      <c r="I62" s="287">
        <f>data!P92</f>
        <v>35256.580310694539</v>
      </c>
    </row>
    <row r="63" ht="20.1" customHeight="1">
      <c r="A63" s="279">
        <v>25</v>
      </c>
      <c r="B63" s="287" t="s">
        <v>1020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230589.99</v>
      </c>
      <c r="I63" s="287">
        <f>data!P93</f>
        <v>637202.15999999992</v>
      </c>
    </row>
    <row r="64" ht="20.1" customHeight="1">
      <c r="A64" s="279">
        <v>26</v>
      </c>
      <c r="B64" s="287" t="s">
        <v>294</v>
      </c>
      <c r="C64" s="294">
        <f>data!J94</f>
        <v>52.452884615384619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109.02668269230769</v>
      </c>
      <c r="I64" s="294">
        <f>data!P94</f>
        <v>128.8952451923077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St.Joseph Medical Center</v>
      </c>
      <c r="G68" s="286"/>
      <c r="H68" s="285" t="str">
        <f>"FYE: "&amp;data!C96</f>
        <v>FYE: 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798945</v>
      </c>
      <c r="D73" s="295">
        <f>data!R59</f>
        <v>0</v>
      </c>
      <c r="E73" s="299"/>
      <c r="F73" s="299"/>
      <c r="G73" s="287">
        <f>data!U59</f>
        <v>1654172</v>
      </c>
      <c r="H73" s="287">
        <f>data!V59</f>
        <v>47779.22</v>
      </c>
      <c r="I73" s="287">
        <f>data!W59</f>
        <v>26636.704</v>
      </c>
    </row>
    <row r="74" ht="20.1" customHeight="1">
      <c r="A74" s="279">
        <v>5</v>
      </c>
      <c r="B74" s="287" t="s">
        <v>262</v>
      </c>
      <c r="C74" s="294">
        <f>data!Q60</f>
        <v>16.091360576923076</v>
      </c>
      <c r="D74" s="294">
        <f>data!R60</f>
        <v>0</v>
      </c>
      <c r="E74" s="294">
        <f>data!S60</f>
        <v>39.799721153846157</v>
      </c>
      <c r="F74" s="294">
        <f>data!T60</f>
        <v>12.297831730769232</v>
      </c>
      <c r="G74" s="294">
        <f>data!U60</f>
        <v>93.820389423076918</v>
      </c>
      <c r="H74" s="294">
        <f>data!V60</f>
        <v>28.009091346153852</v>
      </c>
      <c r="I74" s="294">
        <f>data!W60</f>
        <v>8.8018365384615382</v>
      </c>
    </row>
    <row r="75" ht="20.1" customHeight="1">
      <c r="A75" s="279">
        <v>6</v>
      </c>
      <c r="B75" s="287" t="s">
        <v>263</v>
      </c>
      <c r="C75" s="287">
        <f>data!Q61</f>
        <v>2068055.91</v>
      </c>
      <c r="D75" s="287">
        <f>data!R61</f>
        <v>0</v>
      </c>
      <c r="E75" s="287">
        <f>data!S61</f>
        <v>1975688.71</v>
      </c>
      <c r="F75" s="287">
        <f>data!T61</f>
        <v>1822746.12</v>
      </c>
      <c r="G75" s="287">
        <f>data!U61</f>
        <v>8306778.1999999993</v>
      </c>
      <c r="H75" s="287">
        <f>data!V61</f>
        <v>3996933.5800000005</v>
      </c>
      <c r="I75" s="287">
        <f>data!W61</f>
        <v>1013050.5500000002</v>
      </c>
    </row>
    <row r="76" ht="20.1" customHeight="1">
      <c r="A76" s="279">
        <v>7</v>
      </c>
      <c r="B76" s="287" t="s">
        <v>11</v>
      </c>
      <c r="C76" s="287">
        <f>data!Q62</f>
        <v>406902</v>
      </c>
      <c r="D76" s="287">
        <f>data!R62</f>
        <v>0</v>
      </c>
      <c r="E76" s="287">
        <f>data!S62</f>
        <v>388728</v>
      </c>
      <c r="F76" s="287">
        <f>data!T62</f>
        <v>358636</v>
      </c>
      <c r="G76" s="287">
        <f>data!U62</f>
        <v>1636493</v>
      </c>
      <c r="H76" s="287">
        <f>data!V62</f>
        <v>786460</v>
      </c>
      <c r="I76" s="287">
        <f>data!W62</f>
        <v>199324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72893.3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147005.33000000002</v>
      </c>
      <c r="D78" s="287">
        <f>data!R64</f>
        <v>0</v>
      </c>
      <c r="E78" s="287">
        <f>data!S64</f>
        <v>1993950.6100000003</v>
      </c>
      <c r="F78" s="287">
        <f>data!T64</f>
        <v>1129967.9600000002</v>
      </c>
      <c r="G78" s="287">
        <f>data!U64</f>
        <v>16701959.459999999</v>
      </c>
      <c r="H78" s="287">
        <f>data!V64</f>
        <v>19619249.849999998</v>
      </c>
      <c r="I78" s="287">
        <f>data!W64</f>
        <v>99957.86</v>
      </c>
    </row>
    <row r="79" ht="20.1" customHeight="1">
      <c r="A79" s="279">
        <v>10</v>
      </c>
      <c r="B79" s="287" t="s">
        <v>524</v>
      </c>
      <c r="C79" s="287">
        <f>data!Q65</f>
        <v>947.67</v>
      </c>
      <c r="D79" s="287">
        <f>data!R65</f>
        <v>0</v>
      </c>
      <c r="E79" s="287">
        <f>data!S65</f>
        <v>105.88</v>
      </c>
      <c r="F79" s="287">
        <f>data!T65</f>
        <v>2145.59</v>
      </c>
      <c r="G79" s="287">
        <f>data!U65</f>
        <v>63042.37999999999</v>
      </c>
      <c r="H79" s="287">
        <f>data!V65</f>
        <v>2208.01</v>
      </c>
      <c r="I79" s="287">
        <f>data!W65</f>
        <v>158.84</v>
      </c>
    </row>
    <row r="80" ht="20.1" customHeight="1">
      <c r="A80" s="279">
        <v>11</v>
      </c>
      <c r="B80" s="287" t="s">
        <v>525</v>
      </c>
      <c r="C80" s="287">
        <f>data!Q66</f>
        <v>26518.4</v>
      </c>
      <c r="D80" s="287">
        <f>data!R66</f>
        <v>0</v>
      </c>
      <c r="E80" s="287">
        <f>data!S66</f>
        <v>497155.24999999994</v>
      </c>
      <c r="F80" s="287">
        <f>data!T66</f>
        <v>11.3</v>
      </c>
      <c r="G80" s="287">
        <f>data!U66</f>
        <v>3549751.5100000007</v>
      </c>
      <c r="H80" s="287">
        <f>data!V66</f>
        <v>725962.20000000007</v>
      </c>
      <c r="I80" s="287">
        <f>data!W66</f>
        <v>136359.15</v>
      </c>
    </row>
    <row r="81" ht="20.1" customHeight="1">
      <c r="A81" s="279">
        <v>12</v>
      </c>
      <c r="B81" s="287" t="s">
        <v>16</v>
      </c>
      <c r="C81" s="287">
        <f>data!Q67</f>
        <v>50791</v>
      </c>
      <c r="D81" s="287">
        <f>data!R67</f>
        <v>0</v>
      </c>
      <c r="E81" s="287">
        <f>data!S67</f>
        <v>370257</v>
      </c>
      <c r="F81" s="287">
        <f>data!T67</f>
        <v>36038</v>
      </c>
      <c r="G81" s="287">
        <f>data!U67</f>
        <v>757317</v>
      </c>
      <c r="H81" s="287">
        <f>data!V67</f>
        <v>1092312</v>
      </c>
      <c r="I81" s="287">
        <f>data!W67</f>
        <v>154532</v>
      </c>
    </row>
    <row r="82" ht="20.1" customHeight="1">
      <c r="A82" s="279">
        <v>13</v>
      </c>
      <c r="B82" s="287" t="s">
        <v>1009</v>
      </c>
      <c r="C82" s="287">
        <f>data!Q68</f>
        <v>2611.96</v>
      </c>
      <c r="D82" s="287">
        <f>data!R68</f>
        <v>0</v>
      </c>
      <c r="E82" s="287">
        <f>data!S68</f>
        <v>168676.83</v>
      </c>
      <c r="F82" s="287">
        <f>data!T68</f>
        <v>586.1</v>
      </c>
      <c r="G82" s="287">
        <f>data!U68</f>
        <v>343768.45</v>
      </c>
      <c r="H82" s="287">
        <f>data!V68</f>
        <v>2267.2</v>
      </c>
      <c r="I82" s="287">
        <f>data!W68</f>
        <v>3151.09</v>
      </c>
    </row>
    <row r="83" ht="20.1" customHeight="1">
      <c r="A83" s="279">
        <v>14</v>
      </c>
      <c r="B83" s="287" t="s">
        <v>1010</v>
      </c>
      <c r="C83" s="287">
        <f>data!Q69</f>
        <v>18898.68</v>
      </c>
      <c r="D83" s="287">
        <f>data!R69</f>
        <v>0</v>
      </c>
      <c r="E83" s="287">
        <f>data!S69</f>
        <v>324160.12</v>
      </c>
      <c r="F83" s="287">
        <f>data!T69</f>
        <v>7342.26</v>
      </c>
      <c r="G83" s="287">
        <f>data!U69</f>
        <v>9959.3800000000047</v>
      </c>
      <c r="H83" s="287">
        <f>data!V69</f>
        <v>10638.86</v>
      </c>
      <c r="I83" s="287">
        <f>data!W69</f>
        <v>554.12</v>
      </c>
    </row>
    <row r="84" ht="20.1" customHeight="1">
      <c r="A84" s="279">
        <v>15</v>
      </c>
      <c r="B84" s="287" t="s">
        <v>284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1415496.8800000001</v>
      </c>
      <c r="H84" s="287">
        <f>data!V84</f>
        <v>13049.69</v>
      </c>
      <c r="I84" s="287">
        <f>data!W84</f>
        <v>0</v>
      </c>
    </row>
    <row r="85" ht="20.1" customHeight="1">
      <c r="A85" s="279">
        <v>16</v>
      </c>
      <c r="B85" s="295" t="s">
        <v>1011</v>
      </c>
      <c r="C85" s="287">
        <f>data!Q85</f>
        <v>2721730.95</v>
      </c>
      <c r="D85" s="287">
        <f>data!R85</f>
        <v>0</v>
      </c>
      <c r="E85" s="287">
        <f>data!S85</f>
        <v>5718722.4</v>
      </c>
      <c r="F85" s="287">
        <f>data!T85</f>
        <v>3357473.3299999996</v>
      </c>
      <c r="G85" s="287">
        <f>data!U85</f>
        <v>30026465.8</v>
      </c>
      <c r="H85" s="287">
        <f>data!V85</f>
        <v>26222982.009999998</v>
      </c>
      <c r="I85" s="287">
        <f>data!W85</f>
        <v>1607087.6100000006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>
        <f>+data!M682</f>
        <v>1271826</v>
      </c>
      <c r="D87" s="295">
        <f>+data!M683</f>
        <v>0</v>
      </c>
      <c r="E87" s="295">
        <f>+data!M684</f>
        <v>3439243</v>
      </c>
      <c r="F87" s="295">
        <f>+data!M685</f>
        <v>1757775</v>
      </c>
      <c r="G87" s="295">
        <f>+data!M686</f>
        <v>9952708</v>
      </c>
      <c r="H87" s="295">
        <f>+data!M687</f>
        <v>8311854</v>
      </c>
      <c r="I87" s="295">
        <f>+data!M688</f>
        <v>859555</v>
      </c>
    </row>
    <row r="88" ht="20.1" customHeight="1">
      <c r="A88" s="279">
        <v>19</v>
      </c>
      <c r="B88" s="295" t="s">
        <v>1013</v>
      </c>
      <c r="C88" s="287">
        <f>data!Q87</f>
        <v>14864405.089999998</v>
      </c>
      <c r="D88" s="287">
        <f>data!R87</f>
        <v>0</v>
      </c>
      <c r="E88" s="287">
        <f>data!S87</f>
        <v>0</v>
      </c>
      <c r="F88" s="287">
        <f>data!T87</f>
        <v>17900599.509999998</v>
      </c>
      <c r="G88" s="287">
        <f>data!U87</f>
        <v>124220010.38000003</v>
      </c>
      <c r="H88" s="287">
        <f>data!V87</f>
        <v>88501134.629999965</v>
      </c>
      <c r="I88" s="287">
        <f>data!W87</f>
        <v>17520900.77</v>
      </c>
    </row>
    <row r="89" ht="20.1" customHeight="1">
      <c r="A89" s="279">
        <v>20</v>
      </c>
      <c r="B89" s="295" t="s">
        <v>1014</v>
      </c>
      <c r="C89" s="287">
        <f>data!Q88</f>
        <v>10406983.059999999</v>
      </c>
      <c r="D89" s="287">
        <f>data!R88</f>
        <v>0</v>
      </c>
      <c r="E89" s="287">
        <f>data!S88</f>
        <v>0</v>
      </c>
      <c r="F89" s="287">
        <f>data!T88</f>
        <v>1396852.6300000001</v>
      </c>
      <c r="G89" s="287">
        <f>data!U88</f>
        <v>38689222.300000004</v>
      </c>
      <c r="H89" s="287">
        <f>data!V88</f>
        <v>143519928.35999996</v>
      </c>
      <c r="I89" s="287">
        <f>data!W88</f>
        <v>27870485.45</v>
      </c>
    </row>
    <row r="90" ht="20.1" customHeight="1">
      <c r="A90" s="279">
        <v>21</v>
      </c>
      <c r="B90" s="295" t="s">
        <v>1015</v>
      </c>
      <c r="C90" s="287">
        <f>data!Q89</f>
        <v>25271388.15</v>
      </c>
      <c r="D90" s="287">
        <f>data!R89</f>
        <v>0</v>
      </c>
      <c r="E90" s="287">
        <f>data!S89</f>
        <v>0</v>
      </c>
      <c r="F90" s="287">
        <f>data!T89</f>
        <v>19297452.139999997</v>
      </c>
      <c r="G90" s="287">
        <f>data!U89</f>
        <v>162909232.68000004</v>
      </c>
      <c r="H90" s="287">
        <f>data!V89</f>
        <v>232021062.98999992</v>
      </c>
      <c r="I90" s="287">
        <f>data!W89</f>
        <v>45391386.22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2369</v>
      </c>
      <c r="D92" s="287">
        <f>data!R90</f>
        <v>0</v>
      </c>
      <c r="E92" s="287">
        <f>data!S90</f>
        <v>17441</v>
      </c>
      <c r="F92" s="287">
        <f>data!T90</f>
        <v>0</v>
      </c>
      <c r="G92" s="287">
        <f>data!U90</f>
        <v>16657</v>
      </c>
      <c r="H92" s="287">
        <f>data!V90</f>
        <v>3310</v>
      </c>
      <c r="I92" s="287">
        <f>data!W90</f>
        <v>0</v>
      </c>
    </row>
    <row r="93" ht="20.1" customHeight="1">
      <c r="A93" s="279">
        <v>23</v>
      </c>
      <c r="B93" s="287" t="s">
        <v>1018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27000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932.54922464422486</v>
      </c>
      <c r="D94" s="287">
        <f>data!R92</f>
        <v>0</v>
      </c>
      <c r="E94" s="287">
        <f>data!S92</f>
        <v>6865.5935107724463</v>
      </c>
      <c r="F94" s="287">
        <f>data!T92</f>
        <v>0</v>
      </c>
      <c r="G94" s="287">
        <f>data!U92</f>
        <v>6556.9744343177945</v>
      </c>
      <c r="H94" s="287">
        <f>data!V92</f>
        <v>1302.9708457460465</v>
      </c>
      <c r="I94" s="287">
        <f>data!W92</f>
        <v>0</v>
      </c>
    </row>
    <row r="95" ht="20.1" customHeight="1">
      <c r="A95" s="279">
        <v>25</v>
      </c>
      <c r="B95" s="287" t="s">
        <v>1020</v>
      </c>
      <c r="C95" s="287">
        <f>data!Q93</f>
        <v>50997.78</v>
      </c>
      <c r="D95" s="287">
        <f>data!R93</f>
        <v>0</v>
      </c>
      <c r="E95" s="287">
        <f>data!S93</f>
        <v>12868.06</v>
      </c>
      <c r="F95" s="287">
        <f>data!T93</f>
        <v>0</v>
      </c>
      <c r="G95" s="287">
        <f>data!U93</f>
        <v>5855.31</v>
      </c>
      <c r="H95" s="287">
        <f>data!V93</f>
        <v>0</v>
      </c>
      <c r="I95" s="287">
        <f>data!W93</f>
        <v>0</v>
      </c>
    </row>
    <row r="96" ht="20.1" customHeight="1">
      <c r="A96" s="279">
        <v>26</v>
      </c>
      <c r="B96" s="287" t="s">
        <v>294</v>
      </c>
      <c r="C96" s="294">
        <f>data!Q94</f>
        <v>13.924067307692308</v>
      </c>
      <c r="D96" s="294">
        <f>data!R94</f>
        <v>0</v>
      </c>
      <c r="E96" s="294">
        <f>data!S94</f>
        <v>0</v>
      </c>
      <c r="F96" s="294">
        <f>data!T94</f>
        <v>12.294826923076924</v>
      </c>
      <c r="G96" s="294">
        <f>data!U94</f>
        <v>0</v>
      </c>
      <c r="H96" s="294">
        <f>data!V94</f>
        <v>5.2912884615384614</v>
      </c>
      <c r="I96" s="294">
        <f>data!W94</f>
        <v>0.004206730769230769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St.Joseph Medical Center</v>
      </c>
      <c r="G100" s="286"/>
      <c r="H100" s="285" t="str">
        <f>"FYE: "&amp;data!C96</f>
        <v>FYE: 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85505.852899999983</v>
      </c>
      <c r="D105" s="287">
        <f>data!Y59</f>
        <v>523756.02109999995</v>
      </c>
      <c r="E105" s="287">
        <f>data!Z59</f>
        <v>0</v>
      </c>
      <c r="F105" s="287">
        <f>data!AA59</f>
        <v>30951.8691</v>
      </c>
      <c r="G105" s="299"/>
      <c r="H105" s="287">
        <f>data!AC59</f>
        <v>190546.28439999998</v>
      </c>
      <c r="I105" s="287">
        <f>data!AD59</f>
        <v>0</v>
      </c>
    </row>
    <row r="106" ht="20.1" customHeight="1">
      <c r="A106" s="279">
        <v>5</v>
      </c>
      <c r="B106" s="287" t="s">
        <v>262</v>
      </c>
      <c r="C106" s="294">
        <f>data!X60</f>
        <v>11.6580625</v>
      </c>
      <c r="D106" s="294">
        <f>data!Y60</f>
        <v>54.375307692307693</v>
      </c>
      <c r="E106" s="294">
        <f>data!Z60</f>
        <v>0</v>
      </c>
      <c r="F106" s="294">
        <f>data!AA60</f>
        <v>4.0948990384615378</v>
      </c>
      <c r="G106" s="294">
        <f>data!AB60</f>
        <v>84.337860576923092</v>
      </c>
      <c r="H106" s="294">
        <f>data!AC60</f>
        <v>39.045115384615386</v>
      </c>
      <c r="I106" s="294">
        <f>data!AD60</f>
        <v>0.31770673076923078</v>
      </c>
    </row>
    <row r="107" ht="20.1" customHeight="1">
      <c r="A107" s="279">
        <v>6</v>
      </c>
      <c r="B107" s="287" t="s">
        <v>263</v>
      </c>
      <c r="C107" s="287">
        <f>data!X61</f>
        <v>1447462.12</v>
      </c>
      <c r="D107" s="287">
        <f>data!Y61</f>
        <v>5659890.5000000009</v>
      </c>
      <c r="E107" s="287">
        <f>data!Z61</f>
        <v>0</v>
      </c>
      <c r="F107" s="287">
        <f>data!AA61</f>
        <v>662011.36</v>
      </c>
      <c r="G107" s="287">
        <f>data!AB61</f>
        <v>9216069.4000000022</v>
      </c>
      <c r="H107" s="287">
        <f>data!AC61</f>
        <v>4848993.6800000006</v>
      </c>
      <c r="I107" s="287">
        <f>data!AD61</f>
        <v>107669.61</v>
      </c>
    </row>
    <row r="108" ht="20.1" customHeight="1">
      <c r="A108" s="279">
        <v>7</v>
      </c>
      <c r="B108" s="287" t="s">
        <v>11</v>
      </c>
      <c r="C108" s="287">
        <f>data!X62</f>
        <v>284797</v>
      </c>
      <c r="D108" s="287">
        <f>data!Y62</f>
        <v>1115040</v>
      </c>
      <c r="E108" s="287">
        <f>data!Z62</f>
        <v>0</v>
      </c>
      <c r="F108" s="287">
        <f>data!AA62</f>
        <v>130255</v>
      </c>
      <c r="G108" s="287">
        <f>data!AB62</f>
        <v>1815522</v>
      </c>
      <c r="H108" s="287">
        <f>data!AC62</f>
        <v>954068</v>
      </c>
      <c r="I108" s="287">
        <f>data!AD62</f>
        <v>21185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58687.5</v>
      </c>
      <c r="E109" s="287">
        <f>data!Z63</f>
        <v>0</v>
      </c>
      <c r="F109" s="287">
        <f>data!AA63</f>
        <v>0</v>
      </c>
      <c r="G109" s="287">
        <f>data!AB63</f>
        <v>13891.06</v>
      </c>
      <c r="H109" s="287">
        <f>data!AC63</f>
        <v>6810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336386.33</v>
      </c>
      <c r="D110" s="287">
        <f>data!Y64</f>
        <v>3861321.5600000015</v>
      </c>
      <c r="E110" s="287">
        <f>data!Z64</f>
        <v>0</v>
      </c>
      <c r="F110" s="287">
        <f>data!AA64</f>
        <v>464453.69999999995</v>
      </c>
      <c r="G110" s="287">
        <f>data!AB64</f>
        <v>17765044.859999992</v>
      </c>
      <c r="H110" s="287">
        <f>data!AC64</f>
        <v>1278825.57</v>
      </c>
      <c r="I110" s="287">
        <f>data!AD64</f>
        <v>66062.469999999987</v>
      </c>
    </row>
    <row r="111" ht="20.1" customHeight="1">
      <c r="A111" s="279">
        <v>10</v>
      </c>
      <c r="B111" s="287" t="s">
        <v>524</v>
      </c>
      <c r="C111" s="287">
        <f>data!X65</f>
        <v>393.28</v>
      </c>
      <c r="D111" s="287">
        <f>data!Y65</f>
        <v>4080.5499999999997</v>
      </c>
      <c r="E111" s="287">
        <f>data!Z65</f>
        <v>0</v>
      </c>
      <c r="F111" s="287">
        <f>data!AA65</f>
        <v>307.28</v>
      </c>
      <c r="G111" s="287">
        <f>data!AB65</f>
        <v>4075.1000000000004</v>
      </c>
      <c r="H111" s="287">
        <f>data!AC65</f>
        <v>1321.14</v>
      </c>
      <c r="I111" s="287">
        <f>data!AD65</f>
        <v>0</v>
      </c>
    </row>
    <row r="112" ht="20.1" customHeight="1">
      <c r="A112" s="279">
        <v>11</v>
      </c>
      <c r="B112" s="287" t="s">
        <v>525</v>
      </c>
      <c r="C112" s="287">
        <f>data!X66</f>
        <v>174554.16</v>
      </c>
      <c r="D112" s="287">
        <f>data!Y66</f>
        <v>2596417.34</v>
      </c>
      <c r="E112" s="287">
        <f>data!Z66</f>
        <v>0</v>
      </c>
      <c r="F112" s="287">
        <f>data!AA66</f>
        <v>78066.99</v>
      </c>
      <c r="G112" s="287">
        <f>data!AB66</f>
        <v>903391.45999999973</v>
      </c>
      <c r="H112" s="287">
        <f>data!AC66</f>
        <v>90191.91</v>
      </c>
      <c r="I112" s="287">
        <f>data!AD66</f>
        <v>2919965.3399999994</v>
      </c>
    </row>
    <row r="113" ht="20.1" customHeight="1">
      <c r="A113" s="279">
        <v>12</v>
      </c>
      <c r="B113" s="287" t="s">
        <v>16</v>
      </c>
      <c r="C113" s="287">
        <f>data!X67</f>
        <v>412030</v>
      </c>
      <c r="D113" s="287">
        <f>data!Y67</f>
        <v>1314242</v>
      </c>
      <c r="E113" s="287">
        <f>data!Z67</f>
        <v>0</v>
      </c>
      <c r="F113" s="287">
        <f>data!AA67</f>
        <v>112435</v>
      </c>
      <c r="G113" s="287">
        <f>data!AB67</f>
        <v>805835</v>
      </c>
      <c r="H113" s="287">
        <f>data!AC67</f>
        <v>242753</v>
      </c>
      <c r="I113" s="287">
        <f>data!AD67</f>
        <v>262283</v>
      </c>
    </row>
    <row r="114" ht="20.1" customHeight="1">
      <c r="A114" s="279">
        <v>13</v>
      </c>
      <c r="B114" s="287" t="s">
        <v>1009</v>
      </c>
      <c r="C114" s="287">
        <f>data!X68</f>
        <v>285</v>
      </c>
      <c r="D114" s="287">
        <f>data!Y68</f>
        <v>20208.05</v>
      </c>
      <c r="E114" s="287">
        <f>data!Z68</f>
        <v>0</v>
      </c>
      <c r="F114" s="287">
        <f>data!AA68</f>
        <v>275.43</v>
      </c>
      <c r="G114" s="287">
        <f>data!AB68</f>
        <v>179252.91</v>
      </c>
      <c r="H114" s="287">
        <f>data!AC68</f>
        <v>30626.56</v>
      </c>
      <c r="I114" s="287">
        <f>data!AD68</f>
        <v>2504.98</v>
      </c>
    </row>
    <row r="115" ht="20.1" customHeight="1">
      <c r="A115" s="279">
        <v>14</v>
      </c>
      <c r="B115" s="287" t="s">
        <v>1010</v>
      </c>
      <c r="C115" s="287">
        <f>data!X69</f>
        <v>2814.2</v>
      </c>
      <c r="D115" s="287">
        <f>data!Y69</f>
        <v>59390.89</v>
      </c>
      <c r="E115" s="287">
        <f>data!Z69</f>
        <v>0</v>
      </c>
      <c r="F115" s="287">
        <f>data!AA69</f>
        <v>17352.44</v>
      </c>
      <c r="G115" s="287">
        <f>data!AB69</f>
        <v>3063459.9999999995</v>
      </c>
      <c r="H115" s="287">
        <f>data!AC69</f>
        <v>22833.32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-19322.42</v>
      </c>
      <c r="E116" s="287">
        <f>-data!Z84</f>
        <v>0</v>
      </c>
      <c r="F116" s="287">
        <f>-data!AA84</f>
        <v>0</v>
      </c>
      <c r="G116" s="287">
        <f>-data!AB84</f>
        <v>-5512026.86</v>
      </c>
      <c r="H116" s="287">
        <f>-data!AC84</f>
        <v>0</v>
      </c>
      <c r="I116" s="287">
        <f>-data!AD84</f>
        <v>-397328.8</v>
      </c>
    </row>
    <row r="117" ht="20.1" customHeight="1">
      <c r="A117" s="279">
        <v>16</v>
      </c>
      <c r="B117" s="295" t="s">
        <v>1011</v>
      </c>
      <c r="C117" s="287">
        <f>data!X85</f>
        <v>2658722.0900000003</v>
      </c>
      <c r="D117" s="287">
        <f>data!Y85</f>
        <v>14669955.970000004</v>
      </c>
      <c r="E117" s="287">
        <f>data!Z85</f>
        <v>0</v>
      </c>
      <c r="F117" s="287">
        <f>data!AA85</f>
        <v>1465157.2</v>
      </c>
      <c r="G117" s="287">
        <f>data!AB85</f>
        <v>28254514.929999992</v>
      </c>
      <c r="H117" s="287">
        <f>data!AC85</f>
        <v>7476423.1800000006</v>
      </c>
      <c r="I117" s="287">
        <f>data!AD85</f>
        <v>2982341.5999999996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>
        <f>+data!M689</f>
        <v>3000690</v>
      </c>
      <c r="D119" s="295">
        <f>+data!M690</f>
        <v>10281892</v>
      </c>
      <c r="E119" s="295">
        <f>+data!M691</f>
        <v>0</v>
      </c>
      <c r="F119" s="295">
        <f>+data!M692</f>
        <v>501897</v>
      </c>
      <c r="G119" s="295">
        <f>+data!M693</f>
        <v>12586933</v>
      </c>
      <c r="H119" s="295">
        <f>+data!M694</f>
        <v>2607801</v>
      </c>
      <c r="I119" s="295">
        <f>+data!M695</f>
        <v>2178358</v>
      </c>
    </row>
    <row r="120" ht="20.1" customHeight="1">
      <c r="A120" s="279">
        <v>19</v>
      </c>
      <c r="B120" s="295" t="s">
        <v>1013</v>
      </c>
      <c r="C120" s="287">
        <f>data!X87</f>
        <v>98338732.910000011</v>
      </c>
      <c r="D120" s="287">
        <f>data!Y87</f>
        <v>64872642.329999991</v>
      </c>
      <c r="E120" s="287">
        <f>data!Z87</f>
        <v>0</v>
      </c>
      <c r="F120" s="287">
        <f>data!AA87</f>
        <v>3342610.5</v>
      </c>
      <c r="G120" s="287">
        <f>data!AB87</f>
        <v>311135486.39</v>
      </c>
      <c r="H120" s="287">
        <f>data!AC87</f>
        <v>79137548.23</v>
      </c>
      <c r="I120" s="287">
        <f>data!AD87</f>
        <v>11115169.989999998</v>
      </c>
    </row>
    <row r="121" ht="20.1" customHeight="1">
      <c r="A121" s="279">
        <v>20</v>
      </c>
      <c r="B121" s="295" t="s">
        <v>1014</v>
      </c>
      <c r="C121" s="287">
        <f>data!X88</f>
        <v>105753658.54</v>
      </c>
      <c r="D121" s="287">
        <f>data!Y88</f>
        <v>42552986.29999999</v>
      </c>
      <c r="E121" s="287">
        <f>data!Z88</f>
        <v>0</v>
      </c>
      <c r="F121" s="287">
        <f>data!AA88</f>
        <v>14966758.57</v>
      </c>
      <c r="G121" s="287">
        <f>data!AB88</f>
        <v>125462754.98</v>
      </c>
      <c r="H121" s="287">
        <f>data!AC88</f>
        <v>7210254.3400000008</v>
      </c>
      <c r="I121" s="287">
        <f>data!AD88</f>
        <v>229200.63000000003</v>
      </c>
    </row>
    <row r="122" ht="20.1" customHeight="1">
      <c r="A122" s="279">
        <v>21</v>
      </c>
      <c r="B122" s="295" t="s">
        <v>1015</v>
      </c>
      <c r="C122" s="287">
        <f>data!X89</f>
        <v>204092391.45000002</v>
      </c>
      <c r="D122" s="287">
        <f>data!Y89</f>
        <v>107425628.62999998</v>
      </c>
      <c r="E122" s="287">
        <f>data!Z89</f>
        <v>0</v>
      </c>
      <c r="F122" s="287">
        <f>data!AA89</f>
        <v>18309369.07</v>
      </c>
      <c r="G122" s="287">
        <f>data!AB89</f>
        <v>436598241.37</v>
      </c>
      <c r="H122" s="287">
        <f>data!AC89</f>
        <v>86347802.570000008</v>
      </c>
      <c r="I122" s="287">
        <f>data!AD89</f>
        <v>11344370.62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0</v>
      </c>
      <c r="D124" s="287">
        <f>data!Y90</f>
        <v>46104</v>
      </c>
      <c r="E124" s="287">
        <f>data!Z90</f>
        <v>0</v>
      </c>
      <c r="F124" s="287">
        <f>data!AA90</f>
        <v>0</v>
      </c>
      <c r="G124" s="287">
        <f>data!AB90</f>
        <v>13531.44</v>
      </c>
      <c r="H124" s="287">
        <f>data!AC90</f>
        <v>981</v>
      </c>
      <c r="I124" s="287">
        <f>data!AD90</f>
        <v>11307</v>
      </c>
    </row>
    <row r="125" ht="20.1" customHeight="1">
      <c r="A125" s="279">
        <v>23</v>
      </c>
      <c r="B125" s="287" t="s">
        <v>1018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0</v>
      </c>
      <c r="D126" s="287">
        <f>data!Y92</f>
        <v>18148.6912000833</v>
      </c>
      <c r="E126" s="287">
        <f>data!Z92</f>
        <v>0</v>
      </c>
      <c r="F126" s="287">
        <f>data!AA92</f>
        <v>0</v>
      </c>
      <c r="G126" s="287">
        <f>data!AB92</f>
        <v>5326.6078008948289</v>
      </c>
      <c r="H126" s="287">
        <f>data!AC92</f>
        <v>386.16749234950805</v>
      </c>
      <c r="I126" s="287">
        <f>data!AD92</f>
        <v>4450.964154939742</v>
      </c>
    </row>
    <row r="127" ht="20.1" customHeight="1">
      <c r="A127" s="279">
        <v>25</v>
      </c>
      <c r="B127" s="287" t="s">
        <v>1020</v>
      </c>
      <c r="C127" s="287">
        <f>data!X93</f>
        <v>0</v>
      </c>
      <c r="D127" s="287">
        <f>data!Y93</f>
        <v>99129.41</v>
      </c>
      <c r="E127" s="287">
        <f>data!Z93</f>
        <v>0</v>
      </c>
      <c r="F127" s="287">
        <f>data!AA93</f>
        <v>7808.32</v>
      </c>
      <c r="G127" s="287">
        <f>data!AB93</f>
        <v>0</v>
      </c>
      <c r="H127" s="287">
        <f>data!AC93</f>
        <v>0</v>
      </c>
      <c r="I127" s="287">
        <f>data!AD93</f>
        <v>5947.08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4.7884086538461537</v>
      </c>
      <c r="E128" s="294">
        <f>data!Z94</f>
        <v>0</v>
      </c>
      <c r="F128" s="294">
        <f>data!AA94</f>
        <v>0</v>
      </c>
      <c r="G128" s="294">
        <f>data!AB94</f>
        <v>1.7074519230769232</v>
      </c>
      <c r="H128" s="294">
        <f>data!AC94</f>
        <v>0.1633798076923077</v>
      </c>
      <c r="I128" s="294">
        <f>data!AD94</f>
        <v>0.31770673076923078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St.Joseph Medical Center</v>
      </c>
      <c r="G132" s="286"/>
      <c r="H132" s="285" t="str">
        <f>"FYE: "&amp;data!C96</f>
        <v>FYE: 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141471</v>
      </c>
      <c r="D137" s="287">
        <f>data!AF59</f>
        <v>0</v>
      </c>
      <c r="E137" s="287">
        <f>data!AG59</f>
        <v>41858</v>
      </c>
      <c r="F137" s="287">
        <f>data!AH59</f>
        <v>0</v>
      </c>
      <c r="G137" s="287">
        <f>data!AI59</f>
        <v>0</v>
      </c>
      <c r="H137" s="287">
        <f>data!AJ59</f>
        <v>582525.49</v>
      </c>
      <c r="I137" s="287">
        <f>data!AK59</f>
        <v>59997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42.525086538461544</v>
      </c>
      <c r="D138" s="294">
        <f>data!AF60</f>
        <v>0</v>
      </c>
      <c r="E138" s="294">
        <f>data!AG60</f>
        <v>69.116735576923077</v>
      </c>
      <c r="F138" s="294">
        <f>data!AH60</f>
        <v>0</v>
      </c>
      <c r="G138" s="294">
        <f>data!AI60</f>
        <v>0</v>
      </c>
      <c r="H138" s="294">
        <f>data!AJ60</f>
        <v>826.55530288461546</v>
      </c>
      <c r="I138" s="294">
        <f>data!AK60</f>
        <v>16.922413461538461</v>
      </c>
    </row>
    <row r="139" ht="20.1" customHeight="1">
      <c r="A139" s="279">
        <v>6</v>
      </c>
      <c r="B139" s="287" t="s">
        <v>263</v>
      </c>
      <c r="C139" s="287">
        <f>data!AE61</f>
        <v>4369338.4300000006</v>
      </c>
      <c r="D139" s="287">
        <f>data!AF61</f>
        <v>0</v>
      </c>
      <c r="E139" s="287">
        <f>data!AG61</f>
        <v>8171462.379999999</v>
      </c>
      <c r="F139" s="287">
        <f>data!AH61</f>
        <v>0</v>
      </c>
      <c r="G139" s="287">
        <f>data!AI61</f>
        <v>0</v>
      </c>
      <c r="H139" s="287">
        <f>data!AJ61</f>
        <v>105011110.12999997</v>
      </c>
      <c r="I139" s="287">
        <f>data!AK61</f>
        <v>1812862.3399999999</v>
      </c>
    </row>
    <row r="140" ht="20.1" customHeight="1">
      <c r="A140" s="279">
        <v>7</v>
      </c>
      <c r="B140" s="287" t="s">
        <v>11</v>
      </c>
      <c r="C140" s="287">
        <f>data!AE62</f>
        <v>859693</v>
      </c>
      <c r="D140" s="287">
        <f>data!AF62</f>
        <v>0</v>
      </c>
      <c r="E140" s="287">
        <f>data!AG62</f>
        <v>1608129</v>
      </c>
      <c r="F140" s="287">
        <f>data!AH62</f>
        <v>0</v>
      </c>
      <c r="G140" s="287">
        <f>data!AI62</f>
        <v>0</v>
      </c>
      <c r="H140" s="287">
        <f>data!AJ62</f>
        <v>20661702</v>
      </c>
      <c r="I140" s="287">
        <f>data!AK62</f>
        <v>356691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7096243.33</v>
      </c>
      <c r="F141" s="287">
        <f>data!AH63</f>
        <v>0</v>
      </c>
      <c r="G141" s="287">
        <f>data!AI63</f>
        <v>0</v>
      </c>
      <c r="H141" s="287">
        <f>data!AJ63</f>
        <v>2258764.36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52320.529999999977</v>
      </c>
      <c r="D142" s="287">
        <f>data!AF64</f>
        <v>0</v>
      </c>
      <c r="E142" s="287">
        <f>data!AG64</f>
        <v>1891880.5499999991</v>
      </c>
      <c r="F142" s="287">
        <f>data!AH64</f>
        <v>0</v>
      </c>
      <c r="G142" s="287">
        <f>data!AI64</f>
        <v>0</v>
      </c>
      <c r="H142" s="287">
        <f>data!AJ64</f>
        <v>6557348.3699999992</v>
      </c>
      <c r="I142" s="287">
        <f>data!AK64</f>
        <v>4252.24</v>
      </c>
    </row>
    <row r="143" ht="20.1" customHeight="1">
      <c r="A143" s="279">
        <v>10</v>
      </c>
      <c r="B143" s="287" t="s">
        <v>524</v>
      </c>
      <c r="C143" s="287">
        <f>data!AE65</f>
        <v>1272.1699999999999</v>
      </c>
      <c r="D143" s="287">
        <f>data!AF65</f>
        <v>0</v>
      </c>
      <c r="E143" s="287">
        <f>data!AG65</f>
        <v>1099.81</v>
      </c>
      <c r="F143" s="287">
        <f>data!AH65</f>
        <v>0</v>
      </c>
      <c r="G143" s="287">
        <f>data!AI65</f>
        <v>0</v>
      </c>
      <c r="H143" s="287">
        <f>data!AJ65</f>
        <v>446090.61999999994</v>
      </c>
      <c r="I143" s="287">
        <f>data!AK65</f>
        <v>490.62</v>
      </c>
    </row>
    <row r="144" ht="20.1" customHeight="1">
      <c r="A144" s="279">
        <v>11</v>
      </c>
      <c r="B144" s="287" t="s">
        <v>525</v>
      </c>
      <c r="C144" s="287">
        <f>data!AE66</f>
        <v>1295075</v>
      </c>
      <c r="D144" s="287">
        <f>data!AF66</f>
        <v>0</v>
      </c>
      <c r="E144" s="287">
        <f>data!AG66</f>
        <v>647049.06</v>
      </c>
      <c r="F144" s="287">
        <f>data!AH66</f>
        <v>0</v>
      </c>
      <c r="G144" s="287">
        <f>data!AI66</f>
        <v>0</v>
      </c>
      <c r="H144" s="287">
        <f>data!AJ66</f>
        <v>15227643.680000003</v>
      </c>
      <c r="I144" s="287">
        <f>data!AK66</f>
        <v>5652.16</v>
      </c>
    </row>
    <row r="145" ht="20.1" customHeight="1">
      <c r="A145" s="279">
        <v>12</v>
      </c>
      <c r="B145" s="287" t="s">
        <v>16</v>
      </c>
      <c r="C145" s="287">
        <f>data!AE67</f>
        <v>257724</v>
      </c>
      <c r="D145" s="287">
        <f>data!AF67</f>
        <v>0</v>
      </c>
      <c r="E145" s="287">
        <f>data!AG67</f>
        <v>898079</v>
      </c>
      <c r="F145" s="287">
        <f>data!AH67</f>
        <v>0</v>
      </c>
      <c r="G145" s="287">
        <f>data!AI67</f>
        <v>0</v>
      </c>
      <c r="H145" s="287">
        <f>data!AJ67</f>
        <v>5612892</v>
      </c>
      <c r="I145" s="287">
        <f>data!AK67</f>
        <v>127858</v>
      </c>
    </row>
    <row r="146" ht="20.1" customHeight="1">
      <c r="A146" s="279">
        <v>13</v>
      </c>
      <c r="B146" s="287" t="s">
        <v>1009</v>
      </c>
      <c r="C146" s="287">
        <f>data!AE68</f>
        <v>191453.21</v>
      </c>
      <c r="D146" s="287">
        <f>data!AF68</f>
        <v>0</v>
      </c>
      <c r="E146" s="287">
        <f>data!AG68</f>
        <v>25908.19</v>
      </c>
      <c r="F146" s="287">
        <f>data!AH68</f>
        <v>0</v>
      </c>
      <c r="G146" s="287">
        <f>data!AI68</f>
        <v>0</v>
      </c>
      <c r="H146" s="287">
        <f>data!AJ68</f>
        <v>9126914.23</v>
      </c>
      <c r="I146" s="287">
        <f>data!AK68</f>
        <v>0</v>
      </c>
    </row>
    <row r="147" ht="20.1" customHeight="1">
      <c r="A147" s="279">
        <v>14</v>
      </c>
      <c r="B147" s="287" t="s">
        <v>1010</v>
      </c>
      <c r="C147" s="287">
        <f>data!AE69</f>
        <v>18483.94</v>
      </c>
      <c r="D147" s="287">
        <f>data!AF69</f>
        <v>0</v>
      </c>
      <c r="E147" s="287">
        <f>data!AG69</f>
        <v>45121.549999999996</v>
      </c>
      <c r="F147" s="287">
        <f>data!AH69</f>
        <v>0</v>
      </c>
      <c r="G147" s="287">
        <f>data!AI69</f>
        <v>0</v>
      </c>
      <c r="H147" s="287">
        <f>data!AJ69</f>
        <v>111463.17999999924</v>
      </c>
      <c r="I147" s="287">
        <f>data!AK69</f>
        <v>5597.29</v>
      </c>
    </row>
    <row r="148" ht="20.1" customHeight="1">
      <c r="A148" s="279">
        <v>15</v>
      </c>
      <c r="B148" s="287" t="s">
        <v>284</v>
      </c>
      <c r="C148" s="287">
        <f>-data!AE84</f>
        <v>-3910</v>
      </c>
      <c r="D148" s="287">
        <f>-data!AF84</f>
        <v>0</v>
      </c>
      <c r="E148" s="287">
        <f>-data!AG84</f>
        <v>-9000</v>
      </c>
      <c r="F148" s="287">
        <f>-data!AH84</f>
        <v>0</v>
      </c>
      <c r="G148" s="287">
        <f>-data!AI84</f>
        <v>0</v>
      </c>
      <c r="H148" s="287">
        <f>-data!AJ84</f>
        <v>-6676565.06</v>
      </c>
      <c r="I148" s="287">
        <f>-data!AK84</f>
        <v>0</v>
      </c>
    </row>
    <row r="149" ht="20.1" customHeight="1">
      <c r="A149" s="279">
        <v>16</v>
      </c>
      <c r="B149" s="295" t="s">
        <v>1011</v>
      </c>
      <c r="C149" s="287">
        <f>data!AE85</f>
        <v>7041450.2800000012</v>
      </c>
      <c r="D149" s="287">
        <f>data!AF85</f>
        <v>0</v>
      </c>
      <c r="E149" s="287">
        <f>data!AG85</f>
        <v>20375972.87</v>
      </c>
      <c r="F149" s="287">
        <f>data!AH85</f>
        <v>0</v>
      </c>
      <c r="G149" s="287">
        <f>data!AI85</f>
        <v>0</v>
      </c>
      <c r="H149" s="287">
        <f>data!AJ85</f>
        <v>158337363.50999996</v>
      </c>
      <c r="I149" s="287">
        <f>data!AK85</f>
        <v>2313403.6500000004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>
        <f>+data!M696</f>
        <v>3211657</v>
      </c>
      <c r="D151" s="295">
        <f>+data!M697</f>
        <v>0</v>
      </c>
      <c r="E151" s="295">
        <f>+data!M698</f>
        <v>9881887</v>
      </c>
      <c r="F151" s="295">
        <f>+data!M699</f>
        <v>0</v>
      </c>
      <c r="G151" s="295">
        <f>+data!M700</f>
        <v>0</v>
      </c>
      <c r="H151" s="295">
        <f>+data!M701</f>
        <v>36979395</v>
      </c>
      <c r="I151" s="295">
        <f>+data!M702</f>
        <v>1398462</v>
      </c>
    </row>
    <row r="152" ht="20.1" customHeight="1">
      <c r="A152" s="279">
        <v>19</v>
      </c>
      <c r="B152" s="295" t="s">
        <v>1013</v>
      </c>
      <c r="C152" s="287">
        <f>data!AE87</f>
        <v>11343433.829999998</v>
      </c>
      <c r="D152" s="287">
        <f>data!AF87</f>
        <v>0</v>
      </c>
      <c r="E152" s="287">
        <f>data!AG87</f>
        <v>77714774.45</v>
      </c>
      <c r="F152" s="287">
        <f>data!AH87</f>
        <v>0</v>
      </c>
      <c r="G152" s="287">
        <f>data!AI87</f>
        <v>0</v>
      </c>
      <c r="H152" s="287">
        <f>data!AJ87</f>
        <v>121851.31000000003</v>
      </c>
      <c r="I152" s="287">
        <f>data!AK87</f>
        <v>9632326.9699999988</v>
      </c>
    </row>
    <row r="153" ht="20.1" customHeight="1">
      <c r="A153" s="279">
        <v>20</v>
      </c>
      <c r="B153" s="295" t="s">
        <v>1014</v>
      </c>
      <c r="C153" s="287">
        <f>data!AE88</f>
        <v>18865590.220000003</v>
      </c>
      <c r="D153" s="287">
        <f>data!AF88</f>
        <v>0</v>
      </c>
      <c r="E153" s="287">
        <f>data!AG88</f>
        <v>121389967.69</v>
      </c>
      <c r="F153" s="287">
        <f>data!AH88</f>
        <v>0</v>
      </c>
      <c r="G153" s="287">
        <f>data!AI88</f>
        <v>0</v>
      </c>
      <c r="H153" s="287">
        <f>data!AJ88</f>
        <v>266790696.16</v>
      </c>
      <c r="I153" s="287">
        <f>data!AK88</f>
        <v>4822832.2</v>
      </c>
    </row>
    <row r="154" ht="20.1" customHeight="1">
      <c r="A154" s="279">
        <v>21</v>
      </c>
      <c r="B154" s="295" t="s">
        <v>1015</v>
      </c>
      <c r="C154" s="287">
        <f>data!AE89</f>
        <v>30209024.05</v>
      </c>
      <c r="D154" s="287">
        <f>data!AF89</f>
        <v>0</v>
      </c>
      <c r="E154" s="287">
        <f>data!AG89</f>
        <v>199104742.14</v>
      </c>
      <c r="F154" s="287">
        <f>data!AH89</f>
        <v>0</v>
      </c>
      <c r="G154" s="287">
        <f>data!AI89</f>
        <v>0</v>
      </c>
      <c r="H154" s="287">
        <f>data!AJ89</f>
        <v>266912547.47</v>
      </c>
      <c r="I154" s="287">
        <f>data!AK89</f>
        <v>14455159.169999998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11376</v>
      </c>
      <c r="D156" s="287">
        <f>data!AF90</f>
        <v>0</v>
      </c>
      <c r="E156" s="287">
        <f>data!AG90</f>
        <v>20182</v>
      </c>
      <c r="F156" s="287">
        <f>data!AH90</f>
        <v>0</v>
      </c>
      <c r="G156" s="287">
        <f>data!AI90</f>
        <v>0</v>
      </c>
      <c r="H156" s="287">
        <f>data!AJ90</f>
        <v>20716</v>
      </c>
      <c r="I156" s="287">
        <f>data!AK90</f>
        <v>5815</v>
      </c>
    </row>
    <row r="157" ht="20.1" customHeight="1">
      <c r="A157" s="279">
        <v>23</v>
      </c>
      <c r="B157" s="287" t="s">
        <v>1018</v>
      </c>
      <c r="C157" s="287">
        <f>data!AE91</f>
        <v>0</v>
      </c>
      <c r="D157" s="287">
        <f>data!AF91</f>
        <v>0</v>
      </c>
      <c r="E157" s="287">
        <f>data!AG91</f>
        <v>16737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4478.1257828420012</v>
      </c>
      <c r="D158" s="287">
        <f>data!AF92</f>
        <v>0</v>
      </c>
      <c r="E158" s="287">
        <f>data!AG92</f>
        <v>7944.579338020154</v>
      </c>
      <c r="F158" s="287">
        <f>data!AH92</f>
        <v>0</v>
      </c>
      <c r="G158" s="287">
        <f>data!AI92</f>
        <v>0</v>
      </c>
      <c r="H158" s="287">
        <f>data!AJ92</f>
        <v>8154.7867191767673</v>
      </c>
      <c r="I158" s="287">
        <f>data!AK92</f>
        <v>2289.0560326324048</v>
      </c>
    </row>
    <row r="159" ht="20.1" customHeight="1">
      <c r="A159" s="279">
        <v>25</v>
      </c>
      <c r="B159" s="287" t="s">
        <v>1020</v>
      </c>
      <c r="C159" s="287">
        <f>data!AE93</f>
        <v>0</v>
      </c>
      <c r="D159" s="287">
        <f>data!AF93</f>
        <v>0</v>
      </c>
      <c r="E159" s="287">
        <f>data!AG93</f>
        <v>250195.25</v>
      </c>
      <c r="F159" s="287">
        <f>data!AH93</f>
        <v>0</v>
      </c>
      <c r="G159" s="287">
        <f>data!AI93</f>
        <v>0</v>
      </c>
      <c r="H159" s="287">
        <f>data!AJ93</f>
        <v>8005.89</v>
      </c>
      <c r="I159" s="287">
        <f>data!AK93</f>
        <v>16431.06</v>
      </c>
    </row>
    <row r="160" ht="20.1" customHeight="1">
      <c r="A160" s="279">
        <v>26</v>
      </c>
      <c r="B160" s="287" t="s">
        <v>294</v>
      </c>
      <c r="C160" s="294">
        <f>data!AE94</f>
        <v>0.0057692307692307696</v>
      </c>
      <c r="D160" s="294">
        <f>data!AF94</f>
        <v>0</v>
      </c>
      <c r="E160" s="294">
        <f>data!AG94</f>
        <v>49.46185096153846</v>
      </c>
      <c r="F160" s="294">
        <f>data!AH94</f>
        <v>0</v>
      </c>
      <c r="G160" s="294">
        <f>data!AI94</f>
        <v>0</v>
      </c>
      <c r="H160" s="294">
        <f>data!AJ94</f>
        <v>151.42769230769233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St.Joseph Medical Center</v>
      </c>
      <c r="G164" s="286"/>
      <c r="H164" s="285" t="str">
        <f>"FYE: "&amp;data!C96</f>
        <v>FYE: 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7387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169801</v>
      </c>
    </row>
    <row r="170" ht="20.1" customHeight="1">
      <c r="A170" s="279">
        <v>5</v>
      </c>
      <c r="B170" s="287" t="s">
        <v>262</v>
      </c>
      <c r="C170" s="294">
        <f>data!AL60</f>
        <v>5.9938942307692304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219.24903365384611</v>
      </c>
    </row>
    <row r="171" ht="20.1" customHeight="1">
      <c r="A171" s="279">
        <v>6</v>
      </c>
      <c r="B171" s="287" t="s">
        <v>263</v>
      </c>
      <c r="C171" s="287">
        <f>data!AL61</f>
        <v>623730.48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23805314.529999986</v>
      </c>
    </row>
    <row r="172" ht="20.1" customHeight="1">
      <c r="A172" s="279">
        <v>7</v>
      </c>
      <c r="B172" s="287" t="s">
        <v>11</v>
      </c>
      <c r="C172" s="287">
        <f>data!AL62</f>
        <v>122723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4686116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28786.85</v>
      </c>
    </row>
    <row r="174" ht="20.1" customHeight="1">
      <c r="A174" s="279">
        <v>9</v>
      </c>
      <c r="B174" s="287" t="s">
        <v>265</v>
      </c>
      <c r="C174" s="287">
        <f>data!AL64</f>
        <v>114.72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38.129999999999995</v>
      </c>
      <c r="H174" s="287">
        <f>data!AQ64</f>
        <v>0</v>
      </c>
      <c r="I174" s="287">
        <f>data!AR64</f>
        <v>2549730.4900000016</v>
      </c>
    </row>
    <row r="175" ht="20.1" customHeight="1">
      <c r="A175" s="279">
        <v>10</v>
      </c>
      <c r="B175" s="287" t="s">
        <v>524</v>
      </c>
      <c r="C175" s="287">
        <f>data!AL65</f>
        <v>1124.84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5256.85</v>
      </c>
      <c r="H175" s="287">
        <f>data!AQ65</f>
        <v>0</v>
      </c>
      <c r="I175" s="287">
        <f>data!AR65</f>
        <v>381731.7099999999</v>
      </c>
    </row>
    <row r="176" ht="20.1" customHeight="1">
      <c r="A176" s="279">
        <v>11</v>
      </c>
      <c r="B176" s="287" t="s">
        <v>525</v>
      </c>
      <c r="C176" s="287">
        <f>data!AL66</f>
        <v>117.04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6883647.27</v>
      </c>
    </row>
    <row r="177" ht="20.1" customHeight="1">
      <c r="A177" s="279">
        <v>12</v>
      </c>
      <c r="B177" s="287" t="s">
        <v>16</v>
      </c>
      <c r="C177" s="287">
        <f>data!AL67</f>
        <v>90777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38149</v>
      </c>
      <c r="H177" s="287">
        <f>data!AQ67</f>
        <v>0</v>
      </c>
      <c r="I177" s="287">
        <f>data!AR67</f>
        <v>1195455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944640.82000000007</v>
      </c>
    </row>
    <row r="179" ht="20.1" customHeight="1">
      <c r="A179" s="279">
        <v>14</v>
      </c>
      <c r="B179" s="287" t="s">
        <v>1010</v>
      </c>
      <c r="C179" s="287">
        <f>data!AL69</f>
        <v>5723.54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883454.64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844310.62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-471122.37000000005</v>
      </c>
      <c r="H181" s="287">
        <f>data!AQ85</f>
        <v>0</v>
      </c>
      <c r="I181" s="287">
        <f>data!AR85</f>
        <v>41317793.089999996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>
        <f>+data!M703</f>
        <v>767296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266670</v>
      </c>
      <c r="H183" s="295">
        <f>+data!M708</f>
        <v>0</v>
      </c>
      <c r="I183" s="295">
        <f>+data!M709</f>
        <v>14827175</v>
      </c>
    </row>
    <row r="184" ht="20.1" customHeight="1">
      <c r="A184" s="279">
        <v>19</v>
      </c>
      <c r="B184" s="295" t="s">
        <v>1013</v>
      </c>
      <c r="C184" s="287">
        <f>data!AL87</f>
        <v>3570784.83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71297.44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1014</v>
      </c>
      <c r="C185" s="287">
        <f>data!AL88</f>
        <v>674094.20000000007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9031316.8499999978</v>
      </c>
      <c r="H185" s="287">
        <f>data!AQ88</f>
        <v>0</v>
      </c>
      <c r="I185" s="287">
        <f>data!AR88</f>
        <v>38983513.879999995</v>
      </c>
    </row>
    <row r="186" ht="20.1" customHeight="1">
      <c r="A186" s="279">
        <v>21</v>
      </c>
      <c r="B186" s="295" t="s">
        <v>1015</v>
      </c>
      <c r="C186" s="287">
        <f>data!AL89</f>
        <v>4244879.03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9102614.2899999972</v>
      </c>
      <c r="H186" s="287">
        <f>data!AQ89</f>
        <v>0</v>
      </c>
      <c r="I186" s="287">
        <f>data!AR89</f>
        <v>38983513.879999995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4171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1797</v>
      </c>
      <c r="H188" s="287">
        <f>data!AQ90</f>
        <v>0</v>
      </c>
      <c r="I188" s="287">
        <f>data!AR90</f>
        <v>44604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1641.9007243524954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707.38326580230989</v>
      </c>
      <c r="H190" s="287">
        <f>data!AQ92</f>
        <v>0</v>
      </c>
      <c r="I190" s="287">
        <f>data!AR92</f>
        <v>17558.221028295062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80.172293269230764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St.Joseph Medical Center</v>
      </c>
      <c r="G196" s="286"/>
      <c r="H196" s="285" t="str">
        <f>"FYE: "&amp;data!C96</f>
        <v>FYE: 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333132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68.351778846153849</v>
      </c>
      <c r="G202" s="294">
        <f>data!AW60</f>
        <v>0</v>
      </c>
      <c r="H202" s="294">
        <f>data!AX60</f>
        <v>0</v>
      </c>
      <c r="I202" s="294">
        <f>data!AY60</f>
        <v>95.52028365384615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5479647.0199999986</v>
      </c>
      <c r="G203" s="287">
        <f>data!AW61</f>
        <v>0</v>
      </c>
      <c r="H203" s="287">
        <f>data!AX61</f>
        <v>0</v>
      </c>
      <c r="I203" s="287">
        <f>data!AY61</f>
        <v>4820191.0100000007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1078153</v>
      </c>
      <c r="G204" s="287">
        <f>data!AW62</f>
        <v>0</v>
      </c>
      <c r="H204" s="287">
        <f>data!AX62</f>
        <v>0</v>
      </c>
      <c r="I204" s="287">
        <f>data!AY62</f>
        <v>951068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732967.73</v>
      </c>
      <c r="G206" s="287">
        <f>data!AW64</f>
        <v>0</v>
      </c>
      <c r="H206" s="287">
        <f>data!AX64</f>
        <v>0</v>
      </c>
      <c r="I206" s="287">
        <f>data!AY64</f>
        <v>2898899.8499999992</v>
      </c>
    </row>
    <row r="207" ht="20.1" customHeight="1">
      <c r="A207" s="279">
        <v>10</v>
      </c>
      <c r="B207" s="287" t="s">
        <v>524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22341.350000000002</v>
      </c>
      <c r="G207" s="287">
        <f>data!AW65</f>
        <v>0</v>
      </c>
      <c r="H207" s="287">
        <f>data!AX65</f>
        <v>0</v>
      </c>
      <c r="I207" s="287">
        <f>data!AY65</f>
        <v>236.81</v>
      </c>
    </row>
    <row r="208" ht="20.1" customHeight="1">
      <c r="A208" s="279">
        <v>11</v>
      </c>
      <c r="B208" s="287" t="s">
        <v>525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1764908.0799999998</v>
      </c>
      <c r="G208" s="287">
        <f>data!AW66</f>
        <v>0</v>
      </c>
      <c r="H208" s="287">
        <f>data!AX66</f>
        <v>0</v>
      </c>
      <c r="I208" s="287">
        <f>data!AY66</f>
        <v>1248529.0600000003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70425</v>
      </c>
      <c r="G209" s="287">
        <f>data!AW67</f>
        <v>0</v>
      </c>
      <c r="H209" s="287">
        <f>data!AX67</f>
        <v>0</v>
      </c>
      <c r="I209" s="287">
        <f>data!AY67</f>
        <v>239295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1512129.42</v>
      </c>
      <c r="G210" s="287">
        <f>data!AW68</f>
        <v>0</v>
      </c>
      <c r="H210" s="287">
        <f>data!AX68</f>
        <v>0</v>
      </c>
      <c r="I210" s="287">
        <f>data!AY68</f>
        <v>69682.76999999999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704769.1</v>
      </c>
      <c r="G211" s="287">
        <f>data!AW69</f>
        <v>0</v>
      </c>
      <c r="H211" s="287">
        <f>data!AX69</f>
        <v>0</v>
      </c>
      <c r="I211" s="287">
        <f>data!AY69</f>
        <v>11436.830000000002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-5953130.34</v>
      </c>
      <c r="G212" s="287">
        <f>-data!AW84</f>
        <v>0</v>
      </c>
      <c r="H212" s="287">
        <f>-data!AX84</f>
        <v>0</v>
      </c>
      <c r="I212" s="287">
        <f>-data!AY84</f>
        <v>-2023114.3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5412210.3599999975</v>
      </c>
      <c r="G213" s="287">
        <f>data!AW85</f>
        <v>0</v>
      </c>
      <c r="H213" s="287">
        <f>data!AX85</f>
        <v>0</v>
      </c>
      <c r="I213" s="287">
        <f>data!AY85</f>
        <v>8216225.03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1680052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1965534.2300000005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1797881.13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3763415.3600000003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1394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8225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548.74361298186966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17300.48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13.185774038461537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St.Joseph Medical Center</v>
      </c>
      <c r="G228" s="286"/>
      <c r="H228" s="285" t="str">
        <f>"FYE: "&amp;data!C96</f>
        <v>FYE: 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249300</v>
      </c>
      <c r="D233" s="287">
        <f>data!BA59</f>
        <v>0</v>
      </c>
      <c r="E233" s="299"/>
      <c r="F233" s="299"/>
      <c r="G233" s="299"/>
      <c r="H233" s="287">
        <f>data!BE59</f>
        <v>854712.97796666657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4.71135576923077</v>
      </c>
      <c r="E234" s="294">
        <f>data!BB60</f>
        <v>0</v>
      </c>
      <c r="F234" s="294">
        <f>data!BC60</f>
        <v>10.70396153846154</v>
      </c>
      <c r="G234" s="294">
        <f>data!BD60</f>
        <v>0</v>
      </c>
      <c r="H234" s="294">
        <f>data!BE60</f>
        <v>18.284365384615384</v>
      </c>
      <c r="I234" s="294">
        <f>data!BF60</f>
        <v>91.654134615384635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207713.37</v>
      </c>
      <c r="E235" s="287">
        <f>data!BB61</f>
        <v>0</v>
      </c>
      <c r="F235" s="287">
        <f>data!BC61</f>
        <v>545648.49</v>
      </c>
      <c r="G235" s="287">
        <f>data!BD61</f>
        <v>0</v>
      </c>
      <c r="H235" s="287">
        <f>data!BE61</f>
        <v>1378153.6600000002</v>
      </c>
      <c r="I235" s="287">
        <f>data!BF61</f>
        <v>4635214.0200000014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40869</v>
      </c>
      <c r="E236" s="287">
        <f>data!BB62</f>
        <v>0</v>
      </c>
      <c r="F236" s="287">
        <f>data!BC62</f>
        <v>107360</v>
      </c>
      <c r="G236" s="287">
        <f>data!BD62</f>
        <v>0</v>
      </c>
      <c r="H236" s="287">
        <f>data!BE62</f>
        <v>275548</v>
      </c>
      <c r="I236" s="287">
        <f>data!BF62</f>
        <v>914879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3720.5</v>
      </c>
      <c r="E238" s="287">
        <f>data!BB64</f>
        <v>0</v>
      </c>
      <c r="F238" s="287">
        <f>data!BC64</f>
        <v>-523.15</v>
      </c>
      <c r="G238" s="287">
        <f>data!BD64</f>
        <v>141832.8</v>
      </c>
      <c r="H238" s="287">
        <f>data!BE64</f>
        <v>87112.08</v>
      </c>
      <c r="I238" s="287">
        <f>data!BF64</f>
        <v>487384.6</v>
      </c>
    </row>
    <row r="239" ht="20.1" customHeight="1">
      <c r="A239" s="279">
        <v>10</v>
      </c>
      <c r="B239" s="287" t="s">
        <v>524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98.65</v>
      </c>
      <c r="G239" s="287">
        <f>data!BD65</f>
        <v>0</v>
      </c>
      <c r="H239" s="287">
        <f>data!BE65</f>
        <v>3468725.38</v>
      </c>
      <c r="I239" s="287">
        <f>data!BF65</f>
        <v>506.32</v>
      </c>
    </row>
    <row r="240" ht="20.1" customHeight="1">
      <c r="A240" s="279">
        <v>11</v>
      </c>
      <c r="B240" s="287" t="s">
        <v>525</v>
      </c>
      <c r="C240" s="287">
        <f>data!AZ66</f>
        <v>0</v>
      </c>
      <c r="D240" s="287">
        <f>data!BA66</f>
        <v>415.7</v>
      </c>
      <c r="E240" s="287">
        <f>data!BB66</f>
        <v>0</v>
      </c>
      <c r="F240" s="287">
        <f>data!BC66</f>
        <v>96.64</v>
      </c>
      <c r="G240" s="287">
        <f>data!BD66</f>
        <v>0</v>
      </c>
      <c r="H240" s="287">
        <f>data!BE66</f>
        <v>16137732.950000003</v>
      </c>
      <c r="I240" s="287">
        <f>data!BF66</f>
        <v>433431.54</v>
      </c>
    </row>
    <row r="241" ht="20.1" customHeight="1">
      <c r="A241" s="279">
        <v>12</v>
      </c>
      <c r="B241" s="287" t="s">
        <v>16</v>
      </c>
      <c r="C241" s="287">
        <f>data!AZ67</f>
        <v>404169</v>
      </c>
      <c r="D241" s="287">
        <f>data!BA67</f>
        <v>90096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6220784</v>
      </c>
      <c r="I241" s="287">
        <f>data!BF67</f>
        <v>76971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3.51</v>
      </c>
      <c r="G242" s="287">
        <f>data!BD68</f>
        <v>1458890.67</v>
      </c>
      <c r="H242" s="287">
        <f>data!BE68</f>
        <v>2378357.96</v>
      </c>
      <c r="I242" s="287">
        <f>data!BF68</f>
        <v>3682.99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46.97</v>
      </c>
      <c r="G243" s="287">
        <f>data!BD69</f>
        <v>0</v>
      </c>
      <c r="H243" s="287">
        <f>data!BE69</f>
        <v>179673.97999999998</v>
      </c>
      <c r="I243" s="287">
        <f>data!BF69</f>
        <v>2232.52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-148.21</v>
      </c>
      <c r="I244" s="287">
        <f>-data!BF84</f>
        <v>0</v>
      </c>
    </row>
    <row r="245" ht="20.1" customHeight="1">
      <c r="A245" s="279">
        <v>16</v>
      </c>
      <c r="B245" s="295" t="s">
        <v>1011</v>
      </c>
      <c r="C245" s="287">
        <f>data!AZ85</f>
        <v>404169</v>
      </c>
      <c r="D245" s="287">
        <f>data!BA85</f>
        <v>342814.57</v>
      </c>
      <c r="E245" s="287">
        <f>data!BB85</f>
        <v>0</v>
      </c>
      <c r="F245" s="287">
        <f>data!BC85</f>
        <v>652731.11</v>
      </c>
      <c r="G245" s="287">
        <f>data!BD85</f>
        <v>1600723.47</v>
      </c>
      <c r="H245" s="287">
        <f>data!BE85</f>
        <v>30125939.800000004</v>
      </c>
      <c r="I245" s="287">
        <f>data!BF85</f>
        <v>6554301.9900000012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19038.4088</v>
      </c>
      <c r="D252" s="303">
        <f>data!BA90</f>
        <v>4244</v>
      </c>
      <c r="E252" s="303">
        <f>data!BB90</f>
        <v>0</v>
      </c>
      <c r="F252" s="303">
        <f>data!BC90</f>
        <v>0</v>
      </c>
      <c r="G252" s="303">
        <f>data!BD90</f>
        <v>0</v>
      </c>
      <c r="H252" s="303">
        <f>data!BE90</f>
        <v>174493</v>
      </c>
      <c r="I252" s="303">
        <f>data!BF90</f>
        <v>2066</v>
      </c>
    </row>
    <row r="253" ht="20.1" customHeight="1">
      <c r="A253" s="279">
        <v>23</v>
      </c>
      <c r="B253" s="287" t="s">
        <v>1018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1670.636939379523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St.Joseph Medical Center</v>
      </c>
      <c r="G260" s="286"/>
      <c r="H260" s="285" t="str">
        <f>"FYE: "&amp;data!C96</f>
        <v>FYE: 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0</v>
      </c>
      <c r="D270" s="287">
        <f>data!BH64</f>
        <v>0</v>
      </c>
      <c r="E270" s="287">
        <f>data!BI64</f>
        <v>97362.150000000009</v>
      </c>
      <c r="F270" s="287">
        <f>data!BJ64</f>
        <v>0</v>
      </c>
      <c r="G270" s="287">
        <f>data!BK64</f>
        <v>0</v>
      </c>
      <c r="H270" s="287">
        <f>data!BL64</f>
        <v>88877.81</v>
      </c>
      <c r="I270" s="287">
        <f>data!BM64</f>
        <v>0</v>
      </c>
    </row>
    <row r="271" ht="20.1" customHeight="1">
      <c r="A271" s="279">
        <v>10</v>
      </c>
      <c r="B271" s="287" t="s">
        <v>524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355.55</v>
      </c>
      <c r="I271" s="287">
        <f>data!BM65</f>
        <v>0</v>
      </c>
    </row>
    <row r="272" ht="20.1" customHeight="1">
      <c r="A272" s="279">
        <v>11</v>
      </c>
      <c r="B272" s="287" t="s">
        <v>525</v>
      </c>
      <c r="C272" s="287">
        <f>data!BG66</f>
        <v>0</v>
      </c>
      <c r="D272" s="287">
        <f>data!BH66</f>
        <v>0</v>
      </c>
      <c r="E272" s="287">
        <f>data!BI66</f>
        <v>586.8</v>
      </c>
      <c r="F272" s="287">
        <f>data!BJ66</f>
        <v>0</v>
      </c>
      <c r="G272" s="287">
        <f>data!BK66</f>
        <v>30148159.01</v>
      </c>
      <c r="H272" s="287">
        <f>data!BL66</f>
        <v>5962028.6099999994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0</v>
      </c>
      <c r="D273" s="287">
        <f>data!BH67</f>
        <v>0</v>
      </c>
      <c r="E273" s="287">
        <f>data!BI67</f>
        <v>28370</v>
      </c>
      <c r="F273" s="287">
        <f>data!BJ67</f>
        <v>0</v>
      </c>
      <c r="G273" s="287">
        <f>data!BK67</f>
        <v>0</v>
      </c>
      <c r="H273" s="287">
        <f>data!BL67</f>
        <v>241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18692.19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0</v>
      </c>
      <c r="D275" s="287">
        <f>data!BH69</f>
        <v>0</v>
      </c>
      <c r="E275" s="287">
        <f>data!BI69</f>
        <v>-17.069999999999993</v>
      </c>
      <c r="F275" s="287">
        <f>data!BJ69</f>
        <v>0</v>
      </c>
      <c r="G275" s="287">
        <f>data!BK69</f>
        <v>126192</v>
      </c>
      <c r="H275" s="287">
        <f>data!BL69</f>
        <v>4622.13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-240721.35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0</v>
      </c>
      <c r="D277" s="287">
        <f>data!BH85</f>
        <v>0</v>
      </c>
      <c r="E277" s="287">
        <f>data!BI85</f>
        <v>-114419.47</v>
      </c>
      <c r="F277" s="287">
        <f>data!BJ85</f>
        <v>0</v>
      </c>
      <c r="G277" s="287">
        <f>data!BK85</f>
        <v>30274351.01</v>
      </c>
      <c r="H277" s="287">
        <f>data!BL85</f>
        <v>6074817.29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0</v>
      </c>
      <c r="D284" s="303">
        <f>data!BH90</f>
        <v>0</v>
      </c>
      <c r="E284" s="303">
        <f>data!BI90</f>
        <v>1333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0</v>
      </c>
      <c r="E286" s="303">
        <f>data!BI92</f>
        <v>524.731159329148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St.Joseph Medical Center</v>
      </c>
      <c r="G292" s="286"/>
      <c r="H292" s="285" t="str">
        <f>"FYE: "&amp;data!C96</f>
        <v>FYE: 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6.3469951923076922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0.025</v>
      </c>
      <c r="H298" s="294">
        <f>data!BS60</f>
        <v>0</v>
      </c>
      <c r="I298" s="294">
        <f>data!BT60</f>
        <v>2.7787451923076922</v>
      </c>
    </row>
    <row r="299" ht="20.1" customHeight="1">
      <c r="A299" s="279">
        <v>6</v>
      </c>
      <c r="B299" s="287" t="s">
        <v>263</v>
      </c>
      <c r="C299" s="287">
        <f>data!BN61</f>
        <v>1216435.6900000004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3746.9200000000005</v>
      </c>
      <c r="H299" s="287">
        <f>data!BS61</f>
        <v>0</v>
      </c>
      <c r="I299" s="287">
        <f>data!BT61</f>
        <v>165863.55</v>
      </c>
    </row>
    <row r="300" ht="20.1" customHeight="1">
      <c r="A300" s="279">
        <v>7</v>
      </c>
      <c r="B300" s="287" t="s">
        <v>11</v>
      </c>
      <c r="C300" s="287">
        <f>data!BN62</f>
        <v>333041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737</v>
      </c>
      <c r="H300" s="287">
        <f>data!BS62</f>
        <v>0</v>
      </c>
      <c r="I300" s="287">
        <f>data!BT62</f>
        <v>32762</v>
      </c>
    </row>
    <row r="301" ht="20.1" customHeight="1">
      <c r="A301" s="279">
        <v>8</v>
      </c>
      <c r="B301" s="287" t="s">
        <v>264</v>
      </c>
      <c r="C301" s="287">
        <f>data!BN63</f>
        <v>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57064.78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ht="20.1" customHeight="1">
      <c r="A303" s="279">
        <v>10</v>
      </c>
      <c r="B303" s="287" t="s">
        <v>524</v>
      </c>
      <c r="C303" s="287">
        <f>data!BN65</f>
        <v>510.42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2567.67</v>
      </c>
    </row>
    <row r="304" ht="20.1" customHeight="1">
      <c r="A304" s="279">
        <v>11</v>
      </c>
      <c r="B304" s="287" t="s">
        <v>525</v>
      </c>
      <c r="C304" s="287">
        <f>data!BN66</f>
        <v>898182.5900000002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ht="20.1" customHeight="1">
      <c r="A305" s="279">
        <v>12</v>
      </c>
      <c r="B305" s="287" t="s">
        <v>16</v>
      </c>
      <c r="C305" s="287">
        <f>data!BN67</f>
        <v>3538430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354569</v>
      </c>
      <c r="H305" s="287">
        <f>data!BS67</f>
        <v>0</v>
      </c>
      <c r="I305" s="287">
        <f>data!BT67</f>
        <v>32587</v>
      </c>
    </row>
    <row r="306" ht="20.1" customHeight="1">
      <c r="A306" s="279">
        <v>13</v>
      </c>
      <c r="B306" s="287" t="s">
        <v>1009</v>
      </c>
      <c r="C306" s="287">
        <f>data!BN68</f>
        <v>58427.53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1010</v>
      </c>
      <c r="C307" s="287">
        <f>data!BN69</f>
        <v>379834.83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336608.3</v>
      </c>
      <c r="H307" s="287">
        <f>data!BS69</f>
        <v>0</v>
      </c>
      <c r="I307" s="287">
        <f>data!BT69</f>
        <v>7870.69</v>
      </c>
    </row>
    <row r="308" ht="20.1" customHeight="1">
      <c r="A308" s="279">
        <v>15</v>
      </c>
      <c r="B308" s="287" t="s">
        <v>284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-3600</v>
      </c>
    </row>
    <row r="309" ht="20.1" customHeight="1">
      <c r="A309" s="279">
        <v>16</v>
      </c>
      <c r="B309" s="295" t="s">
        <v>1011</v>
      </c>
      <c r="C309" s="287">
        <f>data!BN85</f>
        <v>6481926.8400000008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695661.22</v>
      </c>
      <c r="H309" s="287">
        <f>data!BS85</f>
        <v>0</v>
      </c>
      <c r="I309" s="287">
        <f>data!BT85</f>
        <v>238050.91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158305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16702</v>
      </c>
      <c r="H316" s="303">
        <f>data!BS90</f>
        <v>0</v>
      </c>
      <c r="I316" s="303">
        <f>data!BT90</f>
        <v>1535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0</v>
      </c>
      <c r="I318" s="303">
        <f>data!BT92</f>
        <v>604.24780912996414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St.Joseph Medical Center</v>
      </c>
      <c r="G324" s="286"/>
      <c r="H324" s="285" t="str">
        <f>"FYE: "&amp;data!C96</f>
        <v>FYE: 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48.824596153846166</v>
      </c>
      <c r="H330" s="294">
        <f>data!BZ60</f>
        <v>9.7984759615384629</v>
      </c>
      <c r="I330" s="294">
        <f>data!CA60</f>
        <v>6.8783605769230771</v>
      </c>
    </row>
    <row r="331" ht="20.1" customHeight="1">
      <c r="A331" s="279">
        <v>6</v>
      </c>
      <c r="B331" s="287" t="s">
        <v>263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4599109.81</v>
      </c>
      <c r="H331" s="306">
        <f>data!BZ61</f>
        <v>1045327.9499999997</v>
      </c>
      <c r="I331" s="306">
        <f>data!CA61</f>
        <v>818352.50999999989</v>
      </c>
    </row>
    <row r="332" ht="20.1" customHeight="1">
      <c r="A332" s="279">
        <v>7</v>
      </c>
      <c r="B332" s="287" t="s">
        <v>11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905006</v>
      </c>
      <c r="H332" s="306">
        <f>data!BZ62</f>
        <v>205674</v>
      </c>
      <c r="I332" s="306">
        <f>data!CA62</f>
        <v>161016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5787.86</v>
      </c>
      <c r="H334" s="306">
        <f>data!BZ64</f>
        <v>15.83</v>
      </c>
      <c r="I334" s="306">
        <f>data!CA64</f>
        <v>0</v>
      </c>
    </row>
    <row r="335" ht="20.1" customHeight="1">
      <c r="A335" s="279">
        <v>10</v>
      </c>
      <c r="B335" s="287" t="s">
        <v>524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2878.5299999999997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525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287899.66000000003</v>
      </c>
      <c r="H336" s="306">
        <f>data!BZ66</f>
        <v>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0</v>
      </c>
      <c r="D337" s="306">
        <f>data!BV67</f>
        <v>200721</v>
      </c>
      <c r="E337" s="306">
        <f>data!BW67</f>
        <v>0</v>
      </c>
      <c r="F337" s="306">
        <f>data!BX67</f>
        <v>0</v>
      </c>
      <c r="G337" s="306">
        <f>data!BY67</f>
        <v>24285</v>
      </c>
      <c r="H337" s="306">
        <f>data!BZ67</f>
        <v>0</v>
      </c>
      <c r="I337" s="306">
        <f>data!CA67</f>
        <v>0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3446.45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1010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8126.81</v>
      </c>
      <c r="H339" s="306">
        <f>data!BZ69</f>
        <v>176</v>
      </c>
      <c r="I339" s="306">
        <f>data!CA69</f>
        <v>2997.21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1011</v>
      </c>
      <c r="C341" s="287">
        <f>data!BU85</f>
        <v>0</v>
      </c>
      <c r="D341" s="287">
        <f>data!BV85</f>
        <v>200721</v>
      </c>
      <c r="E341" s="287">
        <f>data!BW85</f>
        <v>0</v>
      </c>
      <c r="F341" s="287">
        <f>data!BX85</f>
        <v>0</v>
      </c>
      <c r="G341" s="287">
        <f>data!BY85</f>
        <v>5836540.12</v>
      </c>
      <c r="H341" s="287">
        <f>data!BZ85</f>
        <v>1251193.7799999998</v>
      </c>
      <c r="I341" s="287">
        <f>data!CA85</f>
        <v>982365.71999999986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0</v>
      </c>
      <c r="D348" s="303">
        <f>data!BV90</f>
        <v>9455</v>
      </c>
      <c r="E348" s="303">
        <f>data!BW90</f>
        <v>0</v>
      </c>
      <c r="F348" s="303">
        <f>data!BX90</f>
        <v>0</v>
      </c>
      <c r="G348" s="303">
        <f>data!BY90</f>
        <v>978</v>
      </c>
      <c r="H348" s="303">
        <f>data!BZ90</f>
        <v>0</v>
      </c>
      <c r="I348" s="303">
        <f>data!CA90</f>
        <v>0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0</v>
      </c>
      <c r="D350" s="303">
        <f>data!BV92</f>
        <v>3721.9303161718635</v>
      </c>
      <c r="E350" s="303">
        <f>data!BW92</f>
        <v>0</v>
      </c>
      <c r="F350" s="303">
        <f>data!BX92</f>
        <v>0</v>
      </c>
      <c r="G350" s="303">
        <f>data!BY92</f>
        <v>384.98655200593151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St.Joseph Medical Center</v>
      </c>
      <c r="G356" s="286"/>
      <c r="H356" s="285" t="str">
        <f>"FYE: "&amp;data!C96</f>
        <v>FYE: 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0</v>
      </c>
      <c r="D362" s="294">
        <f>data!CC60</f>
        <v>12.029740384615383</v>
      </c>
      <c r="E362" s="309"/>
      <c r="F362" s="297"/>
      <c r="G362" s="297"/>
      <c r="H362" s="297"/>
      <c r="I362" s="310">
        <f>data!CE60</f>
        <v>3144.412649038461</v>
      </c>
    </row>
    <row r="363" ht="20.1" customHeight="1">
      <c r="A363" s="279">
        <v>6</v>
      </c>
      <c r="B363" s="287" t="s">
        <v>263</v>
      </c>
      <c r="C363" s="306">
        <f>data!CB61</f>
        <v>0</v>
      </c>
      <c r="D363" s="306">
        <f>data!CC61</f>
        <v>699302.12000000011</v>
      </c>
      <c r="E363" s="311"/>
      <c r="F363" s="311"/>
      <c r="G363" s="311"/>
      <c r="H363" s="311"/>
      <c r="I363" s="306">
        <f>data!CE61</f>
        <v>359558993.66</v>
      </c>
    </row>
    <row r="364" ht="20.1" customHeight="1">
      <c r="A364" s="279">
        <v>7</v>
      </c>
      <c r="B364" s="287" t="s">
        <v>11</v>
      </c>
      <c r="C364" s="306">
        <f>data!CB62</f>
        <v>0</v>
      </c>
      <c r="D364" s="306">
        <f>data!CC62</f>
        <v>138846</v>
      </c>
      <c r="E364" s="311"/>
      <c r="F364" s="311"/>
      <c r="G364" s="311"/>
      <c r="H364" s="311"/>
      <c r="I364" s="306">
        <f>data!CE62</f>
        <v>70893328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9352118.38</v>
      </c>
      <c r="E365" s="311"/>
      <c r="F365" s="311"/>
      <c r="G365" s="311"/>
      <c r="H365" s="311"/>
      <c r="I365" s="306">
        <f>data!CE63</f>
        <v>30254462.790000007</v>
      </c>
    </row>
    <row r="366" ht="20.1" customHeight="1">
      <c r="A366" s="279">
        <v>9</v>
      </c>
      <c r="B366" s="287" t="s">
        <v>265</v>
      </c>
      <c r="C366" s="306">
        <f>data!CB64</f>
        <v>0</v>
      </c>
      <c r="D366" s="306">
        <f>data!CC64</f>
        <v>170689.15000000002</v>
      </c>
      <c r="E366" s="311"/>
      <c r="F366" s="311"/>
      <c r="G366" s="311"/>
      <c r="H366" s="311"/>
      <c r="I366" s="306">
        <f>data!CE64</f>
        <v>136278892.56000003</v>
      </c>
    </row>
    <row r="367" ht="20.1" customHeight="1">
      <c r="A367" s="279">
        <v>10</v>
      </c>
      <c r="B367" s="287" t="s">
        <v>524</v>
      </c>
      <c r="C367" s="306">
        <f>data!CB65</f>
        <v>0</v>
      </c>
      <c r="D367" s="306">
        <f>data!CC65</f>
        <v>736.05</v>
      </c>
      <c r="E367" s="311"/>
      <c r="F367" s="311"/>
      <c r="G367" s="311"/>
      <c r="H367" s="311"/>
      <c r="I367" s="306">
        <f>data!CE65</f>
        <v>4442044</v>
      </c>
    </row>
    <row r="368" ht="20.1" customHeight="1">
      <c r="A368" s="279">
        <v>11</v>
      </c>
      <c r="B368" s="287" t="s">
        <v>525</v>
      </c>
      <c r="C368" s="306">
        <f>data!CB66</f>
        <v>151171.32999999996</v>
      </c>
      <c r="D368" s="306">
        <f>data!CC66</f>
        <v>97985756.77</v>
      </c>
      <c r="E368" s="311"/>
      <c r="F368" s="311"/>
      <c r="G368" s="311"/>
      <c r="H368" s="311"/>
      <c r="I368" s="306">
        <f>data!CE66</f>
        <v>200811748.6</v>
      </c>
    </row>
    <row r="369" ht="20.1" customHeight="1">
      <c r="A369" s="279">
        <v>12</v>
      </c>
      <c r="B369" s="287" t="s">
        <v>16</v>
      </c>
      <c r="C369" s="306">
        <f>data!CB67</f>
        <v>0</v>
      </c>
      <c r="D369" s="306">
        <f>data!CC67</f>
        <v>1421009</v>
      </c>
      <c r="E369" s="311"/>
      <c r="F369" s="311"/>
      <c r="G369" s="311"/>
      <c r="H369" s="311"/>
      <c r="I369" s="306">
        <f>data!CE67</f>
        <v>39469436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157041.75000000012</v>
      </c>
      <c r="E370" s="311"/>
      <c r="F370" s="311"/>
      <c r="G370" s="311"/>
      <c r="H370" s="311"/>
      <c r="I370" s="306">
        <f>data!CE68</f>
        <v>18189025.46</v>
      </c>
    </row>
    <row r="371" ht="20.1" customHeight="1">
      <c r="A371" s="279">
        <v>14</v>
      </c>
      <c r="B371" s="287" t="s">
        <v>1010</v>
      </c>
      <c r="C371" s="306">
        <f>data!CB69</f>
        <v>0</v>
      </c>
      <c r="D371" s="306">
        <f>data!CC69</f>
        <v>761577.700000003</v>
      </c>
      <c r="E371" s="306">
        <f>data!CD69</f>
        <v>34520090.22</v>
      </c>
      <c r="F371" s="311"/>
      <c r="G371" s="311"/>
      <c r="H371" s="311"/>
      <c r="I371" s="306">
        <f>data!CE69</f>
        <v>63763314.84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0</v>
      </c>
      <c r="E372" s="287">
        <f>-data!CD84</f>
        <v>2407827.35</v>
      </c>
      <c r="F372" s="297"/>
      <c r="G372" s="297"/>
      <c r="H372" s="297"/>
      <c r="I372" s="287">
        <f>-data!CE84</f>
        <v>-21506058.400000002</v>
      </c>
    </row>
    <row r="373" ht="20.1" customHeight="1">
      <c r="A373" s="279">
        <v>16</v>
      </c>
      <c r="B373" s="295" t="s">
        <v>1011</v>
      </c>
      <c r="C373" s="306">
        <f>data!CB85</f>
        <v>151171.32999999996</v>
      </c>
      <c r="D373" s="306">
        <f>data!CC85</f>
        <v>110687076.92</v>
      </c>
      <c r="E373" s="306">
        <f>data!CD85</f>
        <v>36927917.57</v>
      </c>
      <c r="F373" s="311"/>
      <c r="G373" s="311"/>
      <c r="H373" s="311"/>
      <c r="I373" s="287">
        <f>data!CE85</f>
        <v>880649129.11000013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2218952383.1599994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1502437875.06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3721390258.22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854712.97796666669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333134</v>
      </c>
    </row>
    <row r="382" ht="20.1" customHeight="1">
      <c r="A382" s="279">
        <v>24</v>
      </c>
      <c r="B382" s="287" t="s">
        <v>1019</v>
      </c>
      <c r="C382" s="303">
        <f>data!CB92</f>
        <v>0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190567.78000000003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2460871.18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1213.2421346153844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1068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1069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321</v>
      </c>
      <c r="B110" s="40" t="s">
        <v>299</v>
      </c>
      <c r="C110" s="41"/>
      <c r="D110" s="42"/>
      <c r="E110" s="43"/>
      <c r="F110" s="16"/>
    </row>
    <row r="111">
      <c r="A111" s="44" t="s">
        <v>323</v>
      </c>
      <c r="B111" s="40" t="s">
        <v>299</v>
      </c>
      <c r="C111" s="328"/>
      <c r="D111" s="42"/>
      <c r="E111" s="43"/>
      <c r="F111" s="16"/>
    </row>
    <row r="112">
      <c r="A112" s="38" t="s">
        <v>325</v>
      </c>
      <c r="B112" s="38"/>
      <c r="C112" s="38"/>
      <c r="D112" s="38"/>
      <c r="E112" s="38"/>
    </row>
    <row r="113">
      <c r="A113" s="45" t="s">
        <v>326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1070</v>
      </c>
      <c r="D114" s="20"/>
      <c r="E114" s="20"/>
    </row>
    <row r="115">
      <c r="A115" s="20" t="s">
        <v>310</v>
      </c>
      <c r="B115" s="46" t="s">
        <v>299</v>
      </c>
      <c r="C115" s="47" t="s">
        <v>1070</v>
      </c>
      <c r="D115" s="20"/>
      <c r="E115" s="20"/>
    </row>
    <row r="116">
      <c r="A116" s="20" t="s">
        <v>327</v>
      </c>
      <c r="B116" s="46" t="s">
        <v>299</v>
      </c>
      <c r="C116" s="47" t="s">
        <v>1070</v>
      </c>
      <c r="D116" s="20"/>
      <c r="E116" s="20"/>
    </row>
    <row r="117">
      <c r="A117" s="45" t="s">
        <v>328</v>
      </c>
      <c r="B117" s="45"/>
      <c r="C117" s="45"/>
      <c r="D117" s="45"/>
      <c r="E117" s="45"/>
    </row>
    <row r="118">
      <c r="A118" s="20" t="s">
        <v>329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330</v>
      </c>
      <c r="B120" s="45"/>
      <c r="C120" s="45"/>
      <c r="D120" s="45"/>
      <c r="E120" s="45"/>
    </row>
    <row r="121">
      <c r="A121" s="20" t="s">
        <v>331</v>
      </c>
      <c r="B121" s="46" t="s">
        <v>299</v>
      </c>
      <c r="C121" s="47" t="s">
        <v>1070</v>
      </c>
      <c r="D121" s="20"/>
      <c r="E121" s="20"/>
    </row>
    <row r="122">
      <c r="A122" s="20" t="s">
        <v>332</v>
      </c>
      <c r="B122" s="46" t="s">
        <v>299</v>
      </c>
      <c r="C122" s="47" t="s">
        <v>1070</v>
      </c>
      <c r="D122" s="20"/>
      <c r="E122" s="20"/>
    </row>
    <row r="123">
      <c r="A123" s="20" t="s">
        <v>333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334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335</v>
      </c>
      <c r="B127" s="20"/>
      <c r="C127" s="21" t="s">
        <v>336</v>
      </c>
      <c r="D127" s="22" t="s">
        <v>242</v>
      </c>
      <c r="E127" s="20"/>
    </row>
    <row r="128">
      <c r="A128" s="20" t="s">
        <v>337</v>
      </c>
      <c r="B128" s="46" t="s">
        <v>299</v>
      </c>
      <c r="C128" s="216"/>
      <c r="D128" s="220"/>
      <c r="E128" s="20"/>
    </row>
    <row r="129">
      <c r="A129" s="20" t="s">
        <v>338</v>
      </c>
      <c r="B129" s="46" t="s">
        <v>299</v>
      </c>
      <c r="C129" s="216"/>
      <c r="D129" s="220"/>
      <c r="E129" s="20"/>
    </row>
    <row r="130">
      <c r="A130" s="20" t="s">
        <v>339</v>
      </c>
      <c r="B130" s="46" t="s">
        <v>299</v>
      </c>
      <c r="C130" s="216"/>
      <c r="D130" s="220"/>
      <c r="E130" s="20"/>
    </row>
    <row r="131">
      <c r="A131" s="20" t="s">
        <v>340</v>
      </c>
      <c r="B131" s="46" t="s">
        <v>299</v>
      </c>
      <c r="C131" s="216"/>
      <c r="D131" s="220"/>
      <c r="E131" s="20"/>
    </row>
    <row r="132">
      <c r="A132" s="26" t="s">
        <v>341</v>
      </c>
      <c r="B132" s="20"/>
      <c r="C132" s="21" t="s">
        <v>194</v>
      </c>
      <c r="D132" s="20"/>
      <c r="E132" s="20"/>
    </row>
    <row r="133">
      <c r="A133" s="20" t="s">
        <v>342</v>
      </c>
      <c r="B133" s="46" t="s">
        <v>299</v>
      </c>
      <c r="C133" s="216"/>
      <c r="D133" s="20"/>
      <c r="E133" s="20"/>
    </row>
    <row r="134">
      <c r="A134" s="20" t="s">
        <v>343</v>
      </c>
      <c r="B134" s="46" t="s">
        <v>299</v>
      </c>
      <c r="C134" s="216"/>
      <c r="D134" s="20"/>
      <c r="E134" s="20"/>
    </row>
    <row r="135">
      <c r="A135" s="20" t="s">
        <v>344</v>
      </c>
      <c r="B135" s="46" t="s">
        <v>299</v>
      </c>
      <c r="C135" s="216"/>
      <c r="D135" s="20"/>
      <c r="E135" s="20"/>
    </row>
    <row r="136">
      <c r="A136" s="20" t="s">
        <v>345</v>
      </c>
      <c r="B136" s="46" t="s">
        <v>299</v>
      </c>
      <c r="C136" s="216"/>
      <c r="D136" s="20"/>
      <c r="E136" s="20"/>
    </row>
    <row r="137">
      <c r="A137" s="20" t="s">
        <v>346</v>
      </c>
      <c r="B137" s="46" t="s">
        <v>299</v>
      </c>
      <c r="C137" s="216"/>
      <c r="D137" s="20"/>
      <c r="E137" s="20"/>
    </row>
    <row r="138">
      <c r="A138" s="20" t="s">
        <v>347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348</v>
      </c>
      <c r="B140" s="46" t="s">
        <v>299</v>
      </c>
      <c r="C140" s="216"/>
      <c r="D140" s="20"/>
      <c r="E140" s="20"/>
    </row>
    <row r="141">
      <c r="A141" s="20" t="s">
        <v>349</v>
      </c>
      <c r="B141" s="46"/>
      <c r="C141" s="216"/>
      <c r="D141" s="20"/>
      <c r="E141" s="20"/>
    </row>
    <row r="142">
      <c r="A142" s="20" t="s">
        <v>339</v>
      </c>
      <c r="B142" s="46" t="s">
        <v>299</v>
      </c>
      <c r="C142" s="216"/>
      <c r="D142" s="20"/>
      <c r="E142" s="20"/>
    </row>
    <row r="143">
      <c r="A143" s="20" t="s">
        <v>350</v>
      </c>
      <c r="B143" s="46" t="s">
        <v>299</v>
      </c>
      <c r="C143" s="216"/>
      <c r="D143" s="20"/>
      <c r="E143" s="20"/>
    </row>
    <row r="144">
      <c r="A144" s="20" t="s">
        <v>351</v>
      </c>
      <c r="B144" s="20"/>
      <c r="C144" s="27"/>
      <c r="D144" s="20"/>
      <c r="E144" s="32">
        <f>SUM(C133:C143)</f>
        <v>0</v>
      </c>
    </row>
    <row r="145">
      <c r="A145" s="20" t="s">
        <v>352</v>
      </c>
      <c r="B145" s="46" t="s">
        <v>299</v>
      </c>
      <c r="C145" s="47"/>
      <c r="D145" s="20"/>
      <c r="E145" s="20"/>
    </row>
    <row r="146">
      <c r="A146" s="20" t="s">
        <v>353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354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355</v>
      </c>
      <c r="B153" s="49"/>
      <c r="C153" s="49"/>
      <c r="D153" s="49"/>
      <c r="E153" s="49"/>
    </row>
    <row r="154">
      <c r="A154" s="51" t="s">
        <v>356</v>
      </c>
      <c r="B154" s="52" t="s">
        <v>357</v>
      </c>
      <c r="C154" s="53" t="s">
        <v>358</v>
      </c>
      <c r="D154" s="52" t="s">
        <v>159</v>
      </c>
      <c r="E154" s="52" t="s">
        <v>230</v>
      </c>
    </row>
    <row r="155">
      <c r="A155" s="20" t="s">
        <v>336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359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360</v>
      </c>
      <c r="B160" s="52" t="s">
        <v>357</v>
      </c>
      <c r="C160" s="53" t="s">
        <v>358</v>
      </c>
      <c r="D160" s="52" t="s">
        <v>159</v>
      </c>
      <c r="E160" s="52" t="s">
        <v>230</v>
      </c>
    </row>
    <row r="161">
      <c r="A161" s="20" t="s">
        <v>336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359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361</v>
      </c>
      <c r="B166" s="52" t="s">
        <v>357</v>
      </c>
      <c r="C166" s="53" t="s">
        <v>358</v>
      </c>
      <c r="D166" s="52" t="s">
        <v>159</v>
      </c>
      <c r="E166" s="52" t="s">
        <v>230</v>
      </c>
    </row>
    <row r="167">
      <c r="A167" s="20" t="s">
        <v>336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359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362</v>
      </c>
      <c r="B173" s="52" t="s">
        <v>363</v>
      </c>
      <c r="C173" s="53" t="s">
        <v>364</v>
      </c>
      <c r="D173" s="20"/>
      <c r="E173" s="20"/>
    </row>
    <row r="174">
      <c r="A174" s="25" t="s">
        <v>365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366</v>
      </c>
      <c r="B180" s="38"/>
      <c r="C180" s="38"/>
      <c r="D180" s="38"/>
      <c r="E180" s="38"/>
    </row>
    <row r="181">
      <c r="A181" s="45" t="s">
        <v>367</v>
      </c>
      <c r="B181" s="45"/>
      <c r="C181" s="45"/>
      <c r="D181" s="45"/>
      <c r="E181" s="45"/>
    </row>
    <row r="182">
      <c r="A182" s="20" t="s">
        <v>368</v>
      </c>
      <c r="B182" s="46" t="s">
        <v>299</v>
      </c>
      <c r="C182" s="216"/>
      <c r="D182" s="20"/>
      <c r="E182" s="20"/>
    </row>
    <row r="183">
      <c r="A183" s="20" t="s">
        <v>369</v>
      </c>
      <c r="B183" s="46" t="s">
        <v>299</v>
      </c>
      <c r="C183" s="216"/>
      <c r="D183" s="20"/>
      <c r="E183" s="20"/>
    </row>
    <row r="184">
      <c r="A184" s="25" t="s">
        <v>370</v>
      </c>
      <c r="B184" s="46" t="s">
        <v>299</v>
      </c>
      <c r="C184" s="216"/>
      <c r="D184" s="20"/>
      <c r="E184" s="20"/>
    </row>
    <row r="185">
      <c r="A185" s="20" t="s">
        <v>371</v>
      </c>
      <c r="B185" s="46" t="s">
        <v>299</v>
      </c>
      <c r="C185" s="216"/>
      <c r="D185" s="20"/>
      <c r="E185" s="20"/>
    </row>
    <row r="186">
      <c r="A186" s="20" t="s">
        <v>372</v>
      </c>
      <c r="B186" s="46" t="s">
        <v>299</v>
      </c>
      <c r="C186" s="216"/>
      <c r="D186" s="20"/>
      <c r="E186" s="20"/>
    </row>
    <row r="187">
      <c r="A187" s="20" t="s">
        <v>373</v>
      </c>
      <c r="B187" s="46" t="s">
        <v>299</v>
      </c>
      <c r="C187" s="216"/>
      <c r="D187" s="20"/>
      <c r="E187" s="20"/>
    </row>
    <row r="188">
      <c r="A188" s="20" t="s">
        <v>374</v>
      </c>
      <c r="B188" s="46" t="s">
        <v>299</v>
      </c>
      <c r="C188" s="216"/>
      <c r="D188" s="20"/>
      <c r="E188" s="20"/>
    </row>
    <row r="189">
      <c r="A189" s="20" t="s">
        <v>374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375</v>
      </c>
      <c r="B191" s="45"/>
      <c r="C191" s="45"/>
      <c r="D191" s="45"/>
      <c r="E191" s="45"/>
    </row>
    <row r="192">
      <c r="A192" s="20" t="s">
        <v>376</v>
      </c>
      <c r="B192" s="46" t="s">
        <v>299</v>
      </c>
      <c r="C192" s="216"/>
      <c r="D192" s="20"/>
      <c r="E192" s="20"/>
    </row>
    <row r="193">
      <c r="A193" s="20" t="s">
        <v>377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378</v>
      </c>
      <c r="B195" s="45"/>
      <c r="C195" s="45"/>
      <c r="D195" s="45"/>
      <c r="E195" s="45"/>
    </row>
    <row r="196">
      <c r="A196" s="20" t="s">
        <v>379</v>
      </c>
      <c r="B196" s="46" t="s">
        <v>299</v>
      </c>
      <c r="C196" s="47"/>
      <c r="D196" s="20"/>
      <c r="E196" s="20"/>
    </row>
    <row r="197">
      <c r="A197" s="20" t="s">
        <v>380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381</v>
      </c>
      <c r="B199" s="45"/>
      <c r="C199" s="45"/>
      <c r="D199" s="45"/>
      <c r="E199" s="45"/>
    </row>
    <row r="200">
      <c r="A200" s="20" t="s">
        <v>382</v>
      </c>
      <c r="B200" s="46" t="s">
        <v>299</v>
      </c>
      <c r="C200" s="47"/>
      <c r="D200" s="20"/>
      <c r="E200" s="20"/>
    </row>
    <row r="201">
      <c r="A201" s="20" t="s">
        <v>383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384</v>
      </c>
      <c r="B204" s="45"/>
      <c r="C204" s="45"/>
      <c r="D204" s="45"/>
      <c r="E204" s="45"/>
    </row>
    <row r="205">
      <c r="A205" s="20" t="s">
        <v>385</v>
      </c>
      <c r="B205" s="46" t="s">
        <v>299</v>
      </c>
      <c r="C205" s="47"/>
      <c r="D205" s="20"/>
      <c r="E205" s="20"/>
    </row>
    <row r="206">
      <c r="A206" s="20" t="s">
        <v>386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387</v>
      </c>
      <c r="B209" s="38"/>
      <c r="C209" s="38"/>
      <c r="D209" s="38"/>
      <c r="E209" s="38"/>
    </row>
    <row r="210">
      <c r="A210" s="49" t="s">
        <v>388</v>
      </c>
      <c r="B210" s="38"/>
      <c r="C210" s="38"/>
      <c r="D210" s="38"/>
      <c r="E210" s="38"/>
    </row>
    <row r="211">
      <c r="A211" s="26"/>
      <c r="B211" s="22" t="s">
        <v>389</v>
      </c>
      <c r="C211" s="21" t="s">
        <v>390</v>
      </c>
      <c r="D211" s="22" t="s">
        <v>391</v>
      </c>
      <c r="E211" s="22" t="s">
        <v>392</v>
      </c>
    </row>
    <row r="212">
      <c r="A212" s="20" t="s">
        <v>393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394</v>
      </c>
      <c r="B213" s="220"/>
      <c r="C213" s="216"/>
      <c r="D213" s="220"/>
      <c r="E213" s="32">
        <f t="shared" si="16"/>
        <v>0</v>
      </c>
    </row>
    <row r="214">
      <c r="A214" s="20" t="s">
        <v>395</v>
      </c>
      <c r="B214" s="220"/>
      <c r="C214" s="216"/>
      <c r="D214" s="220"/>
      <c r="E214" s="32">
        <f t="shared" si="16"/>
        <v>0</v>
      </c>
    </row>
    <row r="215">
      <c r="A215" s="20" t="s">
        <v>396</v>
      </c>
      <c r="B215" s="220"/>
      <c r="C215" s="216"/>
      <c r="D215" s="220"/>
      <c r="E215" s="32">
        <f t="shared" si="16"/>
        <v>0</v>
      </c>
    </row>
    <row r="216">
      <c r="A216" s="20" t="s">
        <v>397</v>
      </c>
      <c r="B216" s="220"/>
      <c r="C216" s="216"/>
      <c r="D216" s="220"/>
      <c r="E216" s="32">
        <f t="shared" si="16"/>
        <v>0</v>
      </c>
    </row>
    <row r="217">
      <c r="A217" s="20" t="s">
        <v>398</v>
      </c>
      <c r="B217" s="220"/>
      <c r="C217" s="216"/>
      <c r="D217" s="220"/>
      <c r="E217" s="32">
        <f t="shared" si="16"/>
        <v>0</v>
      </c>
    </row>
    <row r="218">
      <c r="A218" s="20" t="s">
        <v>399</v>
      </c>
      <c r="B218" s="220"/>
      <c r="C218" s="216"/>
      <c r="D218" s="220"/>
      <c r="E218" s="32">
        <f t="shared" si="16"/>
        <v>0</v>
      </c>
    </row>
    <row r="219">
      <c r="A219" s="20" t="s">
        <v>400</v>
      </c>
      <c r="B219" s="220"/>
      <c r="C219" s="216"/>
      <c r="D219" s="220"/>
      <c r="E219" s="32">
        <f t="shared" si="16"/>
        <v>0</v>
      </c>
    </row>
    <row r="220">
      <c r="A220" s="20" t="s">
        <v>401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402</v>
      </c>
      <c r="B223" s="49"/>
      <c r="C223" s="49"/>
      <c r="D223" s="49"/>
      <c r="E223" s="49"/>
    </row>
    <row r="224">
      <c r="A224" s="26"/>
      <c r="B224" s="22" t="s">
        <v>389</v>
      </c>
      <c r="C224" s="21" t="s">
        <v>390</v>
      </c>
      <c r="D224" s="22" t="s">
        <v>391</v>
      </c>
      <c r="E224" s="22" t="s">
        <v>392</v>
      </c>
    </row>
    <row r="225">
      <c r="A225" s="20" t="s">
        <v>393</v>
      </c>
      <c r="B225" s="55"/>
      <c r="C225" s="54"/>
      <c r="D225" s="55"/>
      <c r="E225" s="20"/>
    </row>
    <row r="226">
      <c r="A226" s="20" t="s">
        <v>394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395</v>
      </c>
      <c r="B227" s="220"/>
      <c r="C227" s="216"/>
      <c r="D227" s="220"/>
      <c r="E227" s="32">
        <f t="shared" si="17"/>
        <v>0</v>
      </c>
    </row>
    <row r="228">
      <c r="A228" s="20" t="s">
        <v>396</v>
      </c>
      <c r="B228" s="220"/>
      <c r="C228" s="216"/>
      <c r="D228" s="220"/>
      <c r="E228" s="32">
        <f t="shared" si="17"/>
        <v>0</v>
      </c>
    </row>
    <row r="229">
      <c r="A229" s="20" t="s">
        <v>397</v>
      </c>
      <c r="B229" s="220"/>
      <c r="C229" s="216"/>
      <c r="D229" s="220"/>
      <c r="E229" s="32">
        <f t="shared" si="17"/>
        <v>0</v>
      </c>
    </row>
    <row r="230">
      <c r="A230" s="20" t="s">
        <v>398</v>
      </c>
      <c r="B230" s="220"/>
      <c r="C230" s="216"/>
      <c r="D230" s="220"/>
      <c r="E230" s="32">
        <f t="shared" si="17"/>
        <v>0</v>
      </c>
    </row>
    <row r="231">
      <c r="A231" s="20" t="s">
        <v>399</v>
      </c>
      <c r="B231" s="220"/>
      <c r="C231" s="216"/>
      <c r="D231" s="220"/>
      <c r="E231" s="32">
        <f t="shared" si="17"/>
        <v>0</v>
      </c>
    </row>
    <row r="232">
      <c r="A232" s="20" t="s">
        <v>400</v>
      </c>
      <c r="B232" s="220"/>
      <c r="C232" s="216"/>
      <c r="D232" s="220"/>
      <c r="E232" s="32">
        <f t="shared" si="17"/>
        <v>0</v>
      </c>
    </row>
    <row r="233">
      <c r="A233" s="20" t="s">
        <v>401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403</v>
      </c>
      <c r="B236" s="38"/>
      <c r="C236" s="38"/>
      <c r="D236" s="38"/>
      <c r="E236" s="38"/>
    </row>
    <row r="237">
      <c r="A237" s="38"/>
      <c r="B237" s="344" t="s">
        <v>404</v>
      </c>
      <c r="C237" s="344"/>
      <c r="D237" s="38"/>
      <c r="E237" s="38"/>
    </row>
    <row r="238">
      <c r="A238" s="56" t="s">
        <v>404</v>
      </c>
      <c r="B238" s="38"/>
      <c r="C238" s="216"/>
      <c r="D238" s="40">
        <f>C238</f>
        <v>0</v>
      </c>
      <c r="E238" s="38"/>
    </row>
    <row r="239">
      <c r="A239" s="45" t="s">
        <v>405</v>
      </c>
      <c r="B239" s="45"/>
      <c r="C239" s="45"/>
      <c r="D239" s="45"/>
      <c r="E239" s="45"/>
    </row>
    <row r="240">
      <c r="A240" s="20" t="s">
        <v>406</v>
      </c>
      <c r="B240" s="46" t="s">
        <v>299</v>
      </c>
      <c r="C240" s="216"/>
      <c r="D240" s="20"/>
      <c r="E240" s="20"/>
    </row>
    <row r="241">
      <c r="A241" s="20" t="s">
        <v>407</v>
      </c>
      <c r="B241" s="46" t="s">
        <v>299</v>
      </c>
      <c r="C241" s="216"/>
      <c r="D241" s="20"/>
      <c r="E241" s="20"/>
    </row>
    <row r="242">
      <c r="A242" s="20" t="s">
        <v>408</v>
      </c>
      <c r="B242" s="46" t="s">
        <v>299</v>
      </c>
      <c r="C242" s="216"/>
      <c r="D242" s="20"/>
      <c r="E242" s="20"/>
    </row>
    <row r="243">
      <c r="A243" s="20" t="s">
        <v>409</v>
      </c>
      <c r="B243" s="46" t="s">
        <v>299</v>
      </c>
      <c r="C243" s="216"/>
      <c r="D243" s="20"/>
      <c r="E243" s="20"/>
    </row>
    <row r="244">
      <c r="A244" s="20" t="s">
        <v>410</v>
      </c>
      <c r="B244" s="46" t="s">
        <v>299</v>
      </c>
      <c r="C244" s="216"/>
      <c r="D244" s="20"/>
      <c r="E244" s="20"/>
    </row>
    <row r="245">
      <c r="A245" s="20" t="s">
        <v>411</v>
      </c>
      <c r="B245" s="46" t="s">
        <v>299</v>
      </c>
      <c r="C245" s="216"/>
      <c r="D245" s="20"/>
      <c r="E245" s="20"/>
    </row>
    <row r="246">
      <c r="A246" s="20" t="s">
        <v>412</v>
      </c>
      <c r="B246" s="20"/>
      <c r="C246" s="27"/>
      <c r="D246" s="32">
        <f>SUM(C240:C245)</f>
        <v>0</v>
      </c>
      <c r="E246" s="20"/>
    </row>
    <row r="247">
      <c r="A247" s="45" t="s">
        <v>413</v>
      </c>
      <c r="B247" s="45"/>
      <c r="C247" s="45"/>
      <c r="D247" s="45"/>
      <c r="E247" s="45"/>
    </row>
    <row r="248">
      <c r="A248" s="26" t="s">
        <v>414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415</v>
      </c>
      <c r="B250" s="46" t="s">
        <v>299</v>
      </c>
      <c r="C250" s="216"/>
      <c r="D250" s="20"/>
      <c r="E250" s="20"/>
    </row>
    <row r="251">
      <c r="A251" s="26" t="s">
        <v>416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417</v>
      </c>
      <c r="B253" s="20"/>
      <c r="C253" s="27"/>
      <c r="D253" s="32">
        <f>SUM(C250:C252)</f>
        <v>0</v>
      </c>
      <c r="E253" s="20"/>
    </row>
    <row r="254">
      <c r="A254" s="45" t="s">
        <v>418</v>
      </c>
      <c r="B254" s="45"/>
      <c r="C254" s="45"/>
      <c r="D254" s="45"/>
      <c r="E254" s="45"/>
    </row>
    <row r="255">
      <c r="A255" s="20" t="s">
        <v>419</v>
      </c>
      <c r="B255" s="46" t="s">
        <v>299</v>
      </c>
      <c r="C255" s="47"/>
      <c r="D255" s="20"/>
      <c r="E255" s="20"/>
    </row>
    <row r="256">
      <c r="A256" s="20" t="s">
        <v>418</v>
      </c>
      <c r="B256" s="46" t="s">
        <v>299</v>
      </c>
      <c r="C256" s="47"/>
      <c r="D256" s="20"/>
      <c r="E256" s="20"/>
    </row>
    <row r="257">
      <c r="A257" s="20" t="s">
        <v>420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421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422</v>
      </c>
      <c r="B265" s="38"/>
      <c r="C265" s="38"/>
      <c r="D265" s="38"/>
      <c r="E265" s="38"/>
    </row>
    <row r="266">
      <c r="A266" s="45" t="s">
        <v>423</v>
      </c>
      <c r="B266" s="45"/>
      <c r="C266" s="45"/>
      <c r="D266" s="45"/>
      <c r="E266" s="45"/>
    </row>
    <row r="267">
      <c r="A267" s="20" t="s">
        <v>424</v>
      </c>
      <c r="B267" s="46" t="s">
        <v>299</v>
      </c>
      <c r="C267" s="216"/>
      <c r="D267" s="20"/>
      <c r="E267" s="20"/>
    </row>
    <row r="268">
      <c r="A268" s="20" t="s">
        <v>425</v>
      </c>
      <c r="B268" s="46" t="s">
        <v>299</v>
      </c>
      <c r="C268" s="216"/>
      <c r="D268" s="20"/>
      <c r="E268" s="20"/>
    </row>
    <row r="269">
      <c r="A269" s="20" t="s">
        <v>426</v>
      </c>
      <c r="B269" s="46" t="s">
        <v>299</v>
      </c>
      <c r="C269" s="216"/>
      <c r="D269" s="20"/>
      <c r="E269" s="20"/>
    </row>
    <row r="270">
      <c r="A270" s="20" t="s">
        <v>427</v>
      </c>
      <c r="B270" s="46" t="s">
        <v>299</v>
      </c>
      <c r="C270" s="216"/>
      <c r="D270" s="20"/>
      <c r="E270" s="20"/>
    </row>
    <row r="271">
      <c r="A271" s="20" t="s">
        <v>428</v>
      </c>
      <c r="B271" s="46" t="s">
        <v>299</v>
      </c>
      <c r="C271" s="216"/>
      <c r="D271" s="20"/>
      <c r="E271" s="20"/>
    </row>
    <row r="272">
      <c r="A272" s="20" t="s">
        <v>429</v>
      </c>
      <c r="B272" s="46" t="s">
        <v>299</v>
      </c>
      <c r="C272" s="216"/>
      <c r="D272" s="20"/>
      <c r="E272" s="20"/>
    </row>
    <row r="273">
      <c r="A273" s="20" t="s">
        <v>430</v>
      </c>
      <c r="B273" s="46" t="s">
        <v>299</v>
      </c>
      <c r="C273" s="216"/>
      <c r="D273" s="20"/>
      <c r="E273" s="20"/>
    </row>
    <row r="274">
      <c r="A274" s="20" t="s">
        <v>431</v>
      </c>
      <c r="B274" s="46" t="s">
        <v>299</v>
      </c>
      <c r="C274" s="216"/>
      <c r="D274" s="20"/>
      <c r="E274" s="20"/>
    </row>
    <row r="275">
      <c r="A275" s="20" t="s">
        <v>432</v>
      </c>
      <c r="B275" s="46" t="s">
        <v>299</v>
      </c>
      <c r="C275" s="216"/>
      <c r="D275" s="20"/>
      <c r="E275" s="20"/>
    </row>
    <row r="276">
      <c r="A276" s="20" t="s">
        <v>433</v>
      </c>
      <c r="B276" s="46" t="s">
        <v>299</v>
      </c>
      <c r="C276" s="216"/>
      <c r="D276" s="20"/>
      <c r="E276" s="20"/>
    </row>
    <row r="277">
      <c r="A277" s="20" t="s">
        <v>434</v>
      </c>
      <c r="B277" s="20"/>
      <c r="C277" s="27"/>
      <c r="D277" s="32">
        <f>SUM(C267:C269)-C270+SUM(C271:C276)</f>
        <v>0</v>
      </c>
      <c r="E277" s="20"/>
    </row>
    <row r="278">
      <c r="A278" s="45" t="s">
        <v>435</v>
      </c>
      <c r="B278" s="45"/>
      <c r="C278" s="45"/>
      <c r="D278" s="45"/>
      <c r="E278" s="45"/>
    </row>
    <row r="279">
      <c r="A279" s="20" t="s">
        <v>424</v>
      </c>
      <c r="B279" s="46" t="s">
        <v>299</v>
      </c>
      <c r="C279" s="47"/>
      <c r="D279" s="20"/>
      <c r="E279" s="20"/>
    </row>
    <row r="280">
      <c r="A280" s="20" t="s">
        <v>425</v>
      </c>
      <c r="B280" s="46" t="s">
        <v>299</v>
      </c>
      <c r="C280" s="47"/>
      <c r="D280" s="20"/>
      <c r="E280" s="20"/>
    </row>
    <row r="281">
      <c r="A281" s="20" t="s">
        <v>436</v>
      </c>
      <c r="B281" s="46" t="s">
        <v>299</v>
      </c>
      <c r="C281" s="47"/>
      <c r="D281" s="20"/>
      <c r="E281" s="20"/>
    </row>
    <row r="282">
      <c r="A282" s="20" t="s">
        <v>437</v>
      </c>
      <c r="B282" s="20"/>
      <c r="C282" s="27"/>
      <c r="D282" s="32">
        <f>SUM(C279:C281)</f>
        <v>0</v>
      </c>
      <c r="E282" s="20"/>
    </row>
    <row r="283">
      <c r="A283" s="45" t="s">
        <v>438</v>
      </c>
      <c r="B283" s="45"/>
      <c r="C283" s="45"/>
      <c r="D283" s="45"/>
      <c r="E283" s="45"/>
    </row>
    <row r="284">
      <c r="A284" s="20" t="s">
        <v>393</v>
      </c>
      <c r="B284" s="46" t="s">
        <v>299</v>
      </c>
      <c r="C284" s="216"/>
      <c r="D284" s="20"/>
      <c r="E284" s="20"/>
    </row>
    <row r="285">
      <c r="A285" s="20" t="s">
        <v>394</v>
      </c>
      <c r="B285" s="46" t="s">
        <v>299</v>
      </c>
      <c r="C285" s="216"/>
      <c r="D285" s="20"/>
      <c r="E285" s="20"/>
    </row>
    <row r="286">
      <c r="A286" s="20" t="s">
        <v>395</v>
      </c>
      <c r="B286" s="46" t="s">
        <v>299</v>
      </c>
      <c r="C286" s="216"/>
      <c r="D286" s="20"/>
      <c r="E286" s="20"/>
    </row>
    <row r="287">
      <c r="A287" s="20" t="s">
        <v>439</v>
      </c>
      <c r="B287" s="46" t="s">
        <v>299</v>
      </c>
      <c r="C287" s="216"/>
      <c r="D287" s="20"/>
      <c r="E287" s="20"/>
    </row>
    <row r="288">
      <c r="A288" s="20" t="s">
        <v>440</v>
      </c>
      <c r="B288" s="46" t="s">
        <v>299</v>
      </c>
      <c r="C288" s="216"/>
      <c r="D288" s="20"/>
      <c r="E288" s="20"/>
    </row>
    <row r="289">
      <c r="A289" s="20" t="s">
        <v>441</v>
      </c>
      <c r="B289" s="46" t="s">
        <v>299</v>
      </c>
      <c r="C289" s="216"/>
      <c r="D289" s="20"/>
      <c r="E289" s="20"/>
    </row>
    <row r="290">
      <c r="A290" s="20" t="s">
        <v>400</v>
      </c>
      <c r="B290" s="46" t="s">
        <v>299</v>
      </c>
      <c r="C290" s="216"/>
      <c r="D290" s="20"/>
      <c r="E290" s="20"/>
    </row>
    <row r="291">
      <c r="A291" s="20" t="s">
        <v>401</v>
      </c>
      <c r="B291" s="46" t="s">
        <v>299</v>
      </c>
      <c r="C291" s="216"/>
      <c r="D291" s="20"/>
      <c r="E291" s="20"/>
    </row>
    <row r="292">
      <c r="A292" s="20" t="s">
        <v>442</v>
      </c>
      <c r="B292" s="20"/>
      <c r="C292" s="27"/>
      <c r="D292" s="32">
        <f>SUM(C284:C291)</f>
        <v>0</v>
      </c>
      <c r="E292" s="20"/>
    </row>
    <row r="293">
      <c r="A293" s="20" t="s">
        <v>443</v>
      </c>
      <c r="B293" s="46" t="s">
        <v>299</v>
      </c>
      <c r="C293" s="47"/>
      <c r="D293" s="20"/>
      <c r="E293" s="20"/>
    </row>
    <row r="294">
      <c r="A294" s="20" t="s">
        <v>444</v>
      </c>
      <c r="B294" s="20"/>
      <c r="C294" s="27"/>
      <c r="D294" s="32">
        <f>D292-C293</f>
        <v>0</v>
      </c>
      <c r="E294" s="20"/>
    </row>
    <row r="295">
      <c r="A295" s="45" t="s">
        <v>445</v>
      </c>
      <c r="B295" s="45"/>
      <c r="C295" s="45"/>
      <c r="D295" s="45"/>
      <c r="E295" s="45"/>
    </row>
    <row r="296">
      <c r="A296" s="20" t="s">
        <v>446</v>
      </c>
      <c r="B296" s="46" t="s">
        <v>299</v>
      </c>
      <c r="C296" s="216"/>
      <c r="D296" s="20"/>
      <c r="E296" s="20"/>
    </row>
    <row r="297">
      <c r="A297" s="20" t="s">
        <v>447</v>
      </c>
      <c r="B297" s="46" t="s">
        <v>299</v>
      </c>
      <c r="C297" s="216"/>
      <c r="D297" s="20"/>
      <c r="E297" s="20"/>
    </row>
    <row r="298">
      <c r="A298" s="20" t="s">
        <v>448</v>
      </c>
      <c r="B298" s="46" t="s">
        <v>299</v>
      </c>
      <c r="C298" s="216"/>
      <c r="D298" s="20"/>
      <c r="E298" s="20"/>
    </row>
    <row r="299">
      <c r="A299" s="20" t="s">
        <v>436</v>
      </c>
      <c r="B299" s="46" t="s">
        <v>299</v>
      </c>
      <c r="C299" s="216"/>
      <c r="D299" s="20"/>
      <c r="E299" s="20"/>
    </row>
    <row r="300">
      <c r="A300" s="20" t="s">
        <v>449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450</v>
      </c>
      <c r="B302" s="45"/>
      <c r="C302" s="45"/>
      <c r="D302" s="45"/>
      <c r="E302" s="45"/>
    </row>
    <row r="303">
      <c r="A303" s="20" t="s">
        <v>451</v>
      </c>
      <c r="B303" s="46" t="s">
        <v>299</v>
      </c>
      <c r="C303" s="216"/>
      <c r="D303" s="20"/>
      <c r="E303" s="20"/>
    </row>
    <row r="304">
      <c r="A304" s="20" t="s">
        <v>452</v>
      </c>
      <c r="B304" s="46" t="s">
        <v>299</v>
      </c>
      <c r="C304" s="216"/>
      <c r="D304" s="20"/>
      <c r="E304" s="20"/>
    </row>
    <row r="305">
      <c r="A305" s="20" t="s">
        <v>453</v>
      </c>
      <c r="B305" s="46" t="s">
        <v>299</v>
      </c>
      <c r="C305" s="216"/>
      <c r="D305" s="20"/>
      <c r="E305" s="20"/>
    </row>
    <row r="306">
      <c r="A306" s="20" t="s">
        <v>454</v>
      </c>
      <c r="B306" s="46" t="s">
        <v>299</v>
      </c>
      <c r="C306" s="216"/>
      <c r="D306" s="20"/>
      <c r="E306" s="20"/>
    </row>
    <row r="307">
      <c r="A307" s="20" t="s">
        <v>455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456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457</v>
      </c>
      <c r="B313" s="38"/>
      <c r="C313" s="38"/>
      <c r="D313" s="38"/>
      <c r="E313" s="38"/>
    </row>
    <row r="314">
      <c r="A314" s="45" t="s">
        <v>458</v>
      </c>
      <c r="B314" s="45"/>
      <c r="C314" s="45"/>
      <c r="D314" s="45"/>
      <c r="E314" s="45"/>
    </row>
    <row r="315">
      <c r="A315" s="20" t="s">
        <v>459</v>
      </c>
      <c r="B315" s="46" t="s">
        <v>299</v>
      </c>
      <c r="C315" s="216"/>
      <c r="D315" s="20"/>
      <c r="E315" s="20"/>
    </row>
    <row r="316">
      <c r="A316" s="20" t="s">
        <v>460</v>
      </c>
      <c r="B316" s="46" t="s">
        <v>299</v>
      </c>
      <c r="C316" s="216"/>
      <c r="D316" s="20"/>
      <c r="E316" s="20"/>
    </row>
    <row r="317">
      <c r="A317" s="20" t="s">
        <v>461</v>
      </c>
      <c r="B317" s="46" t="s">
        <v>299</v>
      </c>
      <c r="C317" s="216"/>
      <c r="D317" s="20"/>
      <c r="E317" s="20"/>
    </row>
    <row r="318">
      <c r="A318" s="20" t="s">
        <v>462</v>
      </c>
      <c r="B318" s="46" t="s">
        <v>299</v>
      </c>
      <c r="C318" s="216"/>
      <c r="D318" s="20"/>
      <c r="E318" s="20"/>
    </row>
    <row r="319">
      <c r="A319" s="20" t="s">
        <v>463</v>
      </c>
      <c r="B319" s="46" t="s">
        <v>299</v>
      </c>
      <c r="C319" s="216"/>
      <c r="D319" s="20"/>
      <c r="E319" s="20"/>
    </row>
    <row r="320">
      <c r="A320" s="20" t="s">
        <v>464</v>
      </c>
      <c r="B320" s="46" t="s">
        <v>299</v>
      </c>
      <c r="C320" s="216"/>
      <c r="D320" s="20"/>
      <c r="E320" s="20"/>
    </row>
    <row r="321">
      <c r="A321" s="20" t="s">
        <v>465</v>
      </c>
      <c r="B321" s="46" t="s">
        <v>299</v>
      </c>
      <c r="C321" s="216"/>
      <c r="D321" s="20"/>
      <c r="E321" s="20"/>
    </row>
    <row r="322">
      <c r="A322" s="20" t="s">
        <v>466</v>
      </c>
      <c r="B322" s="46" t="s">
        <v>299</v>
      </c>
      <c r="C322" s="216"/>
      <c r="D322" s="20"/>
      <c r="E322" s="20"/>
    </row>
    <row r="323">
      <c r="A323" s="20" t="s">
        <v>467</v>
      </c>
      <c r="B323" s="46" t="s">
        <v>299</v>
      </c>
      <c r="C323" s="216"/>
      <c r="D323" s="20"/>
      <c r="E323" s="20"/>
    </row>
    <row r="324">
      <c r="A324" s="20" t="s">
        <v>468</v>
      </c>
      <c r="B324" s="46" t="s">
        <v>299</v>
      </c>
      <c r="C324" s="216"/>
      <c r="D324" s="20"/>
      <c r="E324" s="20"/>
    </row>
    <row r="325">
      <c r="A325" s="20" t="s">
        <v>469</v>
      </c>
      <c r="B325" s="20"/>
      <c r="C325" s="27"/>
      <c r="D325" s="32">
        <f>SUM(C315:C324)</f>
        <v>0</v>
      </c>
      <c r="E325" s="20"/>
    </row>
    <row r="326">
      <c r="A326" s="45" t="s">
        <v>470</v>
      </c>
      <c r="B326" s="45"/>
      <c r="C326" s="45"/>
      <c r="D326" s="45"/>
      <c r="E326" s="45"/>
    </row>
    <row r="327">
      <c r="A327" s="20" t="s">
        <v>471</v>
      </c>
      <c r="B327" s="46" t="s">
        <v>299</v>
      </c>
      <c r="C327" s="216"/>
      <c r="D327" s="20"/>
      <c r="E327" s="20"/>
    </row>
    <row r="328">
      <c r="A328" s="20" t="s">
        <v>472</v>
      </c>
      <c r="B328" s="46" t="s">
        <v>299</v>
      </c>
      <c r="C328" s="216"/>
      <c r="D328" s="20"/>
      <c r="E328" s="20"/>
    </row>
    <row r="329">
      <c r="A329" s="20" t="s">
        <v>473</v>
      </c>
      <c r="B329" s="46" t="s">
        <v>299</v>
      </c>
      <c r="C329" s="216"/>
      <c r="D329" s="20"/>
      <c r="E329" s="20"/>
    </row>
    <row r="330">
      <c r="A330" s="20" t="s">
        <v>474</v>
      </c>
      <c r="B330" s="20"/>
      <c r="C330" s="27"/>
      <c r="D330" s="32">
        <f>SUM(C327:C329)</f>
        <v>0</v>
      </c>
      <c r="E330" s="20"/>
    </row>
    <row r="331">
      <c r="A331" s="45" t="s">
        <v>475</v>
      </c>
      <c r="B331" s="45"/>
      <c r="C331" s="45"/>
      <c r="D331" s="45"/>
      <c r="E331" s="45"/>
    </row>
    <row r="332">
      <c r="A332" s="20" t="s">
        <v>476</v>
      </c>
      <c r="B332" s="46" t="s">
        <v>299</v>
      </c>
      <c r="C332" s="216"/>
      <c r="D332" s="20"/>
      <c r="E332" s="20"/>
    </row>
    <row r="333">
      <c r="A333" s="20" t="s">
        <v>477</v>
      </c>
      <c r="B333" s="46" t="s">
        <v>299</v>
      </c>
      <c r="C333" s="216"/>
      <c r="D333" s="20"/>
      <c r="E333" s="20"/>
    </row>
    <row r="334">
      <c r="A334" s="20" t="s">
        <v>478</v>
      </c>
      <c r="B334" s="46" t="s">
        <v>299</v>
      </c>
      <c r="C334" s="216"/>
      <c r="D334" s="20"/>
      <c r="E334" s="20"/>
    </row>
    <row r="335">
      <c r="A335" s="26" t="s">
        <v>479</v>
      </c>
      <c r="B335" s="46" t="s">
        <v>299</v>
      </c>
      <c r="C335" s="216"/>
      <c r="D335" s="20"/>
      <c r="E335" s="20"/>
    </row>
    <row r="336">
      <c r="A336" s="20" t="s">
        <v>480</v>
      </c>
      <c r="B336" s="46" t="s">
        <v>299</v>
      </c>
      <c r="C336" s="216"/>
      <c r="D336" s="20"/>
      <c r="E336" s="20"/>
    </row>
    <row r="337">
      <c r="A337" s="26" t="s">
        <v>481</v>
      </c>
      <c r="B337" s="46" t="s">
        <v>299</v>
      </c>
      <c r="C337" s="216"/>
      <c r="D337" s="20"/>
      <c r="E337" s="20"/>
    </row>
    <row r="338">
      <c r="A338" s="26" t="s">
        <v>482</v>
      </c>
      <c r="B338" s="46" t="s">
        <v>299</v>
      </c>
      <c r="C338" s="272"/>
      <c r="D338" s="20"/>
      <c r="E338" s="20"/>
    </row>
    <row r="339">
      <c r="A339" s="20" t="s">
        <v>483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484</v>
      </c>
      <c r="B341" s="20"/>
      <c r="C341" s="27"/>
      <c r="D341" s="32">
        <f>C324</f>
        <v>0</v>
      </c>
      <c r="E341" s="20"/>
    </row>
    <row r="342">
      <c r="A342" s="20" t="s">
        <v>485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486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487</v>
      </c>
      <c r="B346" s="46" t="s">
        <v>299</v>
      </c>
      <c r="C346" s="234"/>
      <c r="D346" s="20"/>
      <c r="E346" s="20"/>
    </row>
    <row r="347">
      <c r="A347" s="20" t="s">
        <v>488</v>
      </c>
      <c r="B347" s="46" t="s">
        <v>299</v>
      </c>
      <c r="C347" s="234"/>
      <c r="D347" s="20"/>
      <c r="E347" s="20"/>
    </row>
    <row r="348">
      <c r="A348" s="20" t="s">
        <v>489</v>
      </c>
      <c r="B348" s="46" t="s">
        <v>299</v>
      </c>
      <c r="C348" s="234"/>
      <c r="D348" s="20"/>
      <c r="E348" s="20"/>
    </row>
    <row r="349">
      <c r="A349" s="20" t="s">
        <v>490</v>
      </c>
      <c r="B349" s="46" t="s">
        <v>299</v>
      </c>
      <c r="C349" s="234"/>
      <c r="D349" s="20"/>
      <c r="E349" s="20"/>
    </row>
    <row r="350">
      <c r="A350" s="20" t="s">
        <v>491</v>
      </c>
      <c r="B350" s="46" t="s">
        <v>299</v>
      </c>
      <c r="C350" s="234"/>
      <c r="D350" s="20"/>
      <c r="E350" s="20"/>
    </row>
    <row r="351">
      <c r="A351" s="20" t="s">
        <v>492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493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494</v>
      </c>
      <c r="B357" s="38"/>
      <c r="C357" s="38"/>
      <c r="D357" s="38"/>
      <c r="E357" s="38"/>
    </row>
    <row r="358">
      <c r="A358" s="45" t="s">
        <v>495</v>
      </c>
      <c r="B358" s="45"/>
      <c r="C358" s="45"/>
      <c r="D358" s="45"/>
      <c r="E358" s="45"/>
    </row>
    <row r="359">
      <c r="A359" s="20" t="s">
        <v>496</v>
      </c>
      <c r="B359" s="46" t="s">
        <v>299</v>
      </c>
      <c r="C359" s="235"/>
      <c r="D359" s="20"/>
      <c r="E359" s="20"/>
    </row>
    <row r="360">
      <c r="A360" s="20" t="s">
        <v>497</v>
      </c>
      <c r="B360" s="46" t="s">
        <v>299</v>
      </c>
      <c r="C360" s="235"/>
      <c r="D360" s="20"/>
      <c r="E360" s="20"/>
    </row>
    <row r="361">
      <c r="A361" s="20" t="s">
        <v>498</v>
      </c>
      <c r="B361" s="20"/>
      <c r="C361" s="27"/>
      <c r="D361" s="32">
        <f>SUM(C359:C360)</f>
        <v>0</v>
      </c>
      <c r="E361" s="20"/>
    </row>
    <row r="362">
      <c r="A362" s="45" t="s">
        <v>499</v>
      </c>
      <c r="B362" s="45"/>
      <c r="C362" s="45"/>
      <c r="D362" s="45"/>
      <c r="E362" s="45"/>
    </row>
    <row r="363">
      <c r="A363" s="20" t="s">
        <v>404</v>
      </c>
      <c r="B363" s="45"/>
      <c r="C363" s="216"/>
      <c r="D363" s="20"/>
      <c r="E363" s="45"/>
    </row>
    <row r="364">
      <c r="A364" s="20" t="s">
        <v>500</v>
      </c>
      <c r="B364" s="46" t="s">
        <v>299</v>
      </c>
      <c r="C364" s="216"/>
      <c r="D364" s="20"/>
      <c r="E364" s="20"/>
    </row>
    <row r="365">
      <c r="A365" s="20" t="s">
        <v>501</v>
      </c>
      <c r="B365" s="46" t="s">
        <v>299</v>
      </c>
      <c r="C365" s="216"/>
      <c r="D365" s="20"/>
      <c r="E365" s="20"/>
    </row>
    <row r="366">
      <c r="A366" s="20" t="s">
        <v>502</v>
      </c>
      <c r="B366" s="46" t="s">
        <v>299</v>
      </c>
      <c r="C366" s="216"/>
      <c r="D366" s="20"/>
      <c r="E366" s="20"/>
    </row>
    <row r="367">
      <c r="A367" s="20" t="s">
        <v>421</v>
      </c>
      <c r="B367" s="20"/>
      <c r="C367" s="27"/>
      <c r="D367" s="32">
        <f>SUM(C363:C366)</f>
        <v>0</v>
      </c>
      <c r="E367" s="20"/>
    </row>
    <row r="368">
      <c r="A368" s="20" t="s">
        <v>503</v>
      </c>
      <c r="B368" s="20"/>
      <c r="C368" s="27"/>
      <c r="D368" s="32">
        <f>D361-D367</f>
        <v>0</v>
      </c>
      <c r="E368" s="20"/>
    </row>
    <row r="369">
      <c r="A369" s="58" t="s">
        <v>504</v>
      </c>
      <c r="B369" s="45"/>
      <c r="C369" s="45"/>
      <c r="D369" s="45"/>
      <c r="E369" s="45"/>
    </row>
    <row r="370">
      <c r="A370" s="32" t="s">
        <v>505</v>
      </c>
      <c r="B370" s="20"/>
      <c r="C370" s="20"/>
      <c r="D370" s="20"/>
      <c r="E370" s="20"/>
    </row>
    <row r="371">
      <c r="A371" s="59" t="s">
        <v>506</v>
      </c>
      <c r="B371" s="40" t="s">
        <v>299</v>
      </c>
      <c r="C371" s="273"/>
      <c r="D371" s="32"/>
      <c r="E371" s="32"/>
    </row>
    <row r="372">
      <c r="A372" s="59" t="s">
        <v>507</v>
      </c>
      <c r="B372" s="40" t="s">
        <v>299</v>
      </c>
      <c r="C372" s="273"/>
      <c r="D372" s="32"/>
      <c r="E372" s="32"/>
    </row>
    <row r="373">
      <c r="A373" s="59" t="s">
        <v>508</v>
      </c>
      <c r="B373" s="40" t="s">
        <v>299</v>
      </c>
      <c r="C373" s="273"/>
      <c r="D373" s="32"/>
      <c r="E373" s="32"/>
    </row>
    <row r="374">
      <c r="A374" s="59" t="s">
        <v>509</v>
      </c>
      <c r="B374" s="40" t="s">
        <v>299</v>
      </c>
      <c r="C374" s="273"/>
      <c r="D374" s="32"/>
      <c r="E374" s="32"/>
    </row>
    <row r="375">
      <c r="A375" s="59" t="s">
        <v>510</v>
      </c>
      <c r="B375" s="40" t="s">
        <v>299</v>
      </c>
      <c r="C375" s="273"/>
      <c r="D375" s="32"/>
      <c r="E375" s="32"/>
    </row>
    <row r="376">
      <c r="A376" s="59" t="s">
        <v>511</v>
      </c>
      <c r="B376" s="40" t="s">
        <v>299</v>
      </c>
      <c r="C376" s="273"/>
      <c r="D376" s="32"/>
      <c r="E376" s="32"/>
    </row>
    <row r="377">
      <c r="A377" s="59" t="s">
        <v>512</v>
      </c>
      <c r="B377" s="40" t="s">
        <v>299</v>
      </c>
      <c r="C377" s="273"/>
      <c r="D377" s="32"/>
      <c r="E377" s="32"/>
    </row>
    <row r="378">
      <c r="A378" s="59" t="s">
        <v>513</v>
      </c>
      <c r="B378" s="40" t="s">
        <v>299</v>
      </c>
      <c r="C378" s="273"/>
      <c r="D378" s="32"/>
      <c r="E378" s="32"/>
    </row>
    <row r="379">
      <c r="A379" s="59" t="s">
        <v>514</v>
      </c>
      <c r="B379" s="40" t="s">
        <v>299</v>
      </c>
      <c r="C379" s="273"/>
      <c r="D379" s="32"/>
      <c r="E379" s="32"/>
    </row>
    <row r="380">
      <c r="A380" s="59" t="s">
        <v>515</v>
      </c>
      <c r="B380" s="40" t="s">
        <v>299</v>
      </c>
      <c r="C380" s="273"/>
      <c r="D380" s="32"/>
      <c r="E380" s="32"/>
    </row>
    <row r="381">
      <c r="A381" s="59" t="s">
        <v>516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517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518</v>
      </c>
      <c r="B383" s="46" t="s">
        <v>299</v>
      </c>
      <c r="C383" s="47"/>
      <c r="D383" s="32"/>
      <c r="E383" s="20"/>
    </row>
    <row r="384">
      <c r="A384" s="20" t="s">
        <v>519</v>
      </c>
      <c r="B384" s="20"/>
      <c r="C384" s="27"/>
      <c r="D384" s="32">
        <f>D382+C383</f>
        <v>0</v>
      </c>
      <c r="E384" s="20"/>
    </row>
    <row r="385">
      <c r="A385" s="20" t="s">
        <v>520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521</v>
      </c>
      <c r="B389" s="45"/>
      <c r="C389" s="45"/>
      <c r="D389" s="45"/>
      <c r="E389" s="45"/>
    </row>
    <row r="390">
      <c r="A390" s="20" t="s">
        <v>522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523</v>
      </c>
      <c r="B393" s="46" t="s">
        <v>299</v>
      </c>
      <c r="C393" s="216"/>
      <c r="D393" s="20"/>
      <c r="E393" s="20"/>
    </row>
    <row r="394">
      <c r="A394" s="20" t="s">
        <v>524</v>
      </c>
      <c r="B394" s="46" t="s">
        <v>299</v>
      </c>
      <c r="C394" s="216"/>
      <c r="D394" s="20"/>
      <c r="E394" s="20"/>
    </row>
    <row r="395">
      <c r="A395" s="20" t="s">
        <v>525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526</v>
      </c>
      <c r="B397" s="46" t="s">
        <v>299</v>
      </c>
      <c r="C397" s="216"/>
      <c r="D397" s="20"/>
      <c r="E397" s="20"/>
    </row>
    <row r="398">
      <c r="A398" s="20" t="s">
        <v>527</v>
      </c>
      <c r="B398" s="46" t="s">
        <v>299</v>
      </c>
      <c r="C398" s="216"/>
      <c r="D398" s="20"/>
      <c r="E398" s="20"/>
    </row>
    <row r="399">
      <c r="A399" s="20" t="s">
        <v>528</v>
      </c>
      <c r="B399" s="46" t="s">
        <v>299</v>
      </c>
      <c r="C399" s="216"/>
      <c r="D399" s="20"/>
      <c r="E399" s="20"/>
    </row>
    <row r="400">
      <c r="A400" s="20" t="s">
        <v>529</v>
      </c>
      <c r="B400" s="46" t="s">
        <v>299</v>
      </c>
      <c r="C400" s="216"/>
      <c r="D400" s="20"/>
      <c r="E400" s="20"/>
    </row>
    <row r="401">
      <c r="A401" s="32" t="s">
        <v>530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531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532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533</v>
      </c>
      <c r="B417" s="20"/>
      <c r="C417" s="27"/>
      <c r="D417" s="32">
        <f>SUM(C390:C400,D416)</f>
        <v>0</v>
      </c>
      <c r="E417" s="32"/>
    </row>
    <row r="418">
      <c r="A418" s="32" t="s">
        <v>534</v>
      </c>
      <c r="B418" s="20"/>
      <c r="C418" s="27"/>
      <c r="D418" s="32">
        <f>D385-D417</f>
        <v>0</v>
      </c>
      <c r="E418" s="32"/>
    </row>
    <row r="419">
      <c r="A419" s="32" t="s">
        <v>535</v>
      </c>
      <c r="B419" s="20"/>
      <c r="C419" s="236"/>
      <c r="D419" s="32"/>
      <c r="E419" s="32"/>
    </row>
    <row r="420">
      <c r="A420" s="59" t="s">
        <v>536</v>
      </c>
      <c r="B420" s="46" t="s">
        <v>299</v>
      </c>
      <c r="C420" s="273"/>
      <c r="D420" s="32"/>
      <c r="E420" s="32"/>
    </row>
    <row r="421">
      <c r="A421" s="61" t="s">
        <v>537</v>
      </c>
      <c r="B421" s="20"/>
      <c r="C421" s="20"/>
      <c r="D421" s="32">
        <f>SUM(C419:C420)</f>
        <v>0</v>
      </c>
      <c r="E421" s="32"/>
    </row>
    <row r="422">
      <c r="A422" s="32" t="s">
        <v>538</v>
      </c>
      <c r="B422" s="20"/>
      <c r="C422" s="27"/>
      <c r="D422" s="32">
        <f>D418+D421</f>
        <v>0</v>
      </c>
      <c r="E422" s="32"/>
      <c r="F422" s="63"/>
    </row>
    <row r="423">
      <c r="A423" s="32" t="s">
        <v>539</v>
      </c>
      <c r="B423" s="46" t="s">
        <v>299</v>
      </c>
      <c r="C423" s="47"/>
      <c r="D423" s="32"/>
      <c r="E423" s="20"/>
    </row>
    <row r="424">
      <c r="A424" s="20" t="s">
        <v>540</v>
      </c>
      <c r="B424" s="46" t="s">
        <v>299</v>
      </c>
      <c r="C424" s="47"/>
      <c r="D424" s="32"/>
      <c r="E424" s="20"/>
    </row>
    <row r="425">
      <c r="A425" s="20" t="s">
        <v>541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542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543</v>
      </c>
      <c r="D614" s="257" t="s">
        <v>544</v>
      </c>
      <c r="E614" s="259" t="s">
        <v>545</v>
      </c>
      <c r="F614" s="260" t="s">
        <v>546</v>
      </c>
      <c r="G614" s="257" t="s">
        <v>547</v>
      </c>
      <c r="H614" s="260" t="s">
        <v>548</v>
      </c>
      <c r="I614" s="257" t="s">
        <v>549</v>
      </c>
      <c r="J614" s="257" t="s">
        <v>550</v>
      </c>
      <c r="K614" s="249" t="s">
        <v>551</v>
      </c>
      <c r="L614" s="250" t="s">
        <v>552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553</v>
      </c>
    </row>
    <row r="616" ht="12.6" customHeight="1" s="231" customFormat="1">
      <c r="A616" s="251"/>
      <c r="B616" s="250" t="s">
        <v>554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555</v>
      </c>
    </row>
    <row r="617" ht="12.6" customHeight="1" s="231" customFormat="1">
      <c r="A617" s="251">
        <v>8310</v>
      </c>
      <c r="B617" s="255" t="s">
        <v>556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557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558</v>
      </c>
    </row>
    <row r="619" ht="12.6" customHeight="1" s="231" customFormat="1">
      <c r="A619" s="251">
        <v>8470</v>
      </c>
      <c r="B619" s="255" t="s">
        <v>559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560</v>
      </c>
    </row>
    <row r="620" ht="12.6" customHeight="1" s="231" customFormat="1">
      <c r="A620" s="251">
        <v>8610</v>
      </c>
      <c r="B620" s="255" t="s">
        <v>561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562</v>
      </c>
    </row>
    <row r="621" ht="12.6" customHeight="1" s="231" customFormat="1">
      <c r="A621" s="251">
        <v>8790</v>
      </c>
      <c r="B621" s="255" t="s">
        <v>563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564</v>
      </c>
    </row>
    <row r="622" ht="12.6" customHeight="1" s="231" customFormat="1">
      <c r="A622" s="251">
        <v>8630</v>
      </c>
      <c r="B622" s="255" t="s">
        <v>565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566</v>
      </c>
    </row>
    <row r="623" ht="12.6" customHeight="1" s="231" customFormat="1">
      <c r="A623" s="251">
        <v>8770</v>
      </c>
      <c r="B623" s="250" t="s">
        <v>567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568</v>
      </c>
    </row>
    <row r="624" ht="12.6" customHeight="1" s="231" customFormat="1">
      <c r="A624" s="251">
        <v>8640</v>
      </c>
      <c r="B624" s="255" t="s">
        <v>569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570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571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572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573</v>
      </c>
    </row>
    <row r="628" ht="12.6" customHeight="1" s="231" customFormat="1">
      <c r="A628" s="251">
        <v>8620</v>
      </c>
      <c r="B628" s="250" t="s">
        <v>574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575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576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577</v>
      </c>
    </row>
    <row r="631" ht="12.6" customHeight="1" s="231" customFormat="1">
      <c r="A631" s="251">
        <v>8350</v>
      </c>
      <c r="B631" s="255" t="s">
        <v>578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579</v>
      </c>
    </row>
    <row r="632" ht="12.6" customHeight="1" s="231" customFormat="1">
      <c r="A632" s="251">
        <v>8200</v>
      </c>
      <c r="B632" s="255" t="s">
        <v>580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581</v>
      </c>
    </row>
    <row r="633" ht="12.6" customHeight="1" s="231" customFormat="1">
      <c r="A633" s="251">
        <v>8360</v>
      </c>
      <c r="B633" s="255" t="s">
        <v>582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583</v>
      </c>
    </row>
    <row r="634" ht="12.6" customHeight="1" s="231" customFormat="1">
      <c r="A634" s="251">
        <v>8370</v>
      </c>
      <c r="B634" s="255" t="s">
        <v>584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585</v>
      </c>
    </row>
    <row r="635" ht="12.6" customHeight="1" s="231" customFormat="1">
      <c r="A635" s="251">
        <v>8490</v>
      </c>
      <c r="B635" s="255" t="s">
        <v>586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587</v>
      </c>
    </row>
    <row r="636" ht="12.6" customHeight="1" s="231" customFormat="1">
      <c r="A636" s="251">
        <v>8530</v>
      </c>
      <c r="B636" s="255" t="s">
        <v>588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589</v>
      </c>
    </row>
    <row r="637" ht="12.6" customHeight="1" s="231" customFormat="1">
      <c r="A637" s="251">
        <v>8480</v>
      </c>
      <c r="B637" s="255" t="s">
        <v>590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591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592</v>
      </c>
    </row>
    <row r="639" ht="12.6" customHeight="1" s="231" customFormat="1">
      <c r="A639" s="251">
        <v>8590</v>
      </c>
      <c r="B639" s="255" t="s">
        <v>593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594</v>
      </c>
    </row>
    <row r="640" ht="12.6" customHeight="1" s="231" customFormat="1">
      <c r="A640" s="251">
        <v>8660</v>
      </c>
      <c r="B640" s="255" t="s">
        <v>595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596</v>
      </c>
    </row>
    <row r="641" ht="12.6" customHeight="1" s="231" customFormat="1">
      <c r="A641" s="251">
        <v>8670</v>
      </c>
      <c r="B641" s="255" t="s">
        <v>597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598</v>
      </c>
    </row>
    <row r="642" ht="12.6" customHeight="1" s="231" customFormat="1">
      <c r="A642" s="251">
        <v>8680</v>
      </c>
      <c r="B642" s="255" t="s">
        <v>599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600</v>
      </c>
    </row>
    <row r="643" ht="12.6" customHeight="1" s="231" customFormat="1">
      <c r="A643" s="251">
        <v>8690</v>
      </c>
      <c r="B643" s="255" t="s">
        <v>601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602</v>
      </c>
    </row>
    <row r="644" ht="12.6" customHeight="1" s="231" customFormat="1">
      <c r="A644" s="251">
        <v>8700</v>
      </c>
      <c r="B644" s="255" t="s">
        <v>603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604</v>
      </c>
    </row>
    <row r="645" ht="12.6" customHeight="1" s="231" customFormat="1">
      <c r="A645" s="251">
        <v>8710</v>
      </c>
      <c r="B645" s="255" t="s">
        <v>605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606</v>
      </c>
    </row>
    <row r="646" ht="12.6" customHeight="1" s="231" customFormat="1">
      <c r="A646" s="251">
        <v>8720</v>
      </c>
      <c r="B646" s="255" t="s">
        <v>607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608</v>
      </c>
    </row>
    <row r="647" ht="12.6" customHeight="1" s="231" customFormat="1">
      <c r="A647" s="251">
        <v>8730</v>
      </c>
      <c r="B647" s="255" t="s">
        <v>609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610</v>
      </c>
    </row>
    <row r="648" ht="12.6" customHeight="1" s="231" customFormat="1">
      <c r="A648" s="251">
        <v>8740</v>
      </c>
      <c r="B648" s="255" t="s">
        <v>611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612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613</v>
      </c>
      <c r="M667" s="249" t="s">
        <v>614</v>
      </c>
    </row>
    <row r="668" ht="12.6" customHeight="1" s="231" customFormat="1">
      <c r="C668" s="249" t="s">
        <v>543</v>
      </c>
      <c r="D668" s="249" t="s">
        <v>544</v>
      </c>
      <c r="E668" s="250" t="s">
        <v>545</v>
      </c>
      <c r="F668" s="249" t="s">
        <v>546</v>
      </c>
      <c r="G668" s="249" t="s">
        <v>547</v>
      </c>
      <c r="H668" s="249" t="s">
        <v>548</v>
      </c>
      <c r="I668" s="249" t="s">
        <v>549</v>
      </c>
      <c r="J668" s="249" t="s">
        <v>550</v>
      </c>
      <c r="K668" s="249" t="s">
        <v>551</v>
      </c>
      <c r="L668" s="250" t="s">
        <v>552</v>
      </c>
      <c r="M668" s="249" t="s">
        <v>615</v>
      </c>
    </row>
    <row r="669" ht="12.6" customHeight="1" s="231" customFormat="1">
      <c r="A669" s="251">
        <v>6010</v>
      </c>
      <c r="B669" s="250" t="s">
        <v>342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616</v>
      </c>
    </row>
    <row r="670" ht="12.6" customHeight="1" s="231" customFormat="1">
      <c r="A670" s="251">
        <v>6030</v>
      </c>
      <c r="B670" s="250" t="s">
        <v>343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617</v>
      </c>
    </row>
    <row r="671" ht="12.6" customHeight="1" s="231" customFormat="1">
      <c r="A671" s="251">
        <v>6070</v>
      </c>
      <c r="B671" s="250" t="s">
        <v>618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619</v>
      </c>
    </row>
    <row r="672" ht="12.6" customHeight="1" s="231" customFormat="1">
      <c r="A672" s="251">
        <v>6100</v>
      </c>
      <c r="B672" s="250" t="s">
        <v>620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621</v>
      </c>
    </row>
    <row r="673" ht="12.6" customHeight="1" s="231" customFormat="1">
      <c r="A673" s="251">
        <v>6120</v>
      </c>
      <c r="B673" s="250" t="s">
        <v>622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623</v>
      </c>
    </row>
    <row r="674" ht="12.6" customHeight="1" s="231" customFormat="1">
      <c r="A674" s="251">
        <v>6140</v>
      </c>
      <c r="B674" s="250" t="s">
        <v>624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625</v>
      </c>
    </row>
    <row r="675" ht="12.6" customHeight="1" s="231" customFormat="1">
      <c r="A675" s="251">
        <v>6150</v>
      </c>
      <c r="B675" s="250" t="s">
        <v>626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627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628</v>
      </c>
    </row>
    <row r="677" ht="12.6" customHeight="1" s="231" customFormat="1">
      <c r="A677" s="251">
        <v>6200</v>
      </c>
      <c r="B677" s="250" t="s">
        <v>348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629</v>
      </c>
    </row>
    <row r="678" ht="12.6" customHeight="1" s="231" customFormat="1">
      <c r="A678" s="251">
        <v>6210</v>
      </c>
      <c r="B678" s="250" t="s">
        <v>349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630</v>
      </c>
    </row>
    <row r="679" ht="12.6" customHeight="1" s="231" customFormat="1">
      <c r="A679" s="251">
        <v>6330</v>
      </c>
      <c r="B679" s="250" t="s">
        <v>631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632</v>
      </c>
    </row>
    <row r="680" ht="12.6" customHeight="1" s="231" customFormat="1">
      <c r="A680" s="251">
        <v>6400</v>
      </c>
      <c r="B680" s="250" t="s">
        <v>633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634</v>
      </c>
    </row>
    <row r="681" ht="12.6" customHeight="1" s="231" customFormat="1">
      <c r="A681" s="251">
        <v>7010</v>
      </c>
      <c r="B681" s="250" t="s">
        <v>635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636</v>
      </c>
    </row>
    <row r="682" ht="12.6" customHeight="1" s="231" customFormat="1">
      <c r="A682" s="251">
        <v>7020</v>
      </c>
      <c r="B682" s="250" t="s">
        <v>637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638</v>
      </c>
    </row>
    <row r="683" ht="12.6" customHeight="1" s="231" customFormat="1">
      <c r="A683" s="251">
        <v>7030</v>
      </c>
      <c r="B683" s="250" t="s">
        <v>639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640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641</v>
      </c>
    </row>
    <row r="685" ht="12.6" customHeight="1" s="231" customFormat="1">
      <c r="A685" s="251">
        <v>7050</v>
      </c>
      <c r="B685" s="250" t="s">
        <v>642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643</v>
      </c>
    </row>
    <row r="686" ht="12.6" customHeight="1" s="231" customFormat="1">
      <c r="A686" s="251">
        <v>7060</v>
      </c>
      <c r="B686" s="250" t="s">
        <v>644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645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646</v>
      </c>
    </row>
    <row r="688" ht="12.6" customHeight="1" s="231" customFormat="1">
      <c r="A688" s="251">
        <v>7110</v>
      </c>
      <c r="B688" s="250" t="s">
        <v>647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648</v>
      </c>
    </row>
    <row r="689" ht="12.6" customHeight="1" s="231" customFormat="1">
      <c r="A689" s="251">
        <v>7120</v>
      </c>
      <c r="B689" s="250" t="s">
        <v>649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650</v>
      </c>
    </row>
    <row r="690" ht="12.6" customHeight="1" s="231" customFormat="1">
      <c r="A690" s="251">
        <v>7130</v>
      </c>
      <c r="B690" s="250" t="s">
        <v>651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652</v>
      </c>
    </row>
    <row r="691" ht="12.6" customHeight="1" s="231" customFormat="1">
      <c r="A691" s="251">
        <v>7140</v>
      </c>
      <c r="B691" s="250" t="s">
        <v>653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654</v>
      </c>
    </row>
    <row r="692" ht="12.6" customHeight="1" s="231" customFormat="1">
      <c r="A692" s="251">
        <v>7150</v>
      </c>
      <c r="B692" s="250" t="s">
        <v>655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656</v>
      </c>
    </row>
    <row r="693" ht="12.6" customHeight="1" s="231" customFormat="1">
      <c r="A693" s="251">
        <v>7160</v>
      </c>
      <c r="B693" s="250" t="s">
        <v>657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658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659</v>
      </c>
    </row>
    <row r="695" ht="12.6" customHeight="1" s="231" customFormat="1">
      <c r="A695" s="251">
        <v>7180</v>
      </c>
      <c r="B695" s="250" t="s">
        <v>660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661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662</v>
      </c>
    </row>
    <row r="697" ht="12.6" customHeight="1" s="231" customFormat="1">
      <c r="A697" s="251">
        <v>7200</v>
      </c>
      <c r="B697" s="250" t="s">
        <v>663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664</v>
      </c>
    </row>
    <row r="698" ht="12.6" customHeight="1" s="231" customFormat="1">
      <c r="A698" s="251">
        <v>7220</v>
      </c>
      <c r="B698" s="250" t="s">
        <v>665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666</v>
      </c>
    </row>
    <row r="699" ht="12.6" customHeight="1" s="231" customFormat="1">
      <c r="A699" s="251">
        <v>7230</v>
      </c>
      <c r="B699" s="250" t="s">
        <v>667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668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669</v>
      </c>
    </row>
    <row r="701" ht="12.6" customHeight="1" s="231" customFormat="1">
      <c r="A701" s="251">
        <v>7250</v>
      </c>
      <c r="B701" s="250" t="s">
        <v>670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671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672</v>
      </c>
    </row>
    <row r="703" ht="12.6" customHeight="1" s="231" customFormat="1">
      <c r="A703" s="251">
        <v>7310</v>
      </c>
      <c r="B703" s="250" t="s">
        <v>673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674</v>
      </c>
    </row>
    <row r="704" ht="12.6" customHeight="1" s="231" customFormat="1">
      <c r="A704" s="251">
        <v>7320</v>
      </c>
      <c r="B704" s="250" t="s">
        <v>675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676</v>
      </c>
    </row>
    <row r="705" ht="12.6" customHeight="1" s="231" customFormat="1">
      <c r="A705" s="251">
        <v>7330</v>
      </c>
      <c r="B705" s="250" t="s">
        <v>677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678</v>
      </c>
    </row>
    <row r="706" ht="12.6" customHeight="1" s="231" customFormat="1">
      <c r="A706" s="251">
        <v>7340</v>
      </c>
      <c r="B706" s="250" t="s">
        <v>679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680</v>
      </c>
    </row>
    <row r="707" ht="12.6" customHeight="1" s="231" customFormat="1">
      <c r="A707" s="251">
        <v>7350</v>
      </c>
      <c r="B707" s="250" t="s">
        <v>681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682</v>
      </c>
    </row>
    <row r="708" ht="12.6" customHeight="1" s="231" customFormat="1">
      <c r="A708" s="251">
        <v>7380</v>
      </c>
      <c r="B708" s="250" t="s">
        <v>683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684</v>
      </c>
    </row>
    <row r="709" ht="12.6" customHeight="1" s="231" customFormat="1">
      <c r="A709" s="251">
        <v>7390</v>
      </c>
      <c r="B709" s="250" t="s">
        <v>685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686</v>
      </c>
    </row>
    <row r="710" ht="12.6" customHeight="1" s="231" customFormat="1">
      <c r="A710" s="251">
        <v>7400</v>
      </c>
      <c r="B710" s="250" t="s">
        <v>687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688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689</v>
      </c>
    </row>
    <row r="712" ht="12.6" customHeight="1" s="231" customFormat="1">
      <c r="A712" s="251">
        <v>7420</v>
      </c>
      <c r="B712" s="250" t="s">
        <v>690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691</v>
      </c>
    </row>
    <row r="713" ht="12.6" customHeight="1" s="231" customFormat="1">
      <c r="A713" s="251">
        <v>7430</v>
      </c>
      <c r="B713" s="250" t="s">
        <v>692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693</v>
      </c>
    </row>
    <row r="714" ht="12.6" customHeight="1" s="231" customFormat="1">
      <c r="A714" s="251">
        <v>7490</v>
      </c>
      <c r="B714" s="250" t="s">
        <v>694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695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696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697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032</v>
      </c>
      <c r="C2" s="12" t="str">
        <f>SUBSTITUTE(LEFT(data!C98,49),",","")</f>
        <v>St.Joseph Medical Center</v>
      </c>
      <c r="D2" s="12" t="str">
        <f>LEFT(data!C99,49)</f>
        <v>1717 South J Street</v>
      </c>
      <c r="E2" s="12" t="str">
        <f>RIGHT(data!C100,100)</f>
        <v>Tacoma</v>
      </c>
      <c r="F2" s="12" t="str">
        <f>RIGHT(data!C101,100)</f>
        <v>WA</v>
      </c>
      <c r="G2" s="12" t="str">
        <f>RIGHT(data!C102,100)</f>
        <v>98401</v>
      </c>
      <c r="H2" s="12" t="str">
        <f>RIGHT(data!C103,100)</f>
        <v>Pierce</v>
      </c>
      <c r="I2" s="12" t="str">
        <f>LEFT(data!C104,49)</f>
        <v>Ketul Patel</v>
      </c>
      <c r="J2" s="12" t="str">
        <f>LEFT(data!C105,49)</f>
        <v>David Nosacka</v>
      </c>
      <c r="K2" s="12" t="str">
        <f>LEFT(data!C107,49)</f>
        <v>253-426-4101</v>
      </c>
      <c r="L2" s="12" t="str">
        <f>LEFT(data!C107,49)</f>
        <v>253-426-4101</v>
      </c>
      <c r="M2" s="12" t="str">
        <f>LEFT(data!C109,49)</f>
        <v>Caroline Leung</v>
      </c>
      <c r="N2" s="12" t="str">
        <f>LEFT(data!C110,49)</f>
        <v>carolineleung@chifranciscan.org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032</v>
      </c>
      <c r="B2" s="224" t="str">
        <f>RIGHT(data!C96,4)</f>
        <v>2022</v>
      </c>
      <c r="C2" s="16" t="s">
        <v>1169</v>
      </c>
      <c r="D2" s="223">
        <f>ROUND(data!C181,0)</f>
        <v>21678639</v>
      </c>
      <c r="E2" s="223">
        <f>ROUND(data!C182,0)</f>
        <v>-268322</v>
      </c>
      <c r="F2" s="223">
        <f>ROUND(data!C183,0)</f>
        <v>2520573</v>
      </c>
      <c r="G2" s="223">
        <f>ROUND(data!C184,0)</f>
        <v>32146029</v>
      </c>
      <c r="H2" s="223">
        <f>ROUND(data!C185,0)</f>
        <v>497247</v>
      </c>
      <c r="I2" s="223">
        <f>ROUND(data!C186,0)</f>
        <v>13853987</v>
      </c>
      <c r="J2" s="223">
        <f>ROUND(data!C187+data!C188,0)</f>
        <v>465173</v>
      </c>
      <c r="K2" s="223">
        <f>ROUND(data!C191,0)</f>
        <v>13774984</v>
      </c>
      <c r="L2" s="223">
        <f>ROUND(data!C192,0)</f>
        <v>4414041</v>
      </c>
      <c r="M2" s="223">
        <f>ROUND(data!C195,0)</f>
        <v>7575354</v>
      </c>
      <c r="N2" s="223">
        <f>ROUND(data!C196,0)</f>
        <v>-3449126</v>
      </c>
      <c r="O2" s="223">
        <f>ROUND(data!C199,0)</f>
        <v>368538</v>
      </c>
      <c r="P2" s="223">
        <f>ROUND(data!C200,0)</f>
        <v>29995411</v>
      </c>
      <c r="Q2" s="223">
        <f>ROUND(data!C201,0)</f>
        <v>0</v>
      </c>
      <c r="R2" s="223">
        <f>ROUND(data!C204,0)</f>
        <v>0</v>
      </c>
      <c r="S2" s="223">
        <f>ROUND(data!C205,0)</f>
        <v>29914</v>
      </c>
      <c r="T2" s="223">
        <f>ROUND(data!B211,0)</f>
        <v>7877315</v>
      </c>
      <c r="U2" s="223">
        <f>ROUND(data!C211,0)</f>
        <v>0</v>
      </c>
      <c r="V2" s="223">
        <f>ROUND(data!D211,0)</f>
        <v>0</v>
      </c>
      <c r="W2" s="223">
        <f>ROUND(data!B212,0)</f>
        <v>4412190</v>
      </c>
      <c r="X2" s="223">
        <f>ROUND(data!C212,0)</f>
        <v>0</v>
      </c>
      <c r="Y2" s="223">
        <f>ROUND(data!D212,0)</f>
        <v>0</v>
      </c>
      <c r="Z2" s="223">
        <f>ROUND(data!B213,0)</f>
        <v>122860258</v>
      </c>
      <c r="AA2" s="223">
        <f>ROUND(data!C213,0)</f>
        <v>0</v>
      </c>
      <c r="AB2" s="223">
        <f>ROUND(data!D213,0)</f>
        <v>0</v>
      </c>
      <c r="AC2" s="223">
        <f>ROUND(data!B214,0)</f>
        <v>64792363</v>
      </c>
      <c r="AD2" s="223">
        <f>ROUND(data!C214,0)</f>
        <v>856629</v>
      </c>
      <c r="AE2" s="223">
        <f>ROUND(data!D214,0)</f>
        <v>0</v>
      </c>
      <c r="AF2" s="223">
        <f>ROUND(data!B215,0)</f>
        <v>83127243</v>
      </c>
      <c r="AG2" s="223">
        <f>ROUND(data!C215,0)</f>
        <v>44024</v>
      </c>
      <c r="AH2" s="223">
        <f>ROUND(data!D215,0)</f>
        <v>0</v>
      </c>
      <c r="AI2" s="223">
        <f>ROUND(data!B216,0)</f>
        <v>296683147</v>
      </c>
      <c r="AJ2" s="223">
        <f>ROUND(data!C216,0)</f>
        <v>9961968</v>
      </c>
      <c r="AK2" s="223">
        <f>ROUND(data!D216,0)</f>
        <v>5712790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60430333</v>
      </c>
      <c r="AP2" s="223">
        <f>ROUND(data!C218,0)</f>
        <v>5791700</v>
      </c>
      <c r="AQ2" s="223">
        <f>ROUND(data!D218,0)</f>
        <v>4217</v>
      </c>
      <c r="AR2" s="223">
        <f>ROUND(data!B219,0)</f>
        <v>11894055</v>
      </c>
      <c r="AS2" s="223">
        <f>ROUND(data!C219,0)</f>
        <v>-6775214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3774781</v>
      </c>
      <c r="AY2" s="223">
        <f>ROUND(data!C225,0)</f>
        <v>124635</v>
      </c>
      <c r="AZ2" s="223">
        <f>ROUND(data!D225,0)</f>
        <v>0</v>
      </c>
      <c r="BA2" s="223">
        <f>ROUND(data!B226,0)</f>
        <v>78432616</v>
      </c>
      <c r="BB2" s="223">
        <f>ROUND(data!C226,0)</f>
        <v>1988885</v>
      </c>
      <c r="BC2" s="223">
        <f>ROUND(data!D226,0)</f>
        <v>0</v>
      </c>
      <c r="BD2" s="223">
        <f>ROUND(data!B227,0)</f>
        <v>27736965</v>
      </c>
      <c r="BE2" s="223">
        <f>ROUND(data!C227,0)</f>
        <v>4286487</v>
      </c>
      <c r="BF2" s="223">
        <f>ROUND(data!D227,0)</f>
        <v>-15525</v>
      </c>
      <c r="BG2" s="223">
        <f>ROUND(data!B228,0)</f>
        <v>68993184</v>
      </c>
      <c r="BH2" s="223">
        <f>ROUND(data!C228,0)</f>
        <v>1881814</v>
      </c>
      <c r="BI2" s="223">
        <f>ROUND(data!D228,0)</f>
        <v>-22642</v>
      </c>
      <c r="BJ2" s="223">
        <f>ROUND(data!B229,0)</f>
        <v>247228667</v>
      </c>
      <c r="BK2" s="223">
        <f>ROUND(data!C229,0)</f>
        <v>26727863</v>
      </c>
      <c r="BL2" s="223">
        <f>ROUND(data!D229,0)</f>
        <v>14711944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30327960</v>
      </c>
      <c r="BQ2" s="223">
        <f>ROUND(data!C231,0)</f>
        <v>4459754</v>
      </c>
      <c r="BR2" s="223">
        <f>ROUND(data!D231,0)</f>
        <v>-626800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1448203453</v>
      </c>
      <c r="BW2" s="223">
        <f>ROUND(data!C240,0)</f>
        <v>684179741</v>
      </c>
      <c r="BX2" s="223">
        <f>ROUND(data!C241,0)</f>
        <v>0</v>
      </c>
      <c r="BY2" s="223">
        <f>ROUND(data!C242,0)</f>
        <v>130413747</v>
      </c>
      <c r="BZ2" s="223">
        <f>ROUND(data!C243,0)</f>
        <v>554541977</v>
      </c>
      <c r="CA2" s="223">
        <f>ROUND(data!C244,0)</f>
        <v>46563533</v>
      </c>
      <c r="CB2" s="223">
        <f>ROUND(data!C247,0)</f>
        <v>9762</v>
      </c>
      <c r="CC2" s="223">
        <f>ROUND(data!C249,0)</f>
        <v>14542607</v>
      </c>
      <c r="CD2" s="223">
        <f>ROUND(data!C250,0)</f>
        <v>17858501</v>
      </c>
      <c r="CE2" s="223">
        <f>ROUND(data!C254+data!C255,0)</f>
        <v>21326378</v>
      </c>
      <c r="CF2" s="223">
        <f>data!D237</f>
        <v>12690527.06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032</v>
      </c>
      <c r="B2" s="16" t="str">
        <f>RIGHT(data!C96,4)</f>
        <v>2022</v>
      </c>
      <c r="C2" s="16" t="s">
        <v>1169</v>
      </c>
      <c r="D2" s="222">
        <f>ROUND(data!C127,0)</f>
        <v>18708</v>
      </c>
      <c r="E2" s="222">
        <f>ROUND(data!C128,0)</f>
        <v>0</v>
      </c>
      <c r="F2" s="222">
        <f>ROUND(data!C129,0)</f>
        <v>0</v>
      </c>
      <c r="G2" s="222">
        <f>ROUND(data!C130,0)</f>
        <v>3549</v>
      </c>
      <c r="H2" s="222">
        <f>ROUND(data!D127,0)</f>
        <v>116880</v>
      </c>
      <c r="I2" s="222">
        <f>ROUND(data!D128,0)</f>
        <v>0</v>
      </c>
      <c r="J2" s="222">
        <f>ROUND(data!D129,0)</f>
        <v>0</v>
      </c>
      <c r="K2" s="222">
        <f>ROUND(data!D130,0)</f>
        <v>5237</v>
      </c>
      <c r="L2" s="222">
        <f>ROUND(data!C132,0)</f>
        <v>48</v>
      </c>
      <c r="M2" s="222">
        <f>ROUND(data!C133,0)</f>
        <v>34</v>
      </c>
      <c r="N2" s="222">
        <f>ROUND(data!C134,0)</f>
        <v>214</v>
      </c>
      <c r="O2" s="222">
        <f>ROUND(data!C135,0)</f>
        <v>0</v>
      </c>
      <c r="P2" s="222">
        <f>ROUND(data!C136,0)</f>
        <v>32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34</v>
      </c>
      <c r="W2" s="222">
        <f>ROUND(data!C144,0)</f>
        <v>385</v>
      </c>
      <c r="X2" s="222">
        <f>ROUND(data!C145,0)</f>
        <v>35</v>
      </c>
      <c r="Y2" s="222">
        <f>ROUND(data!B154,0)</f>
        <v>7787</v>
      </c>
      <c r="Z2" s="222">
        <f>ROUND(data!B155,0)</f>
        <v>59510</v>
      </c>
      <c r="AA2" s="222">
        <f>ROUND(data!B156,0)</f>
        <v>0</v>
      </c>
      <c r="AB2" s="222">
        <f>ROUND(data!B157,0)</f>
        <v>1107949923</v>
      </c>
      <c r="AC2" s="222">
        <f>ROUND(data!B158,0)</f>
        <v>633592701</v>
      </c>
      <c r="AD2" s="222">
        <f>ROUND(data!C154,0)</f>
        <v>4582</v>
      </c>
      <c r="AE2" s="222">
        <f>ROUND(data!C155,0)</f>
        <v>28942</v>
      </c>
      <c r="AF2" s="222">
        <f>ROUND(data!C156,0)</f>
        <v>0</v>
      </c>
      <c r="AG2" s="222">
        <f>ROUND(data!C157,0)</f>
        <v>516551230</v>
      </c>
      <c r="AH2" s="222">
        <f>ROUND(data!C158,0)</f>
        <v>293807275</v>
      </c>
      <c r="AI2" s="222">
        <f>ROUND(data!D154,0)</f>
        <v>6339</v>
      </c>
      <c r="AJ2" s="222">
        <f>ROUND(data!D155,0)</f>
        <v>28428</v>
      </c>
      <c r="AK2" s="222">
        <f>ROUND(data!D156,0)</f>
        <v>0</v>
      </c>
      <c r="AL2" s="222">
        <f>ROUND(data!D157,0)</f>
        <v>594451230</v>
      </c>
      <c r="AM2" s="222">
        <f>ROUND(data!D158,0)</f>
        <v>575037899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032</v>
      </c>
      <c r="B2" s="224" t="str">
        <f>RIGHT(data!C96,4)</f>
        <v>2022</v>
      </c>
      <c r="C2" s="16" t="s">
        <v>1169</v>
      </c>
      <c r="D2" s="222">
        <f>ROUND(data!C266,0)</f>
        <v>59533467</v>
      </c>
      <c r="E2" s="222">
        <f>ROUND(data!C267,0)</f>
        <v>0</v>
      </c>
      <c r="F2" s="222">
        <f>ROUND(data!C268,0)</f>
        <v>586831859</v>
      </c>
      <c r="G2" s="222">
        <f>ROUND(data!C269,0)</f>
        <v>479100272</v>
      </c>
      <c r="H2" s="222">
        <f>ROUND(data!C270,0)</f>
        <v>0</v>
      </c>
      <c r="I2" s="222">
        <f>ROUND(data!C271,0)</f>
        <v>-6021229</v>
      </c>
      <c r="J2" s="222">
        <f>ROUND(data!C272,0)</f>
        <v>0</v>
      </c>
      <c r="K2" s="222">
        <f>ROUND(data!C273,0)</f>
        <v>21203675</v>
      </c>
      <c r="L2" s="222">
        <f>ROUND(data!C274,0)</f>
        <v>2542798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7877315</v>
      </c>
      <c r="R2" s="222">
        <f>ROUND(data!C284,0)</f>
        <v>4412190</v>
      </c>
      <c r="S2" s="222">
        <f>ROUND(data!C285,0)</f>
        <v>122860258</v>
      </c>
      <c r="T2" s="222">
        <f>ROUND(data!C286,0)</f>
        <v>65648992</v>
      </c>
      <c r="U2" s="222">
        <f>ROUND(data!C287,0)</f>
        <v>83171267</v>
      </c>
      <c r="V2" s="222">
        <f>ROUND(data!C288,0)</f>
        <v>300932325</v>
      </c>
      <c r="W2" s="222">
        <f>ROUND(data!C289,0)</f>
        <v>66217816</v>
      </c>
      <c r="X2" s="222">
        <f>ROUND(data!C290,0)</f>
        <v>5118841</v>
      </c>
      <c r="Y2" s="222">
        <f>ROUND(data!C291,0)</f>
        <v>0</v>
      </c>
      <c r="Z2" s="222">
        <f>ROUND(data!C292,0)</f>
        <v>481916635</v>
      </c>
      <c r="AA2" s="222">
        <f>ROUND(data!C295,0)</f>
        <v>0</v>
      </c>
      <c r="AB2" s="222">
        <f>ROUND(data!C296,0)</f>
        <v>0</v>
      </c>
      <c r="AC2" s="222">
        <f>ROUND(data!C297,0)</f>
        <v>17827419</v>
      </c>
      <c r="AD2" s="222">
        <f>ROUND(data!C298,0)</f>
        <v>51358630</v>
      </c>
      <c r="AE2" s="222">
        <f>ROUND(data!C302,0)</f>
        <v>4245002</v>
      </c>
      <c r="AF2" s="222">
        <f>ROUND(data!C303,0)</f>
        <v>0</v>
      </c>
      <c r="AG2" s="222">
        <f>ROUND(data!C304,0)</f>
        <v>0</v>
      </c>
      <c r="AH2" s="222">
        <f>ROUND(data!C305,0)</f>
        <v>132772</v>
      </c>
      <c r="AI2" s="222">
        <f>ROUND(data!C314,0)</f>
        <v>0</v>
      </c>
      <c r="AJ2" s="222">
        <f>ROUND(data!C315,0)</f>
        <v>14583513</v>
      </c>
      <c r="AK2" s="222">
        <f>ROUND(data!C316,0)</f>
        <v>37876966</v>
      </c>
      <c r="AL2" s="222">
        <f>ROUND(data!C317,0)</f>
        <v>93562451</v>
      </c>
      <c r="AM2" s="222">
        <f>ROUND(data!C318,0)</f>
        <v>0</v>
      </c>
      <c r="AN2" s="222">
        <f>ROUND(data!C319,0)</f>
        <v>21852177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869466</v>
      </c>
      <c r="AS2" s="222">
        <f>ROUND(data!C326,0)</f>
        <v>0</v>
      </c>
      <c r="AT2" s="222">
        <f>ROUND(data!C327,0)</f>
        <v>0</v>
      </c>
      <c r="AU2" s="222">
        <f>ROUND(data!C328,0)</f>
        <v>51902292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3101920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209997170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3144.41</v>
      </c>
      <c r="BL2" s="222">
        <f>ROUND(data!C358,0)</f>
        <v>2218952383</v>
      </c>
      <c r="BM2" s="222">
        <f>ROUND(data!C359,0)</f>
        <v>1502437875</v>
      </c>
      <c r="BN2" s="222">
        <f>ROUND(data!C363,0)</f>
        <v>2863902451</v>
      </c>
      <c r="BO2" s="222">
        <f>ROUND(data!C364,0)</f>
        <v>32401108</v>
      </c>
      <c r="BP2" s="222">
        <f>ROUND(data!C365,0)</f>
        <v>21326378</v>
      </c>
      <c r="BQ2" s="222">
        <f>ROUND(data!D381,0)</f>
        <v>21506058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21506058</v>
      </c>
      <c r="CC2" s="222">
        <f>ROUND(data!C382,0)</f>
        <v>0</v>
      </c>
      <c r="CD2" s="222">
        <f>ROUND(data!C389,0)</f>
        <v>359558994</v>
      </c>
      <c r="CE2" s="222">
        <f>ROUND(data!C390,0)</f>
        <v>70893325</v>
      </c>
      <c r="CF2" s="222">
        <f>ROUND(data!C391,0)</f>
        <v>30254463</v>
      </c>
      <c r="CG2" s="222">
        <f>ROUND(data!C392,0)</f>
        <v>136278893</v>
      </c>
      <c r="CH2" s="222">
        <f>ROUND(data!C393,0)</f>
        <v>4442044</v>
      </c>
      <c r="CI2" s="222">
        <f>ROUND(data!C394,0)</f>
        <v>200811749</v>
      </c>
      <c r="CJ2" s="222">
        <f>ROUND(data!C395,0)</f>
        <v>39469438</v>
      </c>
      <c r="CK2" s="222">
        <f>ROUND(data!C396,0)</f>
        <v>18189025</v>
      </c>
      <c r="CL2" s="222">
        <f>ROUND(data!C397,0)</f>
        <v>4126227</v>
      </c>
      <c r="CM2" s="222">
        <f>ROUND(data!C398,0)</f>
        <v>30363949</v>
      </c>
      <c r="CN2" s="222">
        <f>ROUND(data!C399,0)</f>
        <v>29914</v>
      </c>
      <c r="CO2" s="222">
        <f>ROUND(data!C362,0)</f>
        <v>12690527</v>
      </c>
      <c r="CP2" s="222">
        <f>ROUND(data!D415,0)</f>
        <v>7737166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7737166</v>
      </c>
      <c r="DE2" s="65">
        <f>ROUND(data!C419,0)</f>
        <v>0</v>
      </c>
      <c r="DF2" s="222">
        <f>ROUND(data!D420,0)</f>
        <v>-177726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032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17885</v>
      </c>
      <c r="F2" s="212">
        <f>ROUND(data!C60,2)</f>
        <v>190.43</v>
      </c>
      <c r="G2" s="222">
        <f>ROUND(data!C61,0)</f>
        <v>28796877</v>
      </c>
      <c r="H2" s="222">
        <f>ROUND(data!C62,0)</f>
        <v>5667763</v>
      </c>
      <c r="I2" s="222">
        <f>ROUND(data!C63,0)</f>
        <v>4668181</v>
      </c>
      <c r="J2" s="222">
        <f>ROUND(data!C64,0)</f>
        <v>2878356</v>
      </c>
      <c r="K2" s="222">
        <f>ROUND(data!C65,0)</f>
        <v>3706</v>
      </c>
      <c r="L2" s="222">
        <f>ROUND(data!C66,0)</f>
        <v>330197</v>
      </c>
      <c r="M2" s="66">
        <f>ROUND(data!C67,0)</f>
        <v>1626223</v>
      </c>
      <c r="N2" s="222">
        <f>ROUND(data!C68,0)</f>
        <v>23664</v>
      </c>
      <c r="O2" s="222">
        <f>ROUND(data!C69,0)</f>
        <v>39727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39727</v>
      </c>
      <c r="AD2" s="222">
        <f>ROUND(data!C84,0)</f>
        <v>38000</v>
      </c>
      <c r="AE2" s="222">
        <f>ROUND(data!C89,0)</f>
        <v>142963197</v>
      </c>
      <c r="AF2" s="222">
        <f>ROUND(data!C87,0)</f>
        <v>142282238</v>
      </c>
      <c r="AG2" s="222">
        <f>IF(data!C90&gt;0,ROUND(data!C90,0),0)</f>
        <v>20827</v>
      </c>
      <c r="AH2" s="222">
        <f>IF(data!C91&gt;0,ROUND(data!C91,0),0)</f>
        <v>74702</v>
      </c>
      <c r="AI2" s="222">
        <f>IF(data!C92&gt;0,ROUND(data!C92,0),0)</f>
        <v>8198</v>
      </c>
      <c r="AJ2" s="222">
        <f>IF(data!C93&gt;0,ROUND(data!C93,0),0)</f>
        <v>362437</v>
      </c>
      <c r="AK2" s="212">
        <f>IF(data!C94&gt;0,ROUND(data!C94,2),0)</f>
        <v>157.81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032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032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98995</v>
      </c>
      <c r="F4" s="212">
        <f>ROUND(data!E60,2)</f>
        <v>557.65</v>
      </c>
      <c r="G4" s="222">
        <f>ROUND(data!E61,0)</f>
        <v>64820673</v>
      </c>
      <c r="H4" s="222">
        <f>ROUND(data!E62,0)</f>
        <v>12778695</v>
      </c>
      <c r="I4" s="222">
        <f>ROUND(data!E63,0)</f>
        <v>0</v>
      </c>
      <c r="J4" s="222">
        <f>ROUND(data!E64,0)</f>
        <v>4220240</v>
      </c>
      <c r="K4" s="222">
        <f>ROUND(data!E65,0)</f>
        <v>7336</v>
      </c>
      <c r="L4" s="222">
        <f>ROUND(data!E66,0)</f>
        <v>2746408</v>
      </c>
      <c r="M4" s="66">
        <f>ROUND(data!E67,0)</f>
        <v>3577030</v>
      </c>
      <c r="N4" s="222">
        <f>ROUND(data!E68,0)</f>
        <v>56100</v>
      </c>
      <c r="O4" s="222">
        <f>ROUND(data!E69,0)</f>
        <v>126650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126650</v>
      </c>
      <c r="AD4" s="222">
        <f>ROUND(data!E84,0)</f>
        <v>32050</v>
      </c>
      <c r="AE4" s="222">
        <f>ROUND(data!E89,0)</f>
        <v>368059474</v>
      </c>
      <c r="AF4" s="222">
        <f>ROUND(data!E87,0)</f>
        <v>354196579</v>
      </c>
      <c r="AG4" s="222">
        <f>IF(data!E90&gt;0,ROUND(data!E90,0),0)</f>
        <v>114276</v>
      </c>
      <c r="AH4" s="222">
        <f>IF(data!E91&gt;0,ROUND(data!E91,0),0)</f>
        <v>200715</v>
      </c>
      <c r="AI4" s="222">
        <f>IF(data!E92&gt;0,ROUND(data!E92,0),0)</f>
        <v>44984</v>
      </c>
      <c r="AJ4" s="222">
        <f>IF(data!E93&gt;0,ROUND(data!E93,0),0)</f>
        <v>730435</v>
      </c>
      <c r="AK4" s="212">
        <f>IF(data!E94&gt;0,ROUND(data!E94,2),0)</f>
        <v>432.31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032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032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032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0</v>
      </c>
      <c r="F7" s="212">
        <f>ROUND(data!H60,2)</f>
        <v>0</v>
      </c>
      <c r="G7" s="222">
        <f>ROUND(data!H61,0)</f>
        <v>150</v>
      </c>
      <c r="H7" s="222">
        <f>ROUND(data!H62,0)</f>
        <v>29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196</v>
      </c>
      <c r="M7" s="66">
        <f>ROUND(data!H67,0)</f>
        <v>148606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379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25669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032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032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5237</v>
      </c>
      <c r="F9" s="212">
        <f>ROUND(data!J60,2)</f>
        <v>62.38</v>
      </c>
      <c r="G9" s="222">
        <f>ROUND(data!J61,0)</f>
        <v>8391642</v>
      </c>
      <c r="H9" s="222">
        <f>ROUND(data!J62,0)</f>
        <v>1653171</v>
      </c>
      <c r="I9" s="222">
        <f>ROUND(data!J63,0)</f>
        <v>1306631</v>
      </c>
      <c r="J9" s="222">
        <f>ROUND(data!J64,0)</f>
        <v>1501103</v>
      </c>
      <c r="K9" s="222">
        <f>ROUND(data!J65,0)</f>
        <v>1444</v>
      </c>
      <c r="L9" s="222">
        <f>ROUND(data!J66,0)</f>
        <v>587374</v>
      </c>
      <c r="M9" s="66">
        <f>ROUND(data!J67,0)</f>
        <v>1013977</v>
      </c>
      <c r="N9" s="222">
        <f>ROUND(data!J68,0)</f>
        <v>8511</v>
      </c>
      <c r="O9" s="222">
        <f>ROUND(data!J69,0)</f>
        <v>46208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46208</v>
      </c>
      <c r="AD9" s="222">
        <f>ROUND(data!J84,0)</f>
        <v>7017</v>
      </c>
      <c r="AE9" s="222">
        <f>ROUND(data!J89,0)</f>
        <v>75979898</v>
      </c>
      <c r="AF9" s="222">
        <f>ROUND(data!J87,0)</f>
        <v>75979898</v>
      </c>
      <c r="AG9" s="222">
        <f>IF(data!J90&gt;0,ROUND(data!J90,0),0)</f>
        <v>2522</v>
      </c>
      <c r="AH9" s="222">
        <f>IF(data!J91&gt;0,ROUND(data!J91,0),0)</f>
        <v>0</v>
      </c>
      <c r="AI9" s="222">
        <f>IF(data!J92&gt;0,ROUND(data!J92,0),0)</f>
        <v>993</v>
      </c>
      <c r="AJ9" s="222">
        <f>IF(data!J93&gt;0,ROUND(data!J93,0),0)</f>
        <v>0</v>
      </c>
      <c r="AK9" s="212">
        <f>IF(data!J94&gt;0,ROUND(data!J94,2),0)</f>
        <v>52.45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032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032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032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032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032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16499</v>
      </c>
      <c r="F14" s="212">
        <f>ROUND(data!O60,2)</f>
        <v>146.42</v>
      </c>
      <c r="G14" s="222">
        <f>ROUND(data!O61,0)</f>
        <v>18197683</v>
      </c>
      <c r="H14" s="222">
        <f>ROUND(data!O62,0)</f>
        <v>3580552</v>
      </c>
      <c r="I14" s="222">
        <f>ROUND(data!O63,0)</f>
        <v>1719552</v>
      </c>
      <c r="J14" s="222">
        <f>ROUND(data!O64,0)</f>
        <v>1800459</v>
      </c>
      <c r="K14" s="222">
        <f>ROUND(data!O65,0)</f>
        <v>3683</v>
      </c>
      <c r="L14" s="222">
        <f>ROUND(data!O66,0)</f>
        <v>902817</v>
      </c>
      <c r="M14" s="66">
        <f>ROUND(data!O67,0)</f>
        <v>1026039</v>
      </c>
      <c r="N14" s="222">
        <f>ROUND(data!O68,0)</f>
        <v>197597</v>
      </c>
      <c r="O14" s="222">
        <f>ROUND(data!O69,0)</f>
        <v>55225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55225</v>
      </c>
      <c r="AD14" s="222">
        <f>ROUND(data!O84,0)</f>
        <v>31385</v>
      </c>
      <c r="AE14" s="222">
        <f>ROUND(data!O89,0)</f>
        <v>182705082</v>
      </c>
      <c r="AF14" s="222">
        <f>ROUND(data!O87,0)</f>
        <v>171427980</v>
      </c>
      <c r="AG14" s="222">
        <f>IF(data!O90&gt;0,ROUND(data!O90,0),0)</f>
        <v>17619</v>
      </c>
      <c r="AH14" s="222">
        <f>IF(data!O91&gt;0,ROUND(data!O91,0),0)</f>
        <v>0</v>
      </c>
      <c r="AI14" s="222">
        <f>IF(data!O92&gt;0,ROUND(data!O92,0),0)</f>
        <v>6936</v>
      </c>
      <c r="AJ14" s="222">
        <f>IF(data!O93&gt;0,ROUND(data!O93,0),0)</f>
        <v>230590</v>
      </c>
      <c r="AK14" s="212">
        <f>IF(data!O94&gt;0,ROUND(data!O94,2),0)</f>
        <v>109.03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032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1522721</v>
      </c>
      <c r="F15" s="212">
        <f>ROUND(data!P60,2)</f>
        <v>238.6</v>
      </c>
      <c r="G15" s="222">
        <f>ROUND(data!P61,0)</f>
        <v>28818095</v>
      </c>
      <c r="H15" s="222">
        <f>ROUND(data!P62,0)</f>
        <v>5675695</v>
      </c>
      <c r="I15" s="222">
        <f>ROUND(data!P63,0)</f>
        <v>3671904</v>
      </c>
      <c r="J15" s="222">
        <f>ROUND(data!P64,0)</f>
        <v>46587672</v>
      </c>
      <c r="K15" s="222">
        <f>ROUND(data!P65,0)</f>
        <v>11066</v>
      </c>
      <c r="L15" s="222">
        <f>ROUND(data!P66,0)</f>
        <v>5468328</v>
      </c>
      <c r="M15" s="66">
        <f>ROUND(data!P67,0)</f>
        <v>5543850</v>
      </c>
      <c r="N15" s="222">
        <f>ROUND(data!P68,0)</f>
        <v>1199667</v>
      </c>
      <c r="O15" s="222">
        <f>ROUND(data!P69,0)</f>
        <v>335960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335960</v>
      </c>
      <c r="AD15" s="222">
        <f>ROUND(data!P84,0)</f>
        <v>982370</v>
      </c>
      <c r="AE15" s="222">
        <f>ROUND(data!P89,0)</f>
        <v>1035898006</v>
      </c>
      <c r="AF15" s="222">
        <f>ROUND(data!P87,0)</f>
        <v>539696444</v>
      </c>
      <c r="AG15" s="222">
        <f>IF(data!P90&gt;0,ROUND(data!P90,0),0)</f>
        <v>89564</v>
      </c>
      <c r="AH15" s="222">
        <f>IF(data!P91&gt;0,ROUND(data!P91,0),0)</f>
        <v>5755</v>
      </c>
      <c r="AI15" s="222">
        <f>IF(data!P92&gt;0,ROUND(data!P92,0),0)</f>
        <v>35257</v>
      </c>
      <c r="AJ15" s="222">
        <f>IF(data!P93&gt;0,ROUND(data!P93,0),0)</f>
        <v>637202</v>
      </c>
      <c r="AK15" s="212">
        <f>IF(data!P94&gt;0,ROUND(data!P94,2),0)</f>
        <v>128.9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032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798945</v>
      </c>
      <c r="F16" s="212">
        <f>ROUND(data!Q60,2)</f>
        <v>16.09</v>
      </c>
      <c r="G16" s="222">
        <f>ROUND(data!Q61,0)</f>
        <v>2068056</v>
      </c>
      <c r="H16" s="222">
        <f>ROUND(data!Q62,0)</f>
        <v>406902</v>
      </c>
      <c r="I16" s="222">
        <f>ROUND(data!Q63,0)</f>
        <v>0</v>
      </c>
      <c r="J16" s="222">
        <f>ROUND(data!Q64,0)</f>
        <v>147005</v>
      </c>
      <c r="K16" s="222">
        <f>ROUND(data!Q65,0)</f>
        <v>948</v>
      </c>
      <c r="L16" s="222">
        <f>ROUND(data!Q66,0)</f>
        <v>26518</v>
      </c>
      <c r="M16" s="66">
        <f>ROUND(data!Q67,0)</f>
        <v>50791</v>
      </c>
      <c r="N16" s="222">
        <f>ROUND(data!Q68,0)</f>
        <v>2612</v>
      </c>
      <c r="O16" s="222">
        <f>ROUND(data!Q69,0)</f>
        <v>18899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18899</v>
      </c>
      <c r="AD16" s="222">
        <f>ROUND(data!Q84,0)</f>
        <v>0</v>
      </c>
      <c r="AE16" s="222">
        <f>ROUND(data!Q89,0)</f>
        <v>25271388</v>
      </c>
      <c r="AF16" s="222">
        <f>ROUND(data!Q87,0)</f>
        <v>14864405</v>
      </c>
      <c r="AG16" s="222">
        <f>IF(data!Q90&gt;0,ROUND(data!Q90,0),0)</f>
        <v>2369</v>
      </c>
      <c r="AH16" s="222">
        <f>IF(data!Q91&gt;0,ROUND(data!Q91,0),0)</f>
        <v>0</v>
      </c>
      <c r="AI16" s="222">
        <f>IF(data!Q92&gt;0,ROUND(data!Q92,0),0)</f>
        <v>933</v>
      </c>
      <c r="AJ16" s="222">
        <f>IF(data!Q93&gt;0,ROUND(data!Q93,0),0)</f>
        <v>50998</v>
      </c>
      <c r="AK16" s="212">
        <f>IF(data!Q94&gt;0,ROUND(data!Q94,2),0)</f>
        <v>13.92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032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032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39.8</v>
      </c>
      <c r="G18" s="222">
        <f>ROUND(data!S61,0)</f>
        <v>1975689</v>
      </c>
      <c r="H18" s="222">
        <f>ROUND(data!S62,0)</f>
        <v>388728</v>
      </c>
      <c r="I18" s="222">
        <f>ROUND(data!S63,0)</f>
        <v>0</v>
      </c>
      <c r="J18" s="222">
        <f>ROUND(data!S64,0)</f>
        <v>1993951</v>
      </c>
      <c r="K18" s="222">
        <f>ROUND(data!S65,0)</f>
        <v>106</v>
      </c>
      <c r="L18" s="222">
        <f>ROUND(data!S66,0)</f>
        <v>497155</v>
      </c>
      <c r="M18" s="66">
        <f>ROUND(data!S67,0)</f>
        <v>370257</v>
      </c>
      <c r="N18" s="222">
        <f>ROUND(data!S68,0)</f>
        <v>168677</v>
      </c>
      <c r="O18" s="222">
        <f>ROUND(data!S69,0)</f>
        <v>324160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324160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17441</v>
      </c>
      <c r="AH18" s="222">
        <f>IF(data!S91&gt;0,ROUND(data!S91,0),0)</f>
        <v>0</v>
      </c>
      <c r="AI18" s="222">
        <f>IF(data!S92&gt;0,ROUND(data!S92,0),0)</f>
        <v>6866</v>
      </c>
      <c r="AJ18" s="222">
        <f>IF(data!S93&gt;0,ROUND(data!S93,0),0)</f>
        <v>12868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032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12.3</v>
      </c>
      <c r="G19" s="222">
        <f>ROUND(data!T61,0)</f>
        <v>1822746</v>
      </c>
      <c r="H19" s="222">
        <f>ROUND(data!T62,0)</f>
        <v>358636</v>
      </c>
      <c r="I19" s="222">
        <f>ROUND(data!T63,0)</f>
        <v>0</v>
      </c>
      <c r="J19" s="222">
        <f>ROUND(data!T64,0)</f>
        <v>1129968</v>
      </c>
      <c r="K19" s="222">
        <f>ROUND(data!T65,0)</f>
        <v>2146</v>
      </c>
      <c r="L19" s="222">
        <f>ROUND(data!T66,0)</f>
        <v>11</v>
      </c>
      <c r="M19" s="66">
        <f>ROUND(data!T67,0)</f>
        <v>36038</v>
      </c>
      <c r="N19" s="222">
        <f>ROUND(data!T68,0)</f>
        <v>586</v>
      </c>
      <c r="O19" s="222">
        <f>ROUND(data!T69,0)</f>
        <v>7342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7342</v>
      </c>
      <c r="AD19" s="222">
        <f>ROUND(data!T84,0)</f>
        <v>0</v>
      </c>
      <c r="AE19" s="222">
        <f>ROUND(data!T89,0)</f>
        <v>19297452</v>
      </c>
      <c r="AF19" s="222">
        <f>ROUND(data!T87,0)</f>
        <v>17900600</v>
      </c>
      <c r="AG19" s="222">
        <f>IF(data!T90&gt;0,ROUND(data!T90,0),0)</f>
        <v>0</v>
      </c>
      <c r="AH19" s="222">
        <f>IF(data!T91&gt;0,ROUND(data!T91,0),0)</f>
        <v>27000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12.29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032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1654172</v>
      </c>
      <c r="F20" s="212">
        <f>ROUND(data!U60,2)</f>
        <v>93.82</v>
      </c>
      <c r="G20" s="222">
        <f>ROUND(data!U61,0)</f>
        <v>8306778</v>
      </c>
      <c r="H20" s="222">
        <f>ROUND(data!U62,0)</f>
        <v>1636493</v>
      </c>
      <c r="I20" s="222">
        <f>ROUND(data!U63,0)</f>
        <v>72893</v>
      </c>
      <c r="J20" s="222">
        <f>ROUND(data!U64,0)</f>
        <v>16701959</v>
      </c>
      <c r="K20" s="222">
        <f>ROUND(data!U65,0)</f>
        <v>63042</v>
      </c>
      <c r="L20" s="222">
        <f>ROUND(data!U66,0)</f>
        <v>3549752</v>
      </c>
      <c r="M20" s="66">
        <f>ROUND(data!U67,0)</f>
        <v>757317</v>
      </c>
      <c r="N20" s="222">
        <f>ROUND(data!U68,0)</f>
        <v>343768</v>
      </c>
      <c r="O20" s="222">
        <f>ROUND(data!U69,0)</f>
        <v>9959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9959</v>
      </c>
      <c r="AD20" s="222">
        <f>ROUND(data!U84,0)</f>
        <v>1415497</v>
      </c>
      <c r="AE20" s="222">
        <f>ROUND(data!U89,0)</f>
        <v>162909233</v>
      </c>
      <c r="AF20" s="222">
        <f>ROUND(data!U87,0)</f>
        <v>124220010</v>
      </c>
      <c r="AG20" s="222">
        <f>IF(data!U90&gt;0,ROUND(data!U90,0),0)</f>
        <v>16657</v>
      </c>
      <c r="AH20" s="222">
        <f>IF(data!U91&gt;0,ROUND(data!U91,0),0)</f>
        <v>0</v>
      </c>
      <c r="AI20" s="222">
        <f>IF(data!U92&gt;0,ROUND(data!U92,0),0)</f>
        <v>6557</v>
      </c>
      <c r="AJ20" s="222">
        <f>IF(data!U93&gt;0,ROUND(data!U93,0),0)</f>
        <v>5855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032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47779</v>
      </c>
      <c r="F21" s="212">
        <f>ROUND(data!V60,2)</f>
        <v>28.01</v>
      </c>
      <c r="G21" s="222">
        <f>ROUND(data!V61,0)</f>
        <v>3996934</v>
      </c>
      <c r="H21" s="222">
        <f>ROUND(data!V62,0)</f>
        <v>786460</v>
      </c>
      <c r="I21" s="222">
        <f>ROUND(data!V63,0)</f>
        <v>0</v>
      </c>
      <c r="J21" s="222">
        <f>ROUND(data!V64,0)</f>
        <v>19619250</v>
      </c>
      <c r="K21" s="222">
        <f>ROUND(data!V65,0)</f>
        <v>2208</v>
      </c>
      <c r="L21" s="222">
        <f>ROUND(data!V66,0)</f>
        <v>725962</v>
      </c>
      <c r="M21" s="66">
        <f>ROUND(data!V67,0)</f>
        <v>1092312</v>
      </c>
      <c r="N21" s="222">
        <f>ROUND(data!V68,0)</f>
        <v>2267</v>
      </c>
      <c r="O21" s="222">
        <f>ROUND(data!V69,0)</f>
        <v>10639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10639</v>
      </c>
      <c r="AD21" s="222">
        <f>ROUND(data!V84,0)</f>
        <v>13050</v>
      </c>
      <c r="AE21" s="222">
        <f>ROUND(data!V89,0)</f>
        <v>232021063</v>
      </c>
      <c r="AF21" s="222">
        <f>ROUND(data!V87,0)</f>
        <v>88501135</v>
      </c>
      <c r="AG21" s="222">
        <f>IF(data!V90&gt;0,ROUND(data!V90,0),0)</f>
        <v>3310</v>
      </c>
      <c r="AH21" s="222">
        <f>IF(data!V91&gt;0,ROUND(data!V91,0),0)</f>
        <v>0</v>
      </c>
      <c r="AI21" s="222">
        <f>IF(data!V92&gt;0,ROUND(data!V92,0),0)</f>
        <v>1303</v>
      </c>
      <c r="AJ21" s="222">
        <f>IF(data!V93&gt;0,ROUND(data!V93,0),0)</f>
        <v>0</v>
      </c>
      <c r="AK21" s="212">
        <f>IF(data!V94&gt;0,ROUND(data!V94,2),0)</f>
        <v>5.29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032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26637</v>
      </c>
      <c r="F22" s="212">
        <f>ROUND(data!W60,2)</f>
        <v>8.8</v>
      </c>
      <c r="G22" s="222">
        <f>ROUND(data!W61,0)</f>
        <v>1013051</v>
      </c>
      <c r="H22" s="222">
        <f>ROUND(data!W62,0)</f>
        <v>199324</v>
      </c>
      <c r="I22" s="222">
        <f>ROUND(data!W63,0)</f>
        <v>0</v>
      </c>
      <c r="J22" s="222">
        <f>ROUND(data!W64,0)</f>
        <v>99958</v>
      </c>
      <c r="K22" s="222">
        <f>ROUND(data!W65,0)</f>
        <v>159</v>
      </c>
      <c r="L22" s="222">
        <f>ROUND(data!W66,0)</f>
        <v>136359</v>
      </c>
      <c r="M22" s="66">
        <f>ROUND(data!W67,0)</f>
        <v>154532</v>
      </c>
      <c r="N22" s="222">
        <f>ROUND(data!W68,0)</f>
        <v>3151</v>
      </c>
      <c r="O22" s="222">
        <f>ROUND(data!W69,0)</f>
        <v>554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554</v>
      </c>
      <c r="AD22" s="222">
        <f>ROUND(data!W84,0)</f>
        <v>0</v>
      </c>
      <c r="AE22" s="222">
        <f>ROUND(data!W89,0)</f>
        <v>45391386</v>
      </c>
      <c r="AF22" s="222">
        <f>ROUND(data!W87,0)</f>
        <v>17520901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032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85506</v>
      </c>
      <c r="F23" s="212">
        <f>ROUND(data!X60,2)</f>
        <v>11.66</v>
      </c>
      <c r="G23" s="222">
        <f>ROUND(data!X61,0)</f>
        <v>1447462</v>
      </c>
      <c r="H23" s="222">
        <f>ROUND(data!X62,0)</f>
        <v>284797</v>
      </c>
      <c r="I23" s="222">
        <f>ROUND(data!X63,0)</f>
        <v>0</v>
      </c>
      <c r="J23" s="222">
        <f>ROUND(data!X64,0)</f>
        <v>336386</v>
      </c>
      <c r="K23" s="222">
        <f>ROUND(data!X65,0)</f>
        <v>393</v>
      </c>
      <c r="L23" s="222">
        <f>ROUND(data!X66,0)</f>
        <v>174554</v>
      </c>
      <c r="M23" s="66">
        <f>ROUND(data!X67,0)</f>
        <v>412030</v>
      </c>
      <c r="N23" s="222">
        <f>ROUND(data!X68,0)</f>
        <v>285</v>
      </c>
      <c r="O23" s="222">
        <f>ROUND(data!X69,0)</f>
        <v>2814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2814</v>
      </c>
      <c r="AD23" s="222">
        <f>ROUND(data!X84,0)</f>
        <v>0</v>
      </c>
      <c r="AE23" s="222">
        <f>ROUND(data!X89,0)</f>
        <v>204092391</v>
      </c>
      <c r="AF23" s="222">
        <f>ROUND(data!X87,0)</f>
        <v>98338733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032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523756</v>
      </c>
      <c r="F24" s="212">
        <f>ROUND(data!Y60,2)</f>
        <v>54.38</v>
      </c>
      <c r="G24" s="222">
        <f>ROUND(data!Y61,0)</f>
        <v>5659891</v>
      </c>
      <c r="H24" s="222">
        <f>ROUND(data!Y62,0)</f>
        <v>1115040</v>
      </c>
      <c r="I24" s="222">
        <f>ROUND(data!Y63,0)</f>
        <v>58688</v>
      </c>
      <c r="J24" s="222">
        <f>ROUND(data!Y64,0)</f>
        <v>3861322</v>
      </c>
      <c r="K24" s="222">
        <f>ROUND(data!Y65,0)</f>
        <v>4081</v>
      </c>
      <c r="L24" s="222">
        <f>ROUND(data!Y66,0)</f>
        <v>2596417</v>
      </c>
      <c r="M24" s="66">
        <f>ROUND(data!Y67,0)</f>
        <v>1314242</v>
      </c>
      <c r="N24" s="222">
        <f>ROUND(data!Y68,0)</f>
        <v>20208</v>
      </c>
      <c r="O24" s="222">
        <f>ROUND(data!Y69,0)</f>
        <v>59391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59391</v>
      </c>
      <c r="AD24" s="222">
        <f>ROUND(data!Y84,0)</f>
        <v>19322</v>
      </c>
      <c r="AE24" s="222">
        <f>ROUND(data!Y89,0)</f>
        <v>107425629</v>
      </c>
      <c r="AF24" s="222">
        <f>ROUND(data!Y87,0)</f>
        <v>64872642</v>
      </c>
      <c r="AG24" s="222">
        <f>IF(data!Y90&gt;0,ROUND(data!Y90,0),0)</f>
        <v>46104</v>
      </c>
      <c r="AH24" s="222">
        <f>IF(data!Y91&gt;0,ROUND(data!Y91,0),0)</f>
        <v>0</v>
      </c>
      <c r="AI24" s="222">
        <f>IF(data!Y92&gt;0,ROUND(data!Y92,0),0)</f>
        <v>18149</v>
      </c>
      <c r="AJ24" s="222">
        <f>IF(data!Y93&gt;0,ROUND(data!Y93,0),0)</f>
        <v>99129</v>
      </c>
      <c r="AK24" s="212">
        <f>IF(data!Y94&gt;0,ROUND(data!Y94,2),0)</f>
        <v>4.79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032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032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30952</v>
      </c>
      <c r="F26" s="212">
        <f>ROUND(data!AA60,2)</f>
        <v>4.09</v>
      </c>
      <c r="G26" s="222">
        <f>ROUND(data!AA61,0)</f>
        <v>662011</v>
      </c>
      <c r="H26" s="222">
        <f>ROUND(data!AA62,0)</f>
        <v>130255</v>
      </c>
      <c r="I26" s="222">
        <f>ROUND(data!AA63,0)</f>
        <v>0</v>
      </c>
      <c r="J26" s="222">
        <f>ROUND(data!AA64,0)</f>
        <v>464454</v>
      </c>
      <c r="K26" s="222">
        <f>ROUND(data!AA65,0)</f>
        <v>307</v>
      </c>
      <c r="L26" s="222">
        <f>ROUND(data!AA66,0)</f>
        <v>78067</v>
      </c>
      <c r="M26" s="66">
        <f>ROUND(data!AA67,0)</f>
        <v>112435</v>
      </c>
      <c r="N26" s="222">
        <f>ROUND(data!AA68,0)</f>
        <v>275</v>
      </c>
      <c r="O26" s="222">
        <f>ROUND(data!AA69,0)</f>
        <v>17352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17352</v>
      </c>
      <c r="AD26" s="222">
        <f>ROUND(data!AA84,0)</f>
        <v>0</v>
      </c>
      <c r="AE26" s="222">
        <f>ROUND(data!AA89,0)</f>
        <v>18309369</v>
      </c>
      <c r="AF26" s="222">
        <f>ROUND(data!AA87,0)</f>
        <v>3342611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7808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032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84.34</v>
      </c>
      <c r="G27" s="222">
        <f>ROUND(data!AB61,0)</f>
        <v>9216069</v>
      </c>
      <c r="H27" s="222">
        <f>ROUND(data!AB62,0)</f>
        <v>1815522</v>
      </c>
      <c r="I27" s="222">
        <f>ROUND(data!AB63,0)</f>
        <v>13891</v>
      </c>
      <c r="J27" s="222">
        <f>ROUND(data!AB64,0)</f>
        <v>17765045</v>
      </c>
      <c r="K27" s="222">
        <f>ROUND(data!AB65,0)</f>
        <v>4075</v>
      </c>
      <c r="L27" s="222">
        <f>ROUND(data!AB66,0)</f>
        <v>903391</v>
      </c>
      <c r="M27" s="66">
        <f>ROUND(data!AB67,0)</f>
        <v>805835</v>
      </c>
      <c r="N27" s="222">
        <f>ROUND(data!AB68,0)</f>
        <v>179253</v>
      </c>
      <c r="O27" s="222">
        <f>ROUND(data!AB69,0)</f>
        <v>3063460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3063460</v>
      </c>
      <c r="AD27" s="222">
        <f>ROUND(data!AB84,0)</f>
        <v>5512027</v>
      </c>
      <c r="AE27" s="222">
        <f>ROUND(data!AB89,0)</f>
        <v>436598241</v>
      </c>
      <c r="AF27" s="222">
        <f>ROUND(data!AB87,0)</f>
        <v>311135486</v>
      </c>
      <c r="AG27" s="222">
        <f>IF(data!AB90&gt;0,ROUND(data!AB90,0),0)</f>
        <v>13531</v>
      </c>
      <c r="AH27" s="222">
        <f>IF(data!AB91&gt;0,ROUND(data!AB91,0),0)</f>
        <v>0</v>
      </c>
      <c r="AI27" s="222">
        <f>IF(data!AB92&gt;0,ROUND(data!AB92,0),0)</f>
        <v>5327</v>
      </c>
      <c r="AJ27" s="222">
        <f>IF(data!AB93&gt;0,ROUND(data!AB93,0),0)</f>
        <v>0</v>
      </c>
      <c r="AK27" s="212">
        <f>IF(data!AB94&gt;0,ROUND(data!AB94,2),0)</f>
        <v>1.71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032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190546</v>
      </c>
      <c r="F28" s="212">
        <f>ROUND(data!AC60,2)</f>
        <v>39.05</v>
      </c>
      <c r="G28" s="222">
        <f>ROUND(data!AC61,0)</f>
        <v>4848994</v>
      </c>
      <c r="H28" s="222">
        <f>ROUND(data!AC62,0)</f>
        <v>954068</v>
      </c>
      <c r="I28" s="222">
        <f>ROUND(data!AC63,0)</f>
        <v>6810</v>
      </c>
      <c r="J28" s="222">
        <f>ROUND(data!AC64,0)</f>
        <v>1278826</v>
      </c>
      <c r="K28" s="222">
        <f>ROUND(data!AC65,0)</f>
        <v>1321</v>
      </c>
      <c r="L28" s="222">
        <f>ROUND(data!AC66,0)</f>
        <v>90192</v>
      </c>
      <c r="M28" s="66">
        <f>ROUND(data!AC67,0)</f>
        <v>242753</v>
      </c>
      <c r="N28" s="222">
        <f>ROUND(data!AC68,0)</f>
        <v>30627</v>
      </c>
      <c r="O28" s="222">
        <f>ROUND(data!AC69,0)</f>
        <v>22833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22833</v>
      </c>
      <c r="AD28" s="222">
        <f>ROUND(data!AC84,0)</f>
        <v>0</v>
      </c>
      <c r="AE28" s="222">
        <f>ROUND(data!AC89,0)</f>
        <v>86347803</v>
      </c>
      <c r="AF28" s="222">
        <f>ROUND(data!AC87,0)</f>
        <v>79137548</v>
      </c>
      <c r="AG28" s="222">
        <f>IF(data!AC90&gt;0,ROUND(data!AC90,0),0)</f>
        <v>981</v>
      </c>
      <c r="AH28" s="222">
        <f>IF(data!AC91&gt;0,ROUND(data!AC91,0),0)</f>
        <v>0</v>
      </c>
      <c r="AI28" s="222">
        <f>IF(data!AC92&gt;0,ROUND(data!AC92,0),0)</f>
        <v>386</v>
      </c>
      <c r="AJ28" s="222">
        <f>IF(data!AC93&gt;0,ROUND(data!AC93,0),0)</f>
        <v>0</v>
      </c>
      <c r="AK28" s="212">
        <f>IF(data!AC94&gt;0,ROUND(data!AC94,2),0)</f>
        <v>0.16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032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0</v>
      </c>
      <c r="F29" s="212">
        <f>ROUND(data!AD60,2)</f>
        <v>0.32</v>
      </c>
      <c r="G29" s="222">
        <f>ROUND(data!AD61,0)</f>
        <v>107670</v>
      </c>
      <c r="H29" s="222">
        <f>ROUND(data!AD62,0)</f>
        <v>21185</v>
      </c>
      <c r="I29" s="222">
        <f>ROUND(data!AD63,0)</f>
        <v>0</v>
      </c>
      <c r="J29" s="222">
        <f>ROUND(data!AD64,0)</f>
        <v>66062</v>
      </c>
      <c r="K29" s="222">
        <f>ROUND(data!AD65,0)</f>
        <v>0</v>
      </c>
      <c r="L29" s="222">
        <f>ROUND(data!AD66,0)</f>
        <v>2919965</v>
      </c>
      <c r="M29" s="66">
        <f>ROUND(data!AD67,0)</f>
        <v>262283</v>
      </c>
      <c r="N29" s="222">
        <f>ROUND(data!AD68,0)</f>
        <v>2505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397329</v>
      </c>
      <c r="AE29" s="222">
        <f>ROUND(data!AD89,0)</f>
        <v>11344371</v>
      </c>
      <c r="AF29" s="222">
        <f>ROUND(data!AD87,0)</f>
        <v>11115170</v>
      </c>
      <c r="AG29" s="222">
        <f>IF(data!AD90&gt;0,ROUND(data!AD90,0),0)</f>
        <v>11307</v>
      </c>
      <c r="AH29" s="222">
        <f>IF(data!AD91&gt;0,ROUND(data!AD91,0),0)</f>
        <v>0</v>
      </c>
      <c r="AI29" s="222">
        <f>IF(data!AD92&gt;0,ROUND(data!AD92,0),0)</f>
        <v>4451</v>
      </c>
      <c r="AJ29" s="222">
        <f>IF(data!AD93&gt;0,ROUND(data!AD93,0),0)</f>
        <v>5947</v>
      </c>
      <c r="AK29" s="212">
        <f>IF(data!AD94&gt;0,ROUND(data!AD94,2),0)</f>
        <v>0.32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032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141471</v>
      </c>
      <c r="F30" s="212">
        <f>ROUND(data!AE60,2)</f>
        <v>42.53</v>
      </c>
      <c r="G30" s="222">
        <f>ROUND(data!AE61,0)</f>
        <v>4369338</v>
      </c>
      <c r="H30" s="222">
        <f>ROUND(data!AE62,0)</f>
        <v>859693</v>
      </c>
      <c r="I30" s="222">
        <f>ROUND(data!AE63,0)</f>
        <v>0</v>
      </c>
      <c r="J30" s="222">
        <f>ROUND(data!AE64,0)</f>
        <v>52321</v>
      </c>
      <c r="K30" s="222">
        <f>ROUND(data!AE65,0)</f>
        <v>1272</v>
      </c>
      <c r="L30" s="222">
        <f>ROUND(data!AE66,0)</f>
        <v>1295075</v>
      </c>
      <c r="M30" s="66">
        <f>ROUND(data!AE67,0)</f>
        <v>257724</v>
      </c>
      <c r="N30" s="222">
        <f>ROUND(data!AE68,0)</f>
        <v>191453</v>
      </c>
      <c r="O30" s="222">
        <f>ROUND(data!AE69,0)</f>
        <v>18484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18484</v>
      </c>
      <c r="AD30" s="222">
        <f>ROUND(data!AE84,0)</f>
        <v>3910</v>
      </c>
      <c r="AE30" s="222">
        <f>ROUND(data!AE89,0)</f>
        <v>30209024</v>
      </c>
      <c r="AF30" s="222">
        <f>ROUND(data!AE87,0)</f>
        <v>11343434</v>
      </c>
      <c r="AG30" s="222">
        <f>IF(data!AE90&gt;0,ROUND(data!AE90,0),0)</f>
        <v>11376</v>
      </c>
      <c r="AH30" s="222">
        <f>IF(data!AE91&gt;0,ROUND(data!AE91,0),0)</f>
        <v>0</v>
      </c>
      <c r="AI30" s="222">
        <f>IF(data!AE92&gt;0,ROUND(data!AE92,0),0)</f>
        <v>4478</v>
      </c>
      <c r="AJ30" s="222">
        <f>IF(data!AE93&gt;0,ROUND(data!AE93,0),0)</f>
        <v>0</v>
      </c>
      <c r="AK30" s="212">
        <f>IF(data!AE94&gt;0,ROUND(data!AE94,2),0)</f>
        <v>0.01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032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032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41858</v>
      </c>
      <c r="F32" s="212">
        <f>ROUND(data!AG60,2)</f>
        <v>69.12</v>
      </c>
      <c r="G32" s="222">
        <f>ROUND(data!AG61,0)</f>
        <v>8171462</v>
      </c>
      <c r="H32" s="222">
        <f>ROUND(data!AG62,0)</f>
        <v>1608129</v>
      </c>
      <c r="I32" s="222">
        <f>ROUND(data!AG63,0)</f>
        <v>7096243</v>
      </c>
      <c r="J32" s="222">
        <f>ROUND(data!AG64,0)</f>
        <v>1891881</v>
      </c>
      <c r="K32" s="222">
        <f>ROUND(data!AG65,0)</f>
        <v>1100</v>
      </c>
      <c r="L32" s="222">
        <f>ROUND(data!AG66,0)</f>
        <v>647049</v>
      </c>
      <c r="M32" s="66">
        <f>ROUND(data!AG67,0)</f>
        <v>898079</v>
      </c>
      <c r="N32" s="222">
        <f>ROUND(data!AG68,0)</f>
        <v>25908</v>
      </c>
      <c r="O32" s="222">
        <f>ROUND(data!AG69,0)</f>
        <v>45122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45122</v>
      </c>
      <c r="AD32" s="222">
        <f>ROUND(data!AG84,0)</f>
        <v>9000</v>
      </c>
      <c r="AE32" s="222">
        <f>ROUND(data!AG89,0)</f>
        <v>199104742</v>
      </c>
      <c r="AF32" s="222">
        <f>ROUND(data!AG87,0)</f>
        <v>77714774</v>
      </c>
      <c r="AG32" s="222">
        <f>IF(data!AG90&gt;0,ROUND(data!AG90,0),0)</f>
        <v>20182</v>
      </c>
      <c r="AH32" s="222">
        <f>IF(data!AG91&gt;0,ROUND(data!AG91,0),0)</f>
        <v>16737</v>
      </c>
      <c r="AI32" s="222">
        <f>IF(data!AG92&gt;0,ROUND(data!AG92,0),0)</f>
        <v>7945</v>
      </c>
      <c r="AJ32" s="222">
        <f>IF(data!AG93&gt;0,ROUND(data!AG93,0),0)</f>
        <v>250195</v>
      </c>
      <c r="AK32" s="212">
        <f>IF(data!AG94&gt;0,ROUND(data!AG94,2),0)</f>
        <v>49.46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032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032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032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582525</v>
      </c>
      <c r="F35" s="212">
        <f>ROUND(data!AJ60,2)</f>
        <v>826.56</v>
      </c>
      <c r="G35" s="222">
        <f>ROUND(data!AJ61,0)</f>
        <v>105011110</v>
      </c>
      <c r="H35" s="222">
        <f>ROUND(data!AJ62,0)</f>
        <v>20661702</v>
      </c>
      <c r="I35" s="222">
        <f>ROUND(data!AJ63,0)</f>
        <v>2258764</v>
      </c>
      <c r="J35" s="222">
        <f>ROUND(data!AJ64,0)</f>
        <v>6557348</v>
      </c>
      <c r="K35" s="222">
        <f>ROUND(data!AJ65,0)</f>
        <v>446091</v>
      </c>
      <c r="L35" s="222">
        <f>ROUND(data!AJ66,0)</f>
        <v>15227644</v>
      </c>
      <c r="M35" s="66">
        <f>ROUND(data!AJ67,0)</f>
        <v>5612892</v>
      </c>
      <c r="N35" s="222">
        <f>ROUND(data!AJ68,0)</f>
        <v>9126914</v>
      </c>
      <c r="O35" s="222">
        <f>ROUND(data!AJ69,0)</f>
        <v>111463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111463</v>
      </c>
      <c r="AD35" s="222">
        <f>ROUND(data!AJ84,0)</f>
        <v>6676565</v>
      </c>
      <c r="AE35" s="222">
        <f>ROUND(data!AJ89,0)</f>
        <v>266912547</v>
      </c>
      <c r="AF35" s="222">
        <f>ROUND(data!AJ87,0)</f>
        <v>121851</v>
      </c>
      <c r="AG35" s="222">
        <f>IF(data!AJ90&gt;0,ROUND(data!AJ90,0),0)</f>
        <v>20716</v>
      </c>
      <c r="AH35" s="222">
        <f>IF(data!AJ91&gt;0,ROUND(data!AJ91,0),0)</f>
        <v>0</v>
      </c>
      <c r="AI35" s="222">
        <f>IF(data!AJ92&gt;0,ROUND(data!AJ92,0),0)</f>
        <v>8155</v>
      </c>
      <c r="AJ35" s="222">
        <f>IF(data!AJ93&gt;0,ROUND(data!AJ93,0),0)</f>
        <v>8006</v>
      </c>
      <c r="AK35" s="212">
        <f>IF(data!AJ94&gt;0,ROUND(data!AJ94,2),0)</f>
        <v>151.43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032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59997</v>
      </c>
      <c r="F36" s="212">
        <f>ROUND(data!AK60,2)</f>
        <v>16.92</v>
      </c>
      <c r="G36" s="222">
        <f>ROUND(data!AK61,0)</f>
        <v>1812862</v>
      </c>
      <c r="H36" s="222">
        <f>ROUND(data!AK62,0)</f>
        <v>356691</v>
      </c>
      <c r="I36" s="222">
        <f>ROUND(data!AK63,0)</f>
        <v>0</v>
      </c>
      <c r="J36" s="222">
        <f>ROUND(data!AK64,0)</f>
        <v>4252</v>
      </c>
      <c r="K36" s="222">
        <f>ROUND(data!AK65,0)</f>
        <v>491</v>
      </c>
      <c r="L36" s="222">
        <f>ROUND(data!AK66,0)</f>
        <v>5652</v>
      </c>
      <c r="M36" s="66">
        <f>ROUND(data!AK67,0)</f>
        <v>127858</v>
      </c>
      <c r="N36" s="222">
        <f>ROUND(data!AK68,0)</f>
        <v>0</v>
      </c>
      <c r="O36" s="222">
        <f>ROUND(data!AK69,0)</f>
        <v>5597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5597</v>
      </c>
      <c r="AD36" s="222">
        <f>ROUND(data!AK84,0)</f>
        <v>0</v>
      </c>
      <c r="AE36" s="222">
        <f>ROUND(data!AK89,0)</f>
        <v>14455159</v>
      </c>
      <c r="AF36" s="222">
        <f>ROUND(data!AK87,0)</f>
        <v>9632327</v>
      </c>
      <c r="AG36" s="222">
        <f>IF(data!AK90&gt;0,ROUND(data!AK90,0),0)</f>
        <v>5815</v>
      </c>
      <c r="AH36" s="222">
        <f>IF(data!AK91&gt;0,ROUND(data!AK91,0),0)</f>
        <v>0</v>
      </c>
      <c r="AI36" s="222">
        <f>IF(data!AK92&gt;0,ROUND(data!AK92,0),0)</f>
        <v>2289</v>
      </c>
      <c r="AJ36" s="222">
        <f>IF(data!AK93&gt;0,ROUND(data!AK93,0),0)</f>
        <v>16431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032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7387</v>
      </c>
      <c r="F37" s="212">
        <f>ROUND(data!AL60,2)</f>
        <v>5.99</v>
      </c>
      <c r="G37" s="222">
        <f>ROUND(data!AL61,0)</f>
        <v>623730</v>
      </c>
      <c r="H37" s="222">
        <f>ROUND(data!AL62,0)</f>
        <v>122723</v>
      </c>
      <c r="I37" s="222">
        <f>ROUND(data!AL63,0)</f>
        <v>0</v>
      </c>
      <c r="J37" s="222">
        <f>ROUND(data!AL64,0)</f>
        <v>115</v>
      </c>
      <c r="K37" s="222">
        <f>ROUND(data!AL65,0)</f>
        <v>1125</v>
      </c>
      <c r="L37" s="222">
        <f>ROUND(data!AL66,0)</f>
        <v>117</v>
      </c>
      <c r="M37" s="66">
        <f>ROUND(data!AL67,0)</f>
        <v>90777</v>
      </c>
      <c r="N37" s="222">
        <f>ROUND(data!AL68,0)</f>
        <v>0</v>
      </c>
      <c r="O37" s="222">
        <f>ROUND(data!AL69,0)</f>
        <v>5724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5724</v>
      </c>
      <c r="AD37" s="222">
        <f>ROUND(data!AL84,0)</f>
        <v>0</v>
      </c>
      <c r="AE37" s="222">
        <f>ROUND(data!AL89,0)</f>
        <v>4244879</v>
      </c>
      <c r="AF37" s="222">
        <f>ROUND(data!AL87,0)</f>
        <v>3570785</v>
      </c>
      <c r="AG37" s="222">
        <f>IF(data!AL90&gt;0,ROUND(data!AL90,0),0)</f>
        <v>4171</v>
      </c>
      <c r="AH37" s="222">
        <f>IF(data!AL91&gt;0,ROUND(data!AL91,0),0)</f>
        <v>0</v>
      </c>
      <c r="AI37" s="222">
        <f>IF(data!AL92&gt;0,ROUND(data!AL92,0),0)</f>
        <v>1642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032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032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032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032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38</v>
      </c>
      <c r="K41" s="222">
        <f>ROUND(data!AP65,0)</f>
        <v>5257</v>
      </c>
      <c r="L41" s="222">
        <f>ROUND(data!AP66,0)</f>
        <v>0</v>
      </c>
      <c r="M41" s="66">
        <f>ROUND(data!AP67,0)</f>
        <v>38149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514566</v>
      </c>
      <c r="AE41" s="222">
        <f>ROUND(data!AP89,0)</f>
        <v>9102614</v>
      </c>
      <c r="AF41" s="222">
        <f>ROUND(data!AP87,0)</f>
        <v>71297</v>
      </c>
      <c r="AG41" s="222">
        <f>IF(data!AP90&gt;0,ROUND(data!AP90,0),0)</f>
        <v>1797</v>
      </c>
      <c r="AH41" s="222">
        <f>IF(data!AP91&gt;0,ROUND(data!AP91,0),0)</f>
        <v>0</v>
      </c>
      <c r="AI41" s="222">
        <f>IF(data!AP92&gt;0,ROUND(data!AP92,0),0)</f>
        <v>707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032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032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169801</v>
      </c>
      <c r="F43" s="212">
        <f>ROUND(data!AR60,2)</f>
        <v>219.25</v>
      </c>
      <c r="G43" s="222">
        <f>ROUND(data!AR61,0)</f>
        <v>23805315</v>
      </c>
      <c r="H43" s="222">
        <f>ROUND(data!AR62,0)</f>
        <v>4686116</v>
      </c>
      <c r="I43" s="222">
        <f>ROUND(data!AR63,0)</f>
        <v>28787</v>
      </c>
      <c r="J43" s="222">
        <f>ROUND(data!AR64,0)</f>
        <v>2549730</v>
      </c>
      <c r="K43" s="222">
        <f>ROUND(data!AR65,0)</f>
        <v>381732</v>
      </c>
      <c r="L43" s="222">
        <f>ROUND(data!AR66,0)</f>
        <v>6883647</v>
      </c>
      <c r="M43" s="66">
        <f>ROUND(data!AR67,0)</f>
        <v>1195455</v>
      </c>
      <c r="N43" s="222">
        <f>ROUND(data!AR68,0)</f>
        <v>944641</v>
      </c>
      <c r="O43" s="222">
        <f>ROUND(data!AR69,0)</f>
        <v>883455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883455</v>
      </c>
      <c r="AD43" s="222">
        <f>ROUND(data!AR84,0)</f>
        <v>41084</v>
      </c>
      <c r="AE43" s="222">
        <f>ROUND(data!AR89,0)</f>
        <v>38983514</v>
      </c>
      <c r="AF43" s="222">
        <f>ROUND(data!AR87,0)</f>
        <v>0</v>
      </c>
      <c r="AG43" s="222">
        <f>IF(data!AR90&gt;0,ROUND(data!AR90,0),0)</f>
        <v>44604</v>
      </c>
      <c r="AH43" s="222">
        <f>IF(data!AR91&gt;0,ROUND(data!AR91,0),0)</f>
        <v>0</v>
      </c>
      <c r="AI43" s="222">
        <f>IF(data!AR92&gt;0,ROUND(data!AR92,0),0)</f>
        <v>17558</v>
      </c>
      <c r="AJ43" s="222">
        <f>IF(data!AR93&gt;0,ROUND(data!AR93,0),0)</f>
        <v>0</v>
      </c>
      <c r="AK43" s="212">
        <f>IF(data!AR94&gt;0,ROUND(data!AR94,2),0)</f>
        <v>80.17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032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032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032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032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68.35</v>
      </c>
      <c r="G47" s="222">
        <f>ROUND(data!AV61,0)</f>
        <v>5479647</v>
      </c>
      <c r="H47" s="222">
        <f>ROUND(data!AV62,0)</f>
        <v>1078153</v>
      </c>
      <c r="I47" s="222">
        <f>ROUND(data!AV63,0)</f>
        <v>0</v>
      </c>
      <c r="J47" s="222">
        <f>ROUND(data!AV64,0)</f>
        <v>732968</v>
      </c>
      <c r="K47" s="222">
        <f>ROUND(data!AV65,0)</f>
        <v>22341</v>
      </c>
      <c r="L47" s="222">
        <f>ROUND(data!AV66,0)</f>
        <v>1764908</v>
      </c>
      <c r="M47" s="66">
        <f>ROUND(data!AV67,0)</f>
        <v>70425</v>
      </c>
      <c r="N47" s="222">
        <f>ROUND(data!AV68,0)</f>
        <v>1512129</v>
      </c>
      <c r="O47" s="222">
        <f>ROUND(data!AV69,0)</f>
        <v>704769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704769</v>
      </c>
      <c r="AD47" s="222">
        <f>ROUND(data!AV84,0)</f>
        <v>5953130</v>
      </c>
      <c r="AE47" s="222">
        <f>ROUND(data!AV89,0)</f>
        <v>3763415</v>
      </c>
      <c r="AF47" s="222">
        <f>ROUND(data!AV87,0)</f>
        <v>1965534</v>
      </c>
      <c r="AG47" s="222">
        <f>IF(data!AV90&gt;0,ROUND(data!AV90,0),0)</f>
        <v>1394</v>
      </c>
      <c r="AH47" s="222">
        <f>IF(data!AV91&gt;0,ROUND(data!AV91,0),0)</f>
        <v>8225</v>
      </c>
      <c r="AI47" s="222">
        <f>IF(data!AV92&gt;0,ROUND(data!AV92,0),0)</f>
        <v>549</v>
      </c>
      <c r="AJ47" s="222">
        <f>IF(data!AV93&gt;0,ROUND(data!AV93,0),0)</f>
        <v>17300</v>
      </c>
      <c r="AK47" s="212">
        <f>IF(data!AV94&gt;0,ROUND(data!AV94,2),0)</f>
        <v>13.19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032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032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032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333132</v>
      </c>
      <c r="F50" s="212">
        <f>ROUND(data!AY60,2)</f>
        <v>95.52</v>
      </c>
      <c r="G50" s="222">
        <f>ROUND(data!AY61,0)</f>
        <v>4820191</v>
      </c>
      <c r="H50" s="222">
        <f>ROUND(data!AY62,0)</f>
        <v>951068</v>
      </c>
      <c r="I50" s="222">
        <f>ROUND(data!AY63,0)</f>
        <v>0</v>
      </c>
      <c r="J50" s="222">
        <f>ROUND(data!AY64,0)</f>
        <v>2898900</v>
      </c>
      <c r="K50" s="222">
        <f>ROUND(data!AY65,0)</f>
        <v>237</v>
      </c>
      <c r="L50" s="222">
        <f>ROUND(data!AY66,0)</f>
        <v>1248529</v>
      </c>
      <c r="M50" s="66">
        <f>ROUND(data!AY67,0)</f>
        <v>239295</v>
      </c>
      <c r="N50" s="222">
        <f>ROUND(data!AY68,0)</f>
        <v>69683</v>
      </c>
      <c r="O50" s="222">
        <f>ROUND(data!AY69,0)</f>
        <v>11437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11437</v>
      </c>
      <c r="AD50" s="222">
        <f>ROUND(data!AY84,0)</f>
        <v>2023114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032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249300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404169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19038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032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4.71</v>
      </c>
      <c r="G52" s="222">
        <f>ROUND(data!BA61,0)</f>
        <v>207713</v>
      </c>
      <c r="H52" s="222">
        <f>ROUND(data!BA62,0)</f>
        <v>40869</v>
      </c>
      <c r="I52" s="222">
        <f>ROUND(data!BA63,0)</f>
        <v>0</v>
      </c>
      <c r="J52" s="222">
        <f>ROUND(data!BA64,0)</f>
        <v>3721</v>
      </c>
      <c r="K52" s="222">
        <f>ROUND(data!BA65,0)</f>
        <v>0</v>
      </c>
      <c r="L52" s="222">
        <f>ROUND(data!BA66,0)</f>
        <v>416</v>
      </c>
      <c r="M52" s="66">
        <f>ROUND(data!BA67,0)</f>
        <v>90096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4244</v>
      </c>
      <c r="AH52" s="222">
        <f>IFERROR(IF(data!BA$91&gt;0,ROUND(data!BA$91,0),0),0)</f>
        <v>0</v>
      </c>
      <c r="AI52" s="222">
        <f>IFERROR(IF(data!BA$92&gt;0,ROUND(data!BA$92,0),0),0)</f>
        <v>1671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032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032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10.7</v>
      </c>
      <c r="G54" s="222">
        <f>ROUND(data!BC61,0)</f>
        <v>545648</v>
      </c>
      <c r="H54" s="222">
        <f>ROUND(data!BC62,0)</f>
        <v>107360</v>
      </c>
      <c r="I54" s="222">
        <f>ROUND(data!BC63,0)</f>
        <v>0</v>
      </c>
      <c r="J54" s="222">
        <f>ROUND(data!BC64,0)</f>
        <v>-523</v>
      </c>
      <c r="K54" s="222">
        <f>ROUND(data!BC65,0)</f>
        <v>99</v>
      </c>
      <c r="L54" s="222">
        <f>ROUND(data!BC66,0)</f>
        <v>97</v>
      </c>
      <c r="M54" s="66">
        <f>ROUND(data!BC67,0)</f>
        <v>0</v>
      </c>
      <c r="N54" s="222">
        <f>ROUND(data!BC68,0)</f>
        <v>4</v>
      </c>
      <c r="O54" s="222">
        <f>ROUND(data!BC69,0)</f>
        <v>47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47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032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141833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1458891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032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854713</v>
      </c>
      <c r="F56" s="212">
        <f>ROUND(data!BE60,2)</f>
        <v>18.28</v>
      </c>
      <c r="G56" s="222">
        <f>ROUND(data!BE61,0)</f>
        <v>1378154</v>
      </c>
      <c r="H56" s="222">
        <f>ROUND(data!BE62,0)</f>
        <v>275548</v>
      </c>
      <c r="I56" s="222">
        <f>ROUND(data!BE63,0)</f>
        <v>0</v>
      </c>
      <c r="J56" s="222">
        <f>ROUND(data!BE64,0)</f>
        <v>87112</v>
      </c>
      <c r="K56" s="222">
        <f>ROUND(data!BE65,0)</f>
        <v>3468725</v>
      </c>
      <c r="L56" s="222">
        <f>ROUND(data!BE66,0)</f>
        <v>16137733</v>
      </c>
      <c r="M56" s="66">
        <f>ROUND(data!BE67,0)</f>
        <v>6220784</v>
      </c>
      <c r="N56" s="222">
        <f>ROUND(data!BE68,0)</f>
        <v>2378358</v>
      </c>
      <c r="O56" s="222">
        <f>ROUND(data!BE69,0)</f>
        <v>179674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179674</v>
      </c>
      <c r="AD56" s="222">
        <f>ROUND(data!BE84,0)</f>
        <v>148</v>
      </c>
      <c r="AE56" s="222"/>
      <c r="AF56" s="222"/>
      <c r="AG56" s="222">
        <f>IF(data!BE90&gt;0,ROUND(data!BE90,0),0)</f>
        <v>174493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032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91.65</v>
      </c>
      <c r="G57" s="222">
        <f>ROUND(data!BF61,0)</f>
        <v>4635214</v>
      </c>
      <c r="H57" s="222">
        <f>ROUND(data!BF62,0)</f>
        <v>914879</v>
      </c>
      <c r="I57" s="222">
        <f>ROUND(data!BF63,0)</f>
        <v>0</v>
      </c>
      <c r="J57" s="222">
        <f>ROUND(data!BF64,0)</f>
        <v>487385</v>
      </c>
      <c r="K57" s="222">
        <f>ROUND(data!BF65,0)</f>
        <v>506</v>
      </c>
      <c r="L57" s="222">
        <f>ROUND(data!BF66,0)</f>
        <v>433432</v>
      </c>
      <c r="M57" s="66">
        <f>ROUND(data!BF67,0)</f>
        <v>76971</v>
      </c>
      <c r="N57" s="222">
        <f>ROUND(data!BF68,0)</f>
        <v>3683</v>
      </c>
      <c r="O57" s="222">
        <f>ROUND(data!BF69,0)</f>
        <v>2233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2233</v>
      </c>
      <c r="AD57" s="222">
        <f>ROUND(data!BF84,0)</f>
        <v>0</v>
      </c>
      <c r="AE57" s="222"/>
      <c r="AF57" s="222"/>
      <c r="AG57" s="222">
        <f>IF(data!BF90&gt;0,ROUND(data!BF90,0),0)</f>
        <v>2066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032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032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032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97362</v>
      </c>
      <c r="K60" s="222">
        <f>ROUND(data!BI65,0)</f>
        <v>0</v>
      </c>
      <c r="L60" s="222">
        <f>ROUND(data!BI66,0)</f>
        <v>587</v>
      </c>
      <c r="M60" s="66">
        <f>ROUND(data!BI67,0)</f>
        <v>28370</v>
      </c>
      <c r="N60" s="222">
        <f>ROUND(data!BI68,0)</f>
        <v>0</v>
      </c>
      <c r="O60" s="222">
        <f>ROUND(data!BI69,0)</f>
        <v>-17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-17</v>
      </c>
      <c r="AD60" s="222">
        <f>ROUND(data!BI84,0)</f>
        <v>240721</v>
      </c>
      <c r="AE60" s="222"/>
      <c r="AF60" s="222"/>
      <c r="AG60" s="222">
        <f>IF(data!BI90&gt;0,ROUND(data!BI90,0),0)</f>
        <v>1333</v>
      </c>
      <c r="AH60" s="222">
        <f>IFERROR(IF(data!BI$91&gt;0,ROUND(data!BI$91,0),0),0)</f>
        <v>0</v>
      </c>
      <c r="AI60" s="222">
        <f>IFERROR(IF(data!BI$92&gt;0,ROUND(data!BI$92,0),0),0)</f>
        <v>525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032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032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30148159</v>
      </c>
      <c r="M62" s="66">
        <f>ROUND(data!BK67,0)</f>
        <v>0</v>
      </c>
      <c r="N62" s="222">
        <f>ROUND(data!BK68,0)</f>
        <v>0</v>
      </c>
      <c r="O62" s="222">
        <f>ROUND(data!BK69,0)</f>
        <v>126192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126192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032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88878</v>
      </c>
      <c r="K63" s="222">
        <f>ROUND(data!BL65,0)</f>
        <v>356</v>
      </c>
      <c r="L63" s="222">
        <f>ROUND(data!BL66,0)</f>
        <v>5962029</v>
      </c>
      <c r="M63" s="66">
        <f>ROUND(data!BL67,0)</f>
        <v>241</v>
      </c>
      <c r="N63" s="222">
        <f>ROUND(data!BL68,0)</f>
        <v>18692</v>
      </c>
      <c r="O63" s="222">
        <f>ROUND(data!BL69,0)</f>
        <v>4622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4622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032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032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6.35</v>
      </c>
      <c r="G65" s="222">
        <f>ROUND(data!BN61,0)</f>
        <v>1216436</v>
      </c>
      <c r="H65" s="222">
        <f>ROUND(data!BN62,0)</f>
        <v>333041</v>
      </c>
      <c r="I65" s="222">
        <f>ROUND(data!BN63,0)</f>
        <v>0</v>
      </c>
      <c r="J65" s="222">
        <f>ROUND(data!BN64,0)</f>
        <v>57065</v>
      </c>
      <c r="K65" s="222">
        <f>ROUND(data!BN65,0)</f>
        <v>510</v>
      </c>
      <c r="L65" s="222">
        <f>ROUND(data!BN66,0)</f>
        <v>898183</v>
      </c>
      <c r="M65" s="66">
        <f>ROUND(data!BN67,0)</f>
        <v>3538430</v>
      </c>
      <c r="N65" s="222">
        <f>ROUND(data!BN68,0)</f>
        <v>58428</v>
      </c>
      <c r="O65" s="222">
        <f>ROUND(data!BN69,0)</f>
        <v>379835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379835</v>
      </c>
      <c r="AD65" s="222">
        <f>ROUND(data!BN84,0)</f>
        <v>0</v>
      </c>
      <c r="AE65" s="222"/>
      <c r="AF65" s="222"/>
      <c r="AG65" s="222">
        <f>IF(data!BN90&gt;0,ROUND(data!BN90,0),0)</f>
        <v>158305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032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032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032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032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0.03</v>
      </c>
      <c r="G69" s="222">
        <f>ROUND(data!BR61,0)</f>
        <v>3747</v>
      </c>
      <c r="H69" s="222">
        <f>ROUND(data!BR62,0)</f>
        <v>737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354569</v>
      </c>
      <c r="N69" s="222">
        <f>ROUND(data!BR68,0)</f>
        <v>0</v>
      </c>
      <c r="O69" s="222">
        <f>ROUND(data!BR69,0)</f>
        <v>336608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336608</v>
      </c>
      <c r="AD69" s="222">
        <f>ROUND(data!BR84,0)</f>
        <v>0</v>
      </c>
      <c r="AE69" s="222"/>
      <c r="AF69" s="222"/>
      <c r="AG69" s="222">
        <f>IF(data!BR90&gt;0,ROUND(data!BR90,0),0)</f>
        <v>16702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032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032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2.78</v>
      </c>
      <c r="G71" s="222">
        <f>ROUND(data!BT61,0)</f>
        <v>165864</v>
      </c>
      <c r="H71" s="222">
        <f>ROUND(data!BT62,0)</f>
        <v>32762</v>
      </c>
      <c r="I71" s="222">
        <f>ROUND(data!BT63,0)</f>
        <v>0</v>
      </c>
      <c r="J71" s="222">
        <f>ROUND(data!BT64,0)</f>
        <v>0</v>
      </c>
      <c r="K71" s="222">
        <f>ROUND(data!BT65,0)</f>
        <v>2568</v>
      </c>
      <c r="L71" s="222">
        <f>ROUND(data!BT66,0)</f>
        <v>0</v>
      </c>
      <c r="M71" s="66">
        <f>ROUND(data!BT67,0)</f>
        <v>32587</v>
      </c>
      <c r="N71" s="222">
        <f>ROUND(data!BT68,0)</f>
        <v>0</v>
      </c>
      <c r="O71" s="222">
        <f>ROUND(data!BT69,0)</f>
        <v>7871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7871</v>
      </c>
      <c r="AD71" s="222">
        <f>ROUND(data!BT84,0)</f>
        <v>3600</v>
      </c>
      <c r="AE71" s="222"/>
      <c r="AF71" s="222"/>
      <c r="AG71" s="222">
        <f>IF(data!BT90&gt;0,ROUND(data!BT90,0),0)</f>
        <v>1535</v>
      </c>
      <c r="AH71" s="222">
        <f>IFERROR(IF(data!BT$91&gt;0,ROUND(data!BT$91,0),0),0)</f>
        <v>0</v>
      </c>
      <c r="AI71" s="222">
        <f>IFERROR(IF(data!BT$92&gt;0,ROUND(data!BT$92,0),0),0)</f>
        <v>604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032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032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200721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9455</v>
      </c>
      <c r="AH73" s="222">
        <f>IF(data!BV91&gt;0,ROUND(data!BV91,0),0)</f>
        <v>0</v>
      </c>
      <c r="AI73" s="222">
        <f>IF(data!BV92&gt;0,ROUND(data!BV92,0),0)</f>
        <v>3722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032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032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032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48.82</v>
      </c>
      <c r="G76" s="222">
        <f>ROUND(data!BY61,0)</f>
        <v>4599110</v>
      </c>
      <c r="H76" s="222">
        <f>ROUND(data!BY62,0)</f>
        <v>905006</v>
      </c>
      <c r="I76" s="222">
        <f>ROUND(data!BY63,0)</f>
        <v>0</v>
      </c>
      <c r="J76" s="222">
        <f>ROUND(data!BY64,0)</f>
        <v>5788</v>
      </c>
      <c r="K76" s="222">
        <f>ROUND(data!BY65,0)</f>
        <v>2879</v>
      </c>
      <c r="L76" s="222">
        <f>ROUND(data!BY66,0)</f>
        <v>287900</v>
      </c>
      <c r="M76" s="66">
        <f>ROUND(data!BY67,0)</f>
        <v>24285</v>
      </c>
      <c r="N76" s="222">
        <f>ROUND(data!BY68,0)</f>
        <v>3446</v>
      </c>
      <c r="O76" s="222">
        <f>ROUND(data!BY69,0)</f>
        <v>8127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8127</v>
      </c>
      <c r="AD76" s="222">
        <f>ROUND(data!BY84,0)</f>
        <v>0</v>
      </c>
      <c r="AE76" s="222"/>
      <c r="AF76" s="222"/>
      <c r="AG76" s="222">
        <f>IF(data!BY90&gt;0,ROUND(data!BY90,0),0)</f>
        <v>978</v>
      </c>
      <c r="AH76" s="222">
        <f>IF(data!BY91&gt;0,ROUND(data!BY91,0),0)</f>
        <v>0</v>
      </c>
      <c r="AI76" s="222">
        <f>IF(data!BY92&gt;0,ROUND(data!BY92,0),0)</f>
        <v>385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032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9.8</v>
      </c>
      <c r="G77" s="222">
        <f>ROUND(data!BZ61,0)</f>
        <v>1045328</v>
      </c>
      <c r="H77" s="222">
        <f>ROUND(data!BZ62,0)</f>
        <v>205674</v>
      </c>
      <c r="I77" s="222">
        <f>ROUND(data!BZ63,0)</f>
        <v>0</v>
      </c>
      <c r="J77" s="222">
        <f>ROUND(data!BZ64,0)</f>
        <v>16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176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176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032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6.88</v>
      </c>
      <c r="G78" s="222">
        <f>ROUND(data!CA61,0)</f>
        <v>818353</v>
      </c>
      <c r="H78" s="222">
        <f>ROUND(data!CA62,0)</f>
        <v>161016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2997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2997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032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151171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032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12.03</v>
      </c>
      <c r="G80" s="222">
        <f>ROUND(data!CC61,0)</f>
        <v>699302</v>
      </c>
      <c r="H80" s="222">
        <f>ROUND(data!CC62,0)</f>
        <v>138846</v>
      </c>
      <c r="I80" s="222">
        <f>ROUND(data!CC63,0)</f>
        <v>9352118</v>
      </c>
      <c r="J80" s="222">
        <f>ROUND(data!CC64,0)</f>
        <v>170689</v>
      </c>
      <c r="K80" s="222">
        <f>ROUND(data!CC65,0)</f>
        <v>736</v>
      </c>
      <c r="L80" s="222">
        <f>ROUND(data!CC66,0)</f>
        <v>97985757</v>
      </c>
      <c r="M80" s="66">
        <f>ROUND(data!CC67,0)</f>
        <v>1421009</v>
      </c>
      <c r="N80" s="222">
        <f>ROUND(data!CC68,0)</f>
        <v>157042</v>
      </c>
      <c r="O80" s="222">
        <f>ROUND(data!CC69,0)</f>
        <v>761578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761578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698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699</v>
      </c>
      <c r="G3" s="10"/>
      <c r="J3" s="113"/>
    </row>
    <row r="4">
      <c r="B4" s="112"/>
      <c r="F4" s="10" t="s">
        <v>700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701</v>
      </c>
      <c r="G8" s="10"/>
      <c r="J8" s="113"/>
    </row>
    <row r="9">
      <c r="B9" s="109"/>
      <c r="C9" s="110"/>
      <c r="D9" s="110"/>
      <c r="E9" s="110"/>
      <c r="F9" s="117" t="s">
        <v>702</v>
      </c>
      <c r="G9" s="117"/>
      <c r="H9" s="110"/>
      <c r="I9" s="110"/>
      <c r="J9" s="111"/>
    </row>
    <row r="10">
      <c r="B10" s="112"/>
      <c r="F10" s="10" t="s">
        <v>703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704</v>
      </c>
      <c r="G12" s="10"/>
      <c r="J12" s="113"/>
    </row>
    <row r="13">
      <c r="B13" s="112"/>
      <c r="F13" s="10" t="s">
        <v>705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706</v>
      </c>
      <c r="J16" s="113"/>
    </row>
    <row r="17">
      <c r="B17" s="109"/>
      <c r="C17" s="118" t="s">
        <v>707</v>
      </c>
      <c r="D17" s="118"/>
      <c r="E17" s="110" t="str">
        <f>+data!C98</f>
        <v>St.Joseph Medical Center</v>
      </c>
      <c r="F17" s="117"/>
      <c r="G17" s="117"/>
      <c r="H17" s="110"/>
      <c r="I17" s="110"/>
      <c r="J17" s="111"/>
    </row>
    <row r="18">
      <c r="B18" s="112"/>
      <c r="C18" s="66" t="s">
        <v>708</v>
      </c>
      <c r="D18" s="66"/>
      <c r="E18" s="12" t="str">
        <f>+"H-"&amp;data!C97</f>
        <v>H-032</v>
      </c>
      <c r="F18" s="10"/>
      <c r="G18" s="10"/>
      <c r="J18" s="113"/>
    </row>
    <row r="19">
      <c r="B19" s="112"/>
      <c r="C19" s="66" t="s">
        <v>709</v>
      </c>
      <c r="D19" s="66"/>
      <c r="E19" s="12" t="str">
        <f>+data!C99</f>
        <v>1717 South J Street</v>
      </c>
      <c r="F19" s="10"/>
      <c r="G19" s="10"/>
      <c r="J19" s="113"/>
    </row>
    <row r="20">
      <c r="B20" s="112"/>
      <c r="C20" s="66" t="s">
        <v>710</v>
      </c>
      <c r="D20" s="66"/>
      <c r="E20" s="12" t="str">
        <f>+data!C100</f>
        <v>Tacoma</v>
      </c>
      <c r="F20" s="10"/>
      <c r="G20" s="10"/>
      <c r="J20" s="113"/>
    </row>
    <row r="21">
      <c r="B21" s="112"/>
      <c r="C21" s="66" t="s">
        <v>711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712</v>
      </c>
      <c r="G26" s="120"/>
      <c r="H26" s="120"/>
      <c r="I26" s="120"/>
      <c r="J26" s="122"/>
    </row>
    <row r="27">
      <c r="B27" s="123" t="s">
        <v>713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6/30/2022.</v>
      </c>
      <c r="J28" s="113"/>
    </row>
    <row r="29">
      <c r="B29" s="112" t="s">
        <v>714</v>
      </c>
      <c r="J29" s="113"/>
    </row>
    <row r="30">
      <c r="B30" s="126" t="s">
        <v>715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716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717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718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719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717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718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720</v>
      </c>
    </row>
    <row r="3">
      <c r="A3" s="67"/>
    </row>
    <row r="4">
      <c r="A4" s="163" t="s">
        <v>721</v>
      </c>
    </row>
    <row r="5">
      <c r="A5" s="163" t="s">
        <v>722</v>
      </c>
    </row>
    <row r="6">
      <c r="A6" s="163" t="s">
        <v>723</v>
      </c>
    </row>
    <row r="7">
      <c r="A7" s="163"/>
    </row>
    <row r="8">
      <c r="A8" s="2" t="s">
        <v>724</v>
      </c>
    </row>
    <row r="9">
      <c r="A9" s="163" t="s">
        <v>27</v>
      </c>
    </row>
    <row r="12">
      <c r="A12" s="1" t="str">
        <f>data!C97</f>
        <v>032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725</v>
      </c>
      <c r="C13" s="275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>
      <c r="A14" s="1" t="s">
        <v>729</v>
      </c>
      <c r="B14" s="275" t="s">
        <v>364</v>
      </c>
      <c r="C14" s="275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8" t="s">
        <v>734</v>
      </c>
    </row>
    <row r="15">
      <c r="A15" s="1" t="s">
        <v>735</v>
      </c>
      <c r="B15" s="275">
        <f>'Prior Year'!C86</f>
        <v>0</v>
      </c>
      <c r="C15" s="275">
        <f>data!C85</f>
        <v>43996694.209999993</v>
      </c>
      <c r="D15" s="275">
        <f>'Prior Year'!C60</f>
        <v>0</v>
      </c>
      <c r="E15" s="1">
        <f>data!C59</f>
        <v>17885</v>
      </c>
      <c r="F15" s="238" t="str">
        <f ref="F15:F59" t="shared" si="0">IF(B15=0,"",IF(D15=0,"",B15/D15))</f>
      </c>
      <c r="G15" s="238">
        <f ref="G15:G29" t="shared" si="1">IF(C15=0,"",IF(E15=0,"",C15/E15))</f>
        <v>2459.9773111545983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736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</c>
      <c r="G16" s="238" t="str">
        <f t="shared" si="1"/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737</v>
      </c>
      <c r="B17" s="275">
        <f>'Prior Year'!E86</f>
        <v>0</v>
      </c>
      <c r="C17" s="275">
        <f>data!E85</f>
        <v>88301082.49000001</v>
      </c>
      <c r="D17" s="275">
        <f>'Prior Year'!E60</f>
        <v>0</v>
      </c>
      <c r="E17" s="1">
        <f>data!E59</f>
        <v>98995</v>
      </c>
      <c r="F17" s="238" t="str">
        <f t="shared" si="0"/>
      </c>
      <c r="G17" s="238">
        <f t="shared" si="1"/>
        <v>891.97517541289972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738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739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740</v>
      </c>
      <c r="B20" s="275">
        <f>'Prior Year'!H86</f>
        <v>0</v>
      </c>
      <c r="C20" s="275">
        <f>data!H85</f>
        <v>148981.11</v>
      </c>
      <c r="D20" s="275">
        <f>'Prior Year'!H60</f>
        <v>0</v>
      </c>
      <c r="E20" s="1">
        <f>data!H59</f>
        <v>0</v>
      </c>
      <c r="F20" s="238" t="str">
        <f t="shared" si="0"/>
      </c>
      <c r="G20" s="238" t="str">
        <f t="shared" si="1"/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741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742</v>
      </c>
      <c r="B22" s="275">
        <f>'Prior Year'!J86</f>
        <v>0</v>
      </c>
      <c r="C22" s="275">
        <f>data!J85</f>
        <v>14503042.99</v>
      </c>
      <c r="D22" s="275">
        <f>'Prior Year'!J60</f>
        <v>0</v>
      </c>
      <c r="E22" s="1">
        <f>data!J59</f>
        <v>5237</v>
      </c>
      <c r="F22" s="238" t="str">
        <f t="shared" si="0"/>
      </c>
      <c r="G22" s="238">
        <f t="shared" si="1"/>
        <v>2769.3417968302465</v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743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744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745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</c>
      <c r="G25" s="238" t="str">
        <f t="shared" si="1"/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746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747</v>
      </c>
      <c r="B27" s="275">
        <f>'Prior Year'!O86</f>
        <v>0</v>
      </c>
      <c r="C27" s="275">
        <f>data!O85</f>
        <v>27452223.15</v>
      </c>
      <c r="D27" s="275">
        <f>'Prior Year'!O60</f>
        <v>0</v>
      </c>
      <c r="E27" s="1">
        <f>data!O59</f>
        <v>16499</v>
      </c>
      <c r="F27" s="238" t="str">
        <f t="shared" si="0"/>
      </c>
      <c r="G27" s="238">
        <f t="shared" si="1"/>
        <v>1663.8719407236802</v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748</v>
      </c>
      <c r="B28" s="275">
        <f>'Prior Year'!P86</f>
        <v>0</v>
      </c>
      <c r="C28" s="275">
        <f>data!P85</f>
        <v>96329866.87</v>
      </c>
      <c r="D28" s="275">
        <f>'Prior Year'!P60</f>
        <v>0</v>
      </c>
      <c r="E28" s="1">
        <f>data!P59</f>
        <v>1522721</v>
      </c>
      <c r="F28" s="238" t="str">
        <f t="shared" si="0"/>
      </c>
      <c r="G28" s="238">
        <f t="shared" si="1"/>
        <v>63.261665708951284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749</v>
      </c>
      <c r="B29" s="275">
        <f>'Prior Year'!Q86</f>
        <v>0</v>
      </c>
      <c r="C29" s="275">
        <f>data!Q85</f>
        <v>2721730.95</v>
      </c>
      <c r="D29" s="275">
        <f>'Prior Year'!Q60</f>
        <v>0</v>
      </c>
      <c r="E29" s="1">
        <f>data!Q59</f>
        <v>798945</v>
      </c>
      <c r="F29" s="238" t="str">
        <f t="shared" si="0"/>
      </c>
      <c r="G29" s="238">
        <f t="shared" si="1"/>
        <v>3.4066562153840381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750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</c>
      <c r="G30" s="238" t="str">
        <f>IFERROR(IF(C30=0,"",IF(E30=0,"",C30/E30)),"")</f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751</v>
      </c>
      <c r="B31" s="275">
        <f>'Prior Year'!S86</f>
        <v>0</v>
      </c>
      <c r="C31" s="275">
        <f>data!S85</f>
        <v>5718722.4</v>
      </c>
      <c r="D31" s="275" t="s">
        <v>752</v>
      </c>
      <c r="E31" s="4" t="s">
        <v>752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3357473.3299999996</v>
      </c>
      <c r="D32" s="275" t="s">
        <v>752</v>
      </c>
      <c r="E32" s="4" t="s">
        <v>752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30026465.8</v>
      </c>
      <c r="D33" s="275">
        <f>'Prior Year'!U60</f>
        <v>0</v>
      </c>
      <c r="E33" s="1">
        <f>data!U59</f>
        <v>1654172</v>
      </c>
      <c r="F33" s="238" t="str">
        <f t="shared" si="0"/>
      </c>
      <c r="G33" s="238">
        <f ref="G33:G69" t="shared" si="5">IF(C33=0,"",IF(E33=0,"",C33/E33))</f>
        <v>18.151961101989393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26222982.009999998</v>
      </c>
      <c r="D34" s="275">
        <f>'Prior Year'!V60</f>
        <v>0</v>
      </c>
      <c r="E34" s="1">
        <f>data!V59</f>
        <v>47779.22</v>
      </c>
      <c r="F34" s="238" t="str">
        <f t="shared" si="0"/>
      </c>
      <c r="G34" s="238">
        <f t="shared" si="5"/>
        <v>548.83654463174571</v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1607087.6100000006</v>
      </c>
      <c r="D35" s="275">
        <f>'Prior Year'!W60</f>
        <v>0</v>
      </c>
      <c r="E35" s="1">
        <f>data!W59</f>
        <v>26636.704</v>
      </c>
      <c r="F35" s="238" t="str">
        <f t="shared" si="0"/>
      </c>
      <c r="G35" s="238">
        <f t="shared" si="5"/>
        <v>60.333576181197209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2658722.0900000003</v>
      </c>
      <c r="D36" s="275">
        <f>'Prior Year'!X60</f>
        <v>0</v>
      </c>
      <c r="E36" s="1">
        <f>data!X59</f>
        <v>85505.852899999983</v>
      </c>
      <c r="F36" s="238" t="str">
        <f t="shared" si="0"/>
      </c>
      <c r="G36" s="238">
        <f t="shared" si="5"/>
        <v>31.094036253979063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14669955.970000004</v>
      </c>
      <c r="D37" s="275">
        <f>'Prior Year'!Y60</f>
        <v>0</v>
      </c>
      <c r="E37" s="1">
        <f>data!Y59</f>
        <v>523756.02109999995</v>
      </c>
      <c r="F37" s="238" t="str">
        <f t="shared" si="0"/>
      </c>
      <c r="G37" s="238">
        <f t="shared" si="5"/>
        <v>28.009140475731336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</c>
      <c r="G38" s="238" t="str">
        <f t="shared" si="5"/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1465157.2</v>
      </c>
      <c r="D39" s="275">
        <f>'Prior Year'!AA60</f>
        <v>0</v>
      </c>
      <c r="E39" s="1">
        <f>data!AA59</f>
        <v>30951.8691</v>
      </c>
      <c r="F39" s="238" t="str">
        <f t="shared" si="0"/>
      </c>
      <c r="G39" s="238">
        <f t="shared" si="5"/>
        <v>47.336630794939616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28254514.929999992</v>
      </c>
      <c r="D40" s="275" t="s">
        <v>752</v>
      </c>
      <c r="E40" s="4" t="s">
        <v>752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7476423.1800000006</v>
      </c>
      <c r="D41" s="275">
        <f>'Prior Year'!AC60</f>
        <v>0</v>
      </c>
      <c r="E41" s="1">
        <f>data!AC59</f>
        <v>190546.28439999998</v>
      </c>
      <c r="F41" s="238" t="str">
        <f t="shared" si="0"/>
      </c>
      <c r="G41" s="238">
        <f t="shared" si="5"/>
        <v>39.2367828296525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2982341.5999999996</v>
      </c>
      <c r="D42" s="275">
        <f>'Prior Year'!AD60</f>
        <v>0</v>
      </c>
      <c r="E42" s="1">
        <f>data!AD59</f>
        <v>0</v>
      </c>
      <c r="F42" s="238" t="str">
        <f t="shared" si="0"/>
      </c>
      <c r="G42" s="238" t="str">
        <f t="shared" si="5"/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7041450.2800000012</v>
      </c>
      <c r="D43" s="275">
        <f>'Prior Year'!AE60</f>
        <v>0</v>
      </c>
      <c r="E43" s="1">
        <f>data!AE59</f>
        <v>141471</v>
      </c>
      <c r="F43" s="238" t="str">
        <f t="shared" si="0"/>
      </c>
      <c r="G43" s="238">
        <f t="shared" si="5"/>
        <v>49.773100352722473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20375972.87</v>
      </c>
      <c r="D45" s="275">
        <f>'Prior Year'!AG60</f>
        <v>0</v>
      </c>
      <c r="E45" s="1">
        <f>data!AG59</f>
        <v>41858</v>
      </c>
      <c r="F45" s="238" t="str">
        <f t="shared" si="0"/>
      </c>
      <c r="G45" s="238">
        <f t="shared" si="5"/>
        <v>486.78801829996655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</c>
      <c r="G47" s="238" t="str">
        <f t="shared" si="5"/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158337363.50999996</v>
      </c>
      <c r="D48" s="275">
        <f>'Prior Year'!AJ60</f>
        <v>0</v>
      </c>
      <c r="E48" s="1">
        <f>data!AJ59</f>
        <v>582525.49</v>
      </c>
      <c r="F48" s="238" t="str">
        <f t="shared" si="0"/>
      </c>
      <c r="G48" s="238">
        <f t="shared" si="5"/>
        <v>271.81190562150329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2313403.6500000004</v>
      </c>
      <c r="D49" s="275">
        <f>'Prior Year'!AK60</f>
        <v>0</v>
      </c>
      <c r="E49" s="1">
        <f>data!AK59</f>
        <v>59997</v>
      </c>
      <c r="F49" s="238" t="str">
        <f t="shared" si="0"/>
      </c>
      <c r="G49" s="238">
        <f t="shared" si="5"/>
        <v>38.558655432771644</v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844310.62</v>
      </c>
      <c r="D50" s="275">
        <f>'Prior Year'!AL60</f>
        <v>0</v>
      </c>
      <c r="E50" s="1">
        <f>data!AL59</f>
        <v>7387</v>
      </c>
      <c r="F50" s="238" t="str">
        <f t="shared" si="0"/>
      </c>
      <c r="G50" s="238">
        <f t="shared" si="5"/>
        <v>114.29682144307567</v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-471122.37000000005</v>
      </c>
      <c r="D54" s="275">
        <f>'Prior Year'!AP60</f>
        <v>0</v>
      </c>
      <c r="E54" s="1">
        <f>data!AP59</f>
        <v>0</v>
      </c>
      <c r="F54" s="238" t="str">
        <f t="shared" si="0"/>
      </c>
      <c r="G54" s="238" t="str">
        <f t="shared" si="5"/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</c>
      <c r="G55" s="238" t="str">
        <f t="shared" si="5"/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41317793.089999996</v>
      </c>
      <c r="D56" s="275">
        <f>'Prior Year'!AR60</f>
        <v>0</v>
      </c>
      <c r="E56" s="1">
        <f>data!AR59</f>
        <v>169801</v>
      </c>
      <c r="F56" s="238" t="str">
        <f t="shared" si="0"/>
      </c>
      <c r="G56" s="238">
        <f t="shared" si="5"/>
        <v>243.33068173921234</v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5412210.3599999975</v>
      </c>
      <c r="D60" s="275" t="s">
        <v>752</v>
      </c>
      <c r="E60" s="4" t="s">
        <v>752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0</v>
      </c>
      <c r="D61" s="275" t="s">
        <v>752</v>
      </c>
      <c r="E61" s="4" t="s">
        <v>752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0</v>
      </c>
      <c r="D62" s="275" t="s">
        <v>752</v>
      </c>
      <c r="E62" s="4" t="s">
        <v>752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8216225.03</v>
      </c>
      <c r="D63" s="275">
        <f>'Prior Year'!AY60</f>
        <v>0</v>
      </c>
      <c r="E63" s="1">
        <f>data!AY59</f>
        <v>333132</v>
      </c>
      <c r="F63" s="238" t="str">
        <f>IF(B63=0,"",IF(D63=0,"",B63/D63))</f>
      </c>
      <c r="G63" s="238">
        <f t="shared" si="5"/>
        <v>24.66357188742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404169</v>
      </c>
      <c r="D64" s="275">
        <f>'Prior Year'!AZ60</f>
        <v>0</v>
      </c>
      <c r="E64" s="1">
        <f>data!AZ59</f>
        <v>249300</v>
      </c>
      <c r="F64" s="238" t="str">
        <f>IF(B64=0,"",IF(D64=0,"",B64/D64))</f>
      </c>
      <c r="G64" s="238">
        <f t="shared" si="5"/>
        <v>1.6212154031287605</v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342814.57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0</v>
      </c>
      <c r="D66" s="275" t="s">
        <v>752</v>
      </c>
      <c r="E66" s="4" t="s">
        <v>752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652731.11</v>
      </c>
      <c r="D67" s="275" t="s">
        <v>752</v>
      </c>
      <c r="E67" s="4" t="s">
        <v>752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1600723.47</v>
      </c>
      <c r="D68" s="275" t="s">
        <v>752</v>
      </c>
      <c r="E68" s="4" t="s">
        <v>752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30125939.800000004</v>
      </c>
      <c r="D69" s="275">
        <f>'Prior Year'!BE60</f>
        <v>0</v>
      </c>
      <c r="E69" s="1">
        <f>data!BE59</f>
        <v>854712.97796666657</v>
      </c>
      <c r="F69" s="238" t="str">
        <f>IF(B69=0,"",IF(D69=0,"",B69/D69))</f>
      </c>
      <c r="G69" s="238">
        <f t="shared" si="5"/>
        <v>35.246849616895489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6554301.9900000012</v>
      </c>
      <c r="D70" s="275" t="s">
        <v>752</v>
      </c>
      <c r="E70" s="4" t="s">
        <v>752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0</v>
      </c>
      <c r="D71" s="275" t="s">
        <v>752</v>
      </c>
      <c r="E71" s="4" t="s">
        <v>752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0</v>
      </c>
      <c r="D72" s="275" t="s">
        <v>752</v>
      </c>
      <c r="E72" s="4" t="s">
        <v>752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-114419.47</v>
      </c>
      <c r="D73" s="275" t="s">
        <v>752</v>
      </c>
      <c r="E73" s="4" t="s">
        <v>752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0</v>
      </c>
      <c r="D74" s="275" t="s">
        <v>752</v>
      </c>
      <c r="E74" s="4" t="s">
        <v>752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30274351.01</v>
      </c>
      <c r="D75" s="275" t="s">
        <v>752</v>
      </c>
      <c r="E75" s="4" t="s">
        <v>752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6074817.29</v>
      </c>
      <c r="D76" s="275" t="s">
        <v>752</v>
      </c>
      <c r="E76" s="4" t="s">
        <v>752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0</v>
      </c>
      <c r="D77" s="275" t="s">
        <v>752</v>
      </c>
      <c r="E77" s="4" t="s">
        <v>752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6481926.8400000008</v>
      </c>
      <c r="D78" s="275" t="s">
        <v>752</v>
      </c>
      <c r="E78" s="4" t="s">
        <v>752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0</v>
      </c>
      <c r="D79" s="275" t="s">
        <v>752</v>
      </c>
      <c r="E79" s="4" t="s">
        <v>752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0</v>
      </c>
      <c r="D80" s="275" t="s">
        <v>752</v>
      </c>
      <c r="E80" s="4" t="s">
        <v>752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752</v>
      </c>
      <c r="E81" s="4" t="s">
        <v>752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695661.22</v>
      </c>
      <c r="D82" s="275" t="s">
        <v>752</v>
      </c>
      <c r="E82" s="4" t="s">
        <v>752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0</v>
      </c>
      <c r="D83" s="275" t="s">
        <v>752</v>
      </c>
      <c r="E83" s="4" t="s">
        <v>752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238050.91</v>
      </c>
      <c r="D84" s="275" t="s">
        <v>752</v>
      </c>
      <c r="E84" s="4" t="s">
        <v>752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0</v>
      </c>
      <c r="D85" s="275" t="s">
        <v>752</v>
      </c>
      <c r="E85" s="4" t="s">
        <v>752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200721</v>
      </c>
      <c r="D86" s="275" t="s">
        <v>752</v>
      </c>
      <c r="E86" s="4" t="s">
        <v>752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0</v>
      </c>
      <c r="D87" s="275" t="s">
        <v>752</v>
      </c>
      <c r="E87" s="4" t="s">
        <v>752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0</v>
      </c>
      <c r="D88" s="275" t="s">
        <v>752</v>
      </c>
      <c r="E88" s="4" t="s">
        <v>752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5836540.12</v>
      </c>
      <c r="D89" s="275" t="s">
        <v>752</v>
      </c>
      <c r="E89" s="4" t="s">
        <v>752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1251193.7799999998</v>
      </c>
      <c r="D90" s="275" t="s">
        <v>752</v>
      </c>
      <c r="E90" s="4" t="s">
        <v>752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982365.71999999986</v>
      </c>
      <c r="D91" s="275" t="s">
        <v>752</v>
      </c>
      <c r="E91" s="4" t="s">
        <v>752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151171.32999999996</v>
      </c>
      <c r="D92" s="275" t="s">
        <v>752</v>
      </c>
      <c r="E92" s="4" t="s">
        <v>752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110687076.92</v>
      </c>
      <c r="D93" s="275" t="s">
        <v>752</v>
      </c>
      <c r="E93" s="4" t="s">
        <v>752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36927917.57</v>
      </c>
      <c r="D94" s="275" t="s">
        <v>752</v>
      </c>
      <c r="E94" s="4" t="s">
        <v>752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816</v>
      </c>
    </row>
    <row r="3">
      <c r="A3" s="11" t="s">
        <v>817</v>
      </c>
    </row>
    <row r="4">
      <c r="A4" s="330" t="s">
        <v>818</v>
      </c>
    </row>
    <row r="5">
      <c r="A5" s="331" t="s">
        <v>819</v>
      </c>
    </row>
    <row r="6">
      <c r="A6" s="329"/>
    </row>
    <row r="7">
      <c r="A7" s="330" t="s">
        <v>820</v>
      </c>
    </row>
    <row r="8">
      <c r="A8" s="331" t="s">
        <v>821</v>
      </c>
    </row>
    <row r="11">
      <c r="A11" s="13" t="s">
        <v>822</v>
      </c>
      <c r="D11" s="276">
        <f>data!C380</f>
        <v>21506058.4</v>
      </c>
    </row>
    <row r="12">
      <c r="A12" s="13" t="s">
        <v>823</v>
      </c>
      <c r="D12" s="276" t="str">
        <f>IF(OR(data!C380&gt;1000000,data!C380/(data!D360+data!D383)&gt;0.01),"Yes","No")</f>
        <v>Yes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7737166.21999979</v>
      </c>
    </row>
    <row r="26">
      <c r="A26" s="13" t="s">
        <v>823</v>
      </c>
      <c r="D26" s="277" t="str">
        <f>IF(OR(data!C414&gt;1000000,data!C414/(data!D416)&gt;0.01),"Yes","No")</f>
        <v>Yes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6/30/2022</v>
      </c>
      <c r="C4" s="78"/>
      <c r="D4" s="79"/>
      <c r="E4" s="80"/>
      <c r="F4" s="78" t="str">
        <f>"License Number:  "&amp;"H-"&amp;FIXED(data!C97,0)</f>
        <v>License Number:  H-32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St.Joseph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98401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Pierce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Ketul Patel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David Nosacka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253-426-4101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  <v>  253-426-4101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326</v>
      </c>
      <c r="B15" s="88"/>
      <c r="C15" s="89" t="s">
        <v>328</v>
      </c>
      <c r="D15" s="88"/>
      <c r="E15" s="89" t="s">
        <v>330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  <v> X</v>
      </c>
      <c r="D16" s="94" t="s">
        <v>837</v>
      </c>
      <c r="E16" s="278" t="str">
        <f>IF(data!C120&gt;0," X","")</f>
      </c>
      <c r="F16" s="95" t="s">
        <v>331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</c>
      <c r="D17" s="94" t="s">
        <v>411</v>
      </c>
      <c r="E17" s="278" t="str">
        <f>IF(data!C121&gt;0," X","")</f>
      </c>
      <c r="F17" s="95" t="s">
        <v>332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333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336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18708</v>
      </c>
      <c r="G23" s="81">
        <f>data!D127</f>
        <v>116880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340</v>
      </c>
      <c r="C26" s="78"/>
      <c r="D26" s="78"/>
      <c r="E26" s="78"/>
      <c r="F26" s="77">
        <f>data!C130</f>
        <v>3549</v>
      </c>
      <c r="G26" s="81">
        <f>data!D130</f>
        <v>5237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342</v>
      </c>
      <c r="C30" s="81"/>
      <c r="D30" s="81">
        <f>data!C132</f>
        <v>48</v>
      </c>
      <c r="E30" s="78" t="s">
        <v>348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34</v>
      </c>
      <c r="E31" s="78" t="s">
        <v>349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214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0</v>
      </c>
      <c r="E33" s="78" t="s">
        <v>849</v>
      </c>
      <c r="F33" s="81"/>
      <c r="G33" s="81">
        <f>data!C142</f>
        <v>34</v>
      </c>
    </row>
    <row r="34" ht="20.1" customHeight="1">
      <c r="A34" s="77"/>
      <c r="B34" s="97" t="s">
        <v>850</v>
      </c>
      <c r="C34" s="81"/>
      <c r="D34" s="81">
        <f>data!C136</f>
        <v>32</v>
      </c>
      <c r="E34" s="78" t="s">
        <v>351</v>
      </c>
      <c r="F34" s="81"/>
      <c r="G34" s="81">
        <f>data!E143</f>
        <v>362</v>
      </c>
    </row>
    <row r="35" ht="20.1" customHeight="1">
      <c r="A35" s="77"/>
      <c r="B35" s="97" t="s">
        <v>851</v>
      </c>
      <c r="C35" s="81"/>
      <c r="D35" s="81">
        <f>data!C137</f>
        <v>0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0</v>
      </c>
      <c r="E36" s="78" t="s">
        <v>352</v>
      </c>
      <c r="F36" s="81"/>
      <c r="G36" s="81">
        <f>data!C144</f>
        <v>385</v>
      </c>
    </row>
    <row r="37" ht="20.1" customHeight="1">
      <c r="A37" s="77"/>
      <c r="E37" s="78" t="s">
        <v>353</v>
      </c>
      <c r="F37" s="81"/>
      <c r="G37" s="81">
        <f>data!C145</f>
        <v>35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348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St.Joseph Medical Center</v>
      </c>
      <c r="G2" s="4" t="s">
        <v>856</v>
      </c>
    </row>
    <row r="3" ht="20.1" customHeight="1">
      <c r="G3" s="4" t="str">
        <f>"FYE: "&amp;data!C96</f>
        <v>FYE: 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363</v>
      </c>
      <c r="F5" s="88"/>
      <c r="G5" s="88"/>
    </row>
    <row r="6" ht="20.1" customHeight="1">
      <c r="A6" s="140" t="s">
        <v>859</v>
      </c>
      <c r="B6" s="93" t="s">
        <v>336</v>
      </c>
      <c r="C6" s="93" t="s">
        <v>860</v>
      </c>
      <c r="D6" s="93" t="s">
        <v>359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357</v>
      </c>
      <c r="B7" s="141">
        <f>data!B154</f>
        <v>7787</v>
      </c>
      <c r="C7" s="141">
        <f>data!B155</f>
        <v>59510</v>
      </c>
      <c r="D7" s="141">
        <f>data!B156</f>
        <v>0</v>
      </c>
      <c r="E7" s="141">
        <f>data!B157</f>
        <v>1107949923.22</v>
      </c>
      <c r="F7" s="141">
        <f>data!B158</f>
        <v>633592701.21</v>
      </c>
      <c r="G7" s="141">
        <f>data!B157+data!B158</f>
        <v>1741542624.43</v>
      </c>
    </row>
    <row r="8" ht="20.1" customHeight="1">
      <c r="A8" s="77" t="s">
        <v>358</v>
      </c>
      <c r="B8" s="141">
        <f>data!C154</f>
        <v>4582</v>
      </c>
      <c r="C8" s="141">
        <f>data!C155</f>
        <v>28942</v>
      </c>
      <c r="D8" s="141">
        <f>data!C156</f>
        <v>0</v>
      </c>
      <c r="E8" s="141">
        <f>data!C157</f>
        <v>516551230.34</v>
      </c>
      <c r="F8" s="141">
        <f>data!C158</f>
        <v>293807275.27000004</v>
      </c>
      <c r="G8" s="141">
        <f>data!C157+data!C158</f>
        <v>810358505.61</v>
      </c>
    </row>
    <row r="9" ht="20.1" customHeight="1">
      <c r="A9" s="77" t="s">
        <v>861</v>
      </c>
      <c r="B9" s="141">
        <f>data!D154</f>
        <v>6339</v>
      </c>
      <c r="C9" s="141">
        <f>data!D155</f>
        <v>28428</v>
      </c>
      <c r="D9" s="141">
        <f>data!D156</f>
        <v>0</v>
      </c>
      <c r="E9" s="141">
        <f>data!D157</f>
        <v>594451229.5999999</v>
      </c>
      <c r="F9" s="141">
        <f>data!D158</f>
        <v>575037898.57999969</v>
      </c>
      <c r="G9" s="141">
        <f>data!D157+data!D158</f>
        <v>1169489128.1799996</v>
      </c>
    </row>
    <row r="10" ht="20.1" customHeight="1">
      <c r="A10" s="92" t="s">
        <v>230</v>
      </c>
      <c r="B10" s="141">
        <f>data!E154</f>
        <v>18708</v>
      </c>
      <c r="C10" s="141">
        <f>data!E155</f>
        <v>116880</v>
      </c>
      <c r="D10" s="141">
        <f>data!E156</f>
        <v>0</v>
      </c>
      <c r="E10" s="141">
        <f>data!E157</f>
        <v>2218952383.16</v>
      </c>
      <c r="F10" s="141">
        <f>data!E158</f>
        <v>1502437875.0599997</v>
      </c>
      <c r="G10" s="141">
        <f>E10+F10</f>
        <v>3721390258.2199993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363</v>
      </c>
      <c r="F14" s="147"/>
      <c r="G14" s="147"/>
    </row>
    <row r="15" ht="20.1" customHeight="1">
      <c r="A15" s="140" t="s">
        <v>859</v>
      </c>
      <c r="B15" s="93" t="s">
        <v>336</v>
      </c>
      <c r="C15" s="93" t="s">
        <v>860</v>
      </c>
      <c r="D15" s="93" t="s">
        <v>359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357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358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861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363</v>
      </c>
      <c r="F23" s="88"/>
      <c r="G23" s="88"/>
    </row>
    <row r="24" ht="20.1" customHeight="1">
      <c r="A24" s="140" t="s">
        <v>859</v>
      </c>
      <c r="B24" s="93" t="s">
        <v>336</v>
      </c>
      <c r="C24" s="93" t="s">
        <v>860</v>
      </c>
      <c r="D24" s="93" t="s">
        <v>359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357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358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0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366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St.Joseph Medical Center</v>
      </c>
      <c r="B3" s="83"/>
      <c r="C3" s="156" t="str">
        <f>"FYE: "&amp;data!C96</f>
        <v>FYE: 6/30/2022</v>
      </c>
    </row>
    <row r="4" ht="20.1" customHeight="1">
      <c r="A4" s="83"/>
    </row>
    <row r="5" ht="20.1" customHeight="1">
      <c r="A5" s="77">
        <v>1</v>
      </c>
      <c r="B5" s="89" t="s">
        <v>367</v>
      </c>
      <c r="C5" s="137"/>
    </row>
    <row r="6" ht="20.1" customHeight="1">
      <c r="A6" s="157">
        <v>2</v>
      </c>
      <c r="B6" s="78" t="s">
        <v>868</v>
      </c>
      <c r="C6" s="77">
        <f>data!C181</f>
        <v>21678638.66</v>
      </c>
    </row>
    <row r="7" ht="20.1" customHeight="1">
      <c r="A7" s="158">
        <v>3</v>
      </c>
      <c r="B7" s="97" t="s">
        <v>369</v>
      </c>
      <c r="C7" s="77">
        <f>data!C182</f>
        <v>-268321.85133504792</v>
      </c>
    </row>
    <row r="8" ht="20.1" customHeight="1">
      <c r="A8" s="158">
        <v>4</v>
      </c>
      <c r="B8" s="78" t="s">
        <v>370</v>
      </c>
      <c r="C8" s="77">
        <f>data!C183</f>
        <v>2520573.4220080087</v>
      </c>
    </row>
    <row r="9" ht="20.1" customHeight="1">
      <c r="A9" s="158">
        <v>5</v>
      </c>
      <c r="B9" s="78" t="s">
        <v>371</v>
      </c>
      <c r="C9" s="77">
        <f>data!C184</f>
        <v>32146028.685913723</v>
      </c>
    </row>
    <row r="10" ht="20.1" customHeight="1">
      <c r="A10" s="158">
        <v>6</v>
      </c>
      <c r="B10" s="78" t="s">
        <v>372</v>
      </c>
      <c r="C10" s="77">
        <f>data!C185</f>
        <v>497246.89425410365</v>
      </c>
    </row>
    <row r="11" ht="20.1" customHeight="1">
      <c r="A11" s="158">
        <v>7</v>
      </c>
      <c r="B11" s="78" t="s">
        <v>373</v>
      </c>
      <c r="C11" s="77">
        <f>data!C186</f>
        <v>13853986.840957193</v>
      </c>
    </row>
    <row r="12" ht="20.1" customHeight="1">
      <c r="A12" s="158">
        <v>8</v>
      </c>
      <c r="B12" s="78" t="s">
        <v>374</v>
      </c>
      <c r="C12" s="77">
        <f>data!C187</f>
        <v>0</v>
      </c>
    </row>
    <row r="13" ht="20.1" customHeight="1">
      <c r="A13" s="158">
        <v>9</v>
      </c>
      <c r="B13" s="78" t="s">
        <v>374</v>
      </c>
      <c r="C13" s="77">
        <f>data!C188</f>
        <v>465172.54820202291</v>
      </c>
    </row>
    <row r="14" ht="20.1" customHeight="1">
      <c r="A14" s="158">
        <v>10</v>
      </c>
      <c r="B14" s="78" t="s">
        <v>869</v>
      </c>
      <c r="C14" s="77">
        <f>data!D189</f>
        <v>70893325.2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375</v>
      </c>
      <c r="C17" s="91"/>
    </row>
    <row r="18" ht="20.1" customHeight="1">
      <c r="A18" s="77">
        <v>12</v>
      </c>
      <c r="B18" s="78" t="s">
        <v>870</v>
      </c>
      <c r="C18" s="77">
        <f>data!C191</f>
        <v>13774984.06</v>
      </c>
    </row>
    <row r="19" ht="20.1" customHeight="1">
      <c r="A19" s="77">
        <v>13</v>
      </c>
      <c r="B19" s="78" t="s">
        <v>871</v>
      </c>
      <c r="C19" s="77">
        <f>data!C192</f>
        <v>4414041.4</v>
      </c>
    </row>
    <row r="20" ht="20.1" customHeight="1">
      <c r="A20" s="77">
        <v>14</v>
      </c>
      <c r="B20" s="78" t="s">
        <v>872</v>
      </c>
      <c r="C20" s="77">
        <f>data!D193</f>
        <v>18189025.46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378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7575353.75</v>
      </c>
    </row>
    <row r="26" ht="20.1" customHeight="1">
      <c r="A26" s="77">
        <v>18</v>
      </c>
      <c r="B26" s="78" t="s">
        <v>380</v>
      </c>
      <c r="C26" s="77">
        <f>data!C196</f>
        <v>-3449126.34</v>
      </c>
    </row>
    <row r="27" ht="20.1" customHeight="1">
      <c r="A27" s="77">
        <v>19</v>
      </c>
      <c r="B27" s="78" t="s">
        <v>875</v>
      </c>
      <c r="C27" s="77">
        <f>data!D197</f>
        <v>4126227.41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382</v>
      </c>
      <c r="C31" s="77">
        <f>data!C199</f>
        <v>368537.64</v>
      </c>
    </row>
    <row r="32" ht="20.1" customHeight="1">
      <c r="A32" s="77">
        <v>22</v>
      </c>
      <c r="B32" s="78" t="s">
        <v>877</v>
      </c>
      <c r="C32" s="77">
        <f>data!C200</f>
        <v>29995410.95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30363948.59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384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386</v>
      </c>
      <c r="C39" s="77">
        <f>data!C205</f>
        <v>29914.22</v>
      </c>
    </row>
    <row r="40" ht="20.1" customHeight="1">
      <c r="A40" s="77">
        <v>28</v>
      </c>
      <c r="B40" s="78" t="s">
        <v>880</v>
      </c>
      <c r="C40" s="77">
        <f>data!D206</f>
        <v>29914.22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387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St.Joseph Medical Center</v>
      </c>
      <c r="F3" s="156" t="str">
        <f>"FYE: "&amp;data!C96</f>
        <v>FYE: 6/30/2022</v>
      </c>
    </row>
    <row r="4" ht="20.1" customHeight="1">
      <c r="A4" s="162" t="s">
        <v>388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390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393</v>
      </c>
      <c r="C7" s="81">
        <f>data!B211</f>
        <v>7877314.96</v>
      </c>
      <c r="D7" s="81">
        <f>data!C225</f>
        <v>124635.02</v>
      </c>
      <c r="E7" s="81">
        <f>data!D225</f>
        <v>0</v>
      </c>
      <c r="F7" s="81">
        <f>data!E211</f>
        <v>7877314.96</v>
      </c>
    </row>
    <row r="8" ht="20.1" customHeight="1">
      <c r="A8" s="77">
        <v>2</v>
      </c>
      <c r="B8" s="81" t="s">
        <v>394</v>
      </c>
      <c r="C8" s="81">
        <f>data!B212</f>
        <v>4412190.25</v>
      </c>
      <c r="D8" s="81">
        <f>data!C226</f>
        <v>1988884.67</v>
      </c>
      <c r="E8" s="81">
        <f>data!D226</f>
        <v>0</v>
      </c>
      <c r="F8" s="81">
        <f>data!E212</f>
        <v>4412190.25</v>
      </c>
    </row>
    <row r="9" ht="20.1" customHeight="1">
      <c r="A9" s="77">
        <v>3</v>
      </c>
      <c r="B9" s="81" t="s">
        <v>395</v>
      </c>
      <c r="C9" s="81">
        <f>data!B213</f>
        <v>122860258.49</v>
      </c>
      <c r="D9" s="81">
        <f>data!C227</f>
        <v>4286487.3</v>
      </c>
      <c r="E9" s="81">
        <f>data!D227</f>
        <v>-15525.080000000016</v>
      </c>
      <c r="F9" s="81">
        <f>data!E213</f>
        <v>122860258.49</v>
      </c>
    </row>
    <row r="10" ht="20.1" customHeight="1">
      <c r="A10" s="77">
        <v>4</v>
      </c>
      <c r="B10" s="81" t="s">
        <v>886</v>
      </c>
      <c r="C10" s="81">
        <f>data!B214</f>
        <v>64792363.36</v>
      </c>
      <c r="D10" s="81">
        <f>data!C228</f>
        <v>1881813.6700000002</v>
      </c>
      <c r="E10" s="81">
        <f>data!D228</f>
        <v>-22642.239999999991</v>
      </c>
      <c r="F10" s="81">
        <f>data!E214</f>
        <v>65648992.14</v>
      </c>
    </row>
    <row r="11" ht="20.1" customHeight="1">
      <c r="A11" s="77">
        <v>5</v>
      </c>
      <c r="B11" s="81" t="s">
        <v>887</v>
      </c>
      <c r="C11" s="81">
        <f>data!B215</f>
        <v>83127243.03</v>
      </c>
      <c r="D11" s="81">
        <f>data!C229</f>
        <v>26727863.45</v>
      </c>
      <c r="E11" s="81">
        <f>data!D229</f>
        <v>14711943.75</v>
      </c>
      <c r="F11" s="81">
        <f>data!E215</f>
        <v>83171267.11</v>
      </c>
    </row>
    <row r="12" ht="20.1" customHeight="1">
      <c r="A12" s="77">
        <v>6</v>
      </c>
      <c r="B12" s="81" t="s">
        <v>888</v>
      </c>
      <c r="C12" s="81">
        <f>data!B216</f>
        <v>296683146.66999996</v>
      </c>
      <c r="D12" s="81">
        <f>data!C230</f>
        <v>0</v>
      </c>
      <c r="E12" s="81">
        <f>data!D230</f>
        <v>0</v>
      </c>
      <c r="F12" s="81">
        <f>data!E216</f>
        <v>300932324.66999996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4459754.24</v>
      </c>
      <c r="E13" s="81">
        <f>data!D231</f>
        <v>-626799.55000000016</v>
      </c>
      <c r="F13" s="81">
        <f>data!E217</f>
        <v>0</v>
      </c>
    </row>
    <row r="14" ht="20.1" customHeight="1">
      <c r="A14" s="77">
        <v>8</v>
      </c>
      <c r="B14" s="81" t="s">
        <v>400</v>
      </c>
      <c r="C14" s="81">
        <f>data!B218</f>
        <v>60430333.28</v>
      </c>
      <c r="D14" s="81">
        <f>data!C232</f>
        <v>0</v>
      </c>
      <c r="E14" s="81">
        <f>data!D232</f>
        <v>0</v>
      </c>
      <c r="F14" s="81">
        <f>data!E218</f>
        <v>66217816.29</v>
      </c>
    </row>
    <row r="15" ht="20.1" customHeight="1">
      <c r="A15" s="77">
        <v>9</v>
      </c>
      <c r="B15" s="81" t="s">
        <v>890</v>
      </c>
      <c r="C15" s="81">
        <f>data!B219</f>
        <v>11894054.94</v>
      </c>
      <c r="D15" s="81">
        <f>data!C233</f>
        <v>39469438.35</v>
      </c>
      <c r="E15" s="81">
        <f>data!D233</f>
        <v>14046976.879999999</v>
      </c>
      <c r="F15" s="81">
        <f>data!E219</f>
        <v>5118840.6099999985</v>
      </c>
    </row>
    <row r="16" ht="20.1" customHeight="1">
      <c r="A16" s="77">
        <v>10</v>
      </c>
      <c r="B16" s="81" t="s">
        <v>614</v>
      </c>
      <c r="C16" s="81">
        <f>data!B220</f>
        <v>652076904.98</v>
      </c>
      <c r="D16" s="81">
        <f>data!C234</f>
        <v>0</v>
      </c>
      <c r="E16" s="81">
        <f>data!D234</f>
        <v>0</v>
      </c>
      <c r="F16" s="81">
        <f>data!E220</f>
        <v>656239004.51999986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402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393</v>
      </c>
      <c r="C23" s="169"/>
      <c r="D23" s="169"/>
      <c r="E23" s="169"/>
      <c r="F23" s="169"/>
    </row>
    <row r="24" ht="20.1" customHeight="1">
      <c r="A24" s="77">
        <v>12</v>
      </c>
      <c r="B24" s="81" t="s">
        <v>394</v>
      </c>
      <c r="C24" s="81">
        <f>data!B225</f>
        <v>3774780.93</v>
      </c>
      <c r="D24" s="81">
        <f>data!C225</f>
        <v>124635.02</v>
      </c>
      <c r="E24" s="81">
        <f>data!D225</f>
        <v>0</v>
      </c>
      <c r="F24" s="81">
        <f>data!E225</f>
        <v>3899415.95</v>
      </c>
    </row>
    <row r="25" ht="20.1" customHeight="1">
      <c r="A25" s="77">
        <v>13</v>
      </c>
      <c r="B25" s="81" t="s">
        <v>395</v>
      </c>
      <c r="C25" s="81">
        <f>data!B226</f>
        <v>78432616.19</v>
      </c>
      <c r="D25" s="81">
        <f>data!C226</f>
        <v>1988884.67</v>
      </c>
      <c r="E25" s="81">
        <f>data!D226</f>
        <v>0</v>
      </c>
      <c r="F25" s="81">
        <f>data!E226</f>
        <v>80421500.86</v>
      </c>
    </row>
    <row r="26" ht="20.1" customHeight="1">
      <c r="A26" s="77">
        <v>14</v>
      </c>
      <c r="B26" s="81" t="s">
        <v>886</v>
      </c>
      <c r="C26" s="81">
        <f>data!B227</f>
        <v>27736965.48</v>
      </c>
      <c r="D26" s="81">
        <f>data!C227</f>
        <v>4286487.3</v>
      </c>
      <c r="E26" s="81">
        <f>data!D227</f>
        <v>-15525.080000000016</v>
      </c>
      <c r="F26" s="81">
        <f>data!E227</f>
        <v>32038977.86</v>
      </c>
    </row>
    <row r="27" ht="20.1" customHeight="1">
      <c r="A27" s="77">
        <v>15</v>
      </c>
      <c r="B27" s="81" t="s">
        <v>887</v>
      </c>
      <c r="C27" s="81">
        <f>data!B228</f>
        <v>68993184.49</v>
      </c>
      <c r="D27" s="81">
        <f>data!C228</f>
        <v>1881813.6700000002</v>
      </c>
      <c r="E27" s="81">
        <f>data!D228</f>
        <v>-22642.239999999991</v>
      </c>
      <c r="F27" s="81">
        <f>data!E228</f>
        <v>70897640.399999991</v>
      </c>
    </row>
    <row r="28" ht="20.1" customHeight="1">
      <c r="A28" s="77">
        <v>16</v>
      </c>
      <c r="B28" s="81" t="s">
        <v>888</v>
      </c>
      <c r="C28" s="81">
        <f>data!B229</f>
        <v>247228666.67</v>
      </c>
      <c r="D28" s="81">
        <f>data!C229</f>
        <v>26727863.45</v>
      </c>
      <c r="E28" s="81">
        <f>data!D229</f>
        <v>14711943.75</v>
      </c>
      <c r="F28" s="81">
        <f>data!E229</f>
        <v>259244586.37</v>
      </c>
    </row>
    <row r="29" ht="20.1" customHeight="1">
      <c r="A29" s="77">
        <v>17</v>
      </c>
      <c r="B29" s="81" t="s">
        <v>889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ht="20.1" customHeight="1">
      <c r="A30" s="77">
        <v>18</v>
      </c>
      <c r="B30" s="81" t="s">
        <v>400</v>
      </c>
      <c r="C30" s="81">
        <f>data!B231</f>
        <v>30327959.580000002</v>
      </c>
      <c r="D30" s="81">
        <f>data!C231</f>
        <v>4459754.24</v>
      </c>
      <c r="E30" s="81">
        <f>data!D231</f>
        <v>-626799.55000000016</v>
      </c>
      <c r="F30" s="81">
        <f>data!E231</f>
        <v>35414513.37</v>
      </c>
    </row>
    <row r="31" ht="20.1" customHeight="1">
      <c r="A31" s="77">
        <v>19</v>
      </c>
      <c r="B31" s="81" t="s">
        <v>890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ht="20.1" customHeight="1">
      <c r="A32" s="77">
        <v>20</v>
      </c>
      <c r="B32" s="81" t="s">
        <v>614</v>
      </c>
      <c r="C32" s="81">
        <f>data!B233</f>
        <v>456494173.34</v>
      </c>
      <c r="D32" s="81">
        <f>data!C233</f>
        <v>39469438.35</v>
      </c>
      <c r="E32" s="81">
        <f>data!D233</f>
        <v>14046976.879999999</v>
      </c>
      <c r="F32" s="81">
        <f>data!E233</f>
        <v>481916634.81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St.Joseph Medical Center</v>
      </c>
      <c r="B2" s="83"/>
      <c r="C2" s="83"/>
      <c r="D2" s="156" t="str">
        <f>"FYE: "&amp;data!C96</f>
        <v>FYE: 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404</v>
      </c>
      <c r="D5" s="81">
        <f>data!D237</f>
        <v>12690527.06</v>
      </c>
    </row>
    <row r="6" ht="20.1" customHeight="1">
      <c r="A6" s="77">
        <v>2</v>
      </c>
      <c r="B6" s="83"/>
      <c r="C6" s="156" t="s">
        <v>500</v>
      </c>
      <c r="D6" s="167"/>
    </row>
    <row r="7" ht="20.1" customHeight="1">
      <c r="A7" s="77">
        <v>3</v>
      </c>
      <c r="B7" s="172">
        <v>5810</v>
      </c>
      <c r="C7" s="81" t="s">
        <v>357</v>
      </c>
      <c r="D7" s="81">
        <f>data!C239</f>
        <v>1448203453.38</v>
      </c>
    </row>
    <row r="8" ht="20.1" customHeight="1">
      <c r="A8" s="77">
        <v>4</v>
      </c>
      <c r="B8" s="172">
        <v>5820</v>
      </c>
      <c r="C8" s="81" t="s">
        <v>358</v>
      </c>
      <c r="D8" s="81">
        <f>data!C240</f>
        <v>684179740.61</v>
      </c>
    </row>
    <row r="9" ht="20.1" customHeight="1">
      <c r="A9" s="77">
        <v>5</v>
      </c>
      <c r="B9" s="172">
        <v>5830</v>
      </c>
      <c r="C9" s="81" t="s">
        <v>370</v>
      </c>
      <c r="D9" s="81">
        <f>data!C241</f>
        <v>0</v>
      </c>
    </row>
    <row r="10" ht="20.1" customHeight="1">
      <c r="A10" s="77">
        <v>6</v>
      </c>
      <c r="B10" s="172">
        <v>5840</v>
      </c>
      <c r="C10" s="81" t="s">
        <v>409</v>
      </c>
      <c r="D10" s="81">
        <f>data!C242</f>
        <v>130413746.87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554541976.68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46563533.110000007</v>
      </c>
    </row>
    <row r="13" ht="20.1" customHeight="1">
      <c r="A13" s="77">
        <v>9</v>
      </c>
      <c r="B13" s="81"/>
      <c r="C13" s="81" t="s">
        <v>897</v>
      </c>
      <c r="D13" s="81">
        <f>data!D245</f>
        <v>2863902450.65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413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9762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415</v>
      </c>
      <c r="D18" s="81">
        <f>data!C249</f>
        <v>14542606.88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17858501.24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32401108.119999997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419</v>
      </c>
      <c r="D24" s="81">
        <f>data!C254</f>
        <v>21326378.480000004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21326378.480000004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2022-12-30T01:23:36Z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