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9C858FD-55A8-40F1-BAB7-5DD3444D2FAE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<sst xmlns="http://schemas.openxmlformats.org/spreadsheetml/2006/main" count="1377" uniqueCount="1377">
  <si>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</si>
  <si>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</si>
  <si>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</si>
  <si>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</si>
  <si>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</si>
  <si>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</si>
  <si>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</si>
  <si>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</si>
  <si>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</si>
  <si>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</si>
  <si>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</si>
  <si>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</si>
  <si>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</si>
  <si>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</si>
  <si>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</si>
  <si>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</si>
  <si>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</si>
  <si>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</si>
  <si>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</si>
  <si>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</si>
  <si>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</si>
  <si>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</si>
  <si>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</si>
  <si>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</si>
  <si>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</si>
  <si>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</si>
  <si>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</si>
  <si>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</si>
  <si>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</si>
  <si>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</si>
  <si>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</si>
  <si>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</si>
  <si>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</si>
  <si>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</si>
  <si>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</si>
  <si>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</si>
  <si>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</si>
  <si>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</si>
  <si>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</si>
  <si>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</si>
  <si>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</si>
  <si>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</si>
  <si>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</si>
  <si>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</si>
  <si>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</si>
  <si>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</si>
  <si>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</si>
  <si>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</si>
  <si>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</si>
  <si>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</si>
  <si>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</si>
  <si>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</si>
  <si>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</si>
  <si>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</si>
  <si>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</si>
  <si>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</si>
  <si>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</si>
  <si>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</si>
  <si>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</si>
  <si>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</si>
  <si>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</si>
  <si>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</si>
  <si>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</si>
  <si>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</si>
  <si>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</si>
  <si>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</si>
  <si>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</si>
  <si>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</si>
  <si>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</si>
  <si>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</si>
  <si>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</si>
  <si>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</si>
  <si>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</si>
  <si>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</si>
  <si>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</si>
  <si>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</si>
  <si>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</si>
  <si>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</si>
  <si>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</si>
  <si>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</si>
  <si>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</si>
  <si>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</si>
  <si>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</si>
  <si>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</si>
  <si>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</si>
  <si>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</si>
  <si>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</si>
  <si>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</si>
  <si>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</si>
  <si>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</si>
  <si>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</si>
  <si>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</si>
  <si>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</si>
  <si>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</si>
  <si>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</si>
  <si>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</si>
  <si>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</si>
  <si>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</si>
  <si>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</si>
  <si>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</si>
  <si>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</si>
  <si>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</si>
  <si>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</si>
  <si>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</si>
  <si>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</si>
  <si>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</si>
  <si>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</si>
  <si>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</si>
  <si>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</si>
  <si>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</si>
  <si>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</si>
  <si>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</si>
  <si>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</si>
  <si>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</si>
  <si>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</si>
  <si>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</si>
  <si>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</si>
  <si>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</si>
  <si>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</si>
  <si>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</si>
  <si>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</si>
  <si>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</si>
  <si>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</si>
  <si>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</si>
  <si>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</si>
  <si>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</si>
  <si>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</si>
  <si>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</si>
  <si>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</si>
  <si>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</si>
  <si>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</si>
  <si>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</si>
  <si>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</si>
  <si>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</si>
  <si>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</si>
  <si>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</si>
  <si>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</si>
  <si>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</si>
  <si>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</si>
  <si>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</si>
  <si>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</si>
  <si>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</si>
  <si>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</si>
  <si>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</si>
  <si>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</si>
  <si>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</si>
  <si>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</si>
  <si>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</si>
  <si>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</si>
  <si>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</si>
  <si>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</si>
  <si>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</si>
  <si>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</si>
  <si>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</si>
  <si>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</si>
  <si>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</si>
  <si>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</si>
  <si>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</si>
  <si>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</si>
  <si>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</si>
  <si>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</si>
  <si>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</si>
  <si>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</si>
  <si>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</si>
  <si>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</si>
  <si>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</si>
  <si>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</si>
  <si>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</si>
  <si>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</si>
  <si>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</si>
  <si>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</si>
  <si>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</si>
  <si>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</si>
  <si>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</si>
  <si>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</si>
  <si>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</si>
  <si>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</si>
  <si>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</si>
  <si>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</si>
  <si>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</si>
  <si>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</si>
  <si>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</si>
  <si>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</si>
  <si>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</si>
  <si>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</si>
  <si>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</si>
  <si>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</si>
  <si>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</si>
  <si>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</si>
  <si>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</si>
  <si>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</si>
  <si>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</si>
  <si>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</si>
  <si>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</si>
  <si>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</si>
  <si>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</si>
  <si>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</si>
  <si>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</si>
  <si>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</si>
  <si>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</si>
  <si>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</si>
  <si>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</si>
  <si>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</si>
  <si>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</si>
  <si>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</si>
  <si>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</si>
  <si>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</si>
  <si>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</si>
  <si>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</si>
  <si>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</si>
  <si>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</si>
  <si>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</si>
  <si>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</si>
  <si>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</si>
  <si>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</si>
  <si>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</si>
  <si>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</si>
  <si>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</si>
  <si>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</si>
  <si>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</si>
  <si>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</si>
  <si>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</si>
  <si>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</si>
  <si>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</si>
  <si>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</si>
  <si>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</si>
  <si>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</si>
  <si>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</si>
  <si>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</si>
  <si>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</si>
  <si>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</si>
  <si>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</si>
  <si>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</si>
  <si>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</si>
  <si>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</si>
  <si>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</si>
  <si>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</si>
  <si>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</si>
  <si>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</si>
  <si>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</si>
  <si>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</si>
  <si>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</si>
  <si>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</si>
  <si>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</si>
  <si>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</si>
  <si>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</si>
  <si>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</si>
  <si>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</si>
  <si>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</si>
  <si>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</si>
  <si>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</si>
  <si>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</si>
  <si>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</si>
  <si>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</si>
  <si>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</si>
  <si>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</si>
  <si>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</si>
  <si>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</si>
  <si>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</si>
  <si>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</si>
  <si>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</si>
  <si>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</si>
  <si>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</si>
  <si>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</si>
  <si>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</si>
  <si>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</si>
  <si>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</si>
  <si>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</si>
  <si>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</si>
  <si>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</si>
  <si>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</si>
  <si>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</si>
  <si>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</si>
  <si>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</si>
  <si>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</si>
  <si>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</si>
  <si>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</si>
  <si>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</si>
  <si>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</si>
  <si>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</si>
  <si>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</si>
  <si>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</si>
  <si>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</si>
  <si>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</si>
  <si>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</si>
  <si>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</si>
  <si>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</si>
  <si>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</si>
  <si>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</si>
  <si>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</si>
  <si>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</si>
  <si>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</si>
  <si>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</si>
  <si>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</si>
  <si>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</si>
  <si>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</si>
  <si>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</si>
  <si>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</si>
  <si>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</si>
  <si>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</si>
  <si>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142</t>
  </si>
  <si>
    <t>Hospital Name</t>
  </si>
  <si>
    <t>St Michael Medical Center</t>
  </si>
  <si>
    <t>Mailing Address</t>
  </si>
  <si>
    <t>1800 Northwest Myhre Road</t>
  </si>
  <si>
    <t>City</t>
  </si>
  <si>
    <t>Silverdale</t>
  </si>
  <si>
    <t>State</t>
  </si>
  <si>
    <t>WA</t>
  </si>
  <si>
    <t>Zip</t>
  </si>
  <si>
    <t>County</t>
  </si>
  <si>
    <t>Kitsap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</si>
  <si>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</si>
  <si>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</si>
  <si>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</si>
  <si>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</si>
  <si>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</si>
  <si>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</si>
  <si>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</si>
  <si>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253-588-1711</t>
  </si>
  <si>
    <t>Facsimile Number</t>
  </si>
  <si>
    <t>253-588-3001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</si>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</sst>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88" transitionEvaluation="1" transitionEntry="1" codeName="Sheet1">
    <tabColor rgb="FF92D050"/>
    <pageSetUpPr autoPageBreaks="0" fitToPage="1"/>
  </sheetPr>
  <dimension ref="A1:CF716"/>
  <sheetViews>
    <sheetView tabSelected="1" topLeftCell="A388" zoomScaleNormal="100" workbookViewId="0">
      <selection activeCell="G407" sqref="G407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339804.6</v>
      </c>
      <c r="C47" s="24">
        <v>5794.52</v>
      </c>
      <c r="D47" s="24">
        <v>0</v>
      </c>
      <c r="E47" s="24">
        <v>22571.68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10696.98</v>
      </c>
      <c r="P47" s="24">
        <v>20568.79</v>
      </c>
      <c r="Q47" s="24">
        <v>2024.03</v>
      </c>
      <c r="R47" s="24">
        <v>0</v>
      </c>
      <c r="S47" s="24">
        <v>0</v>
      </c>
      <c r="T47" s="24">
        <v>0</v>
      </c>
      <c r="U47" s="24">
        <v>982.06</v>
      </c>
      <c r="V47" s="24">
        <v>0</v>
      </c>
      <c r="W47" s="24">
        <v>0</v>
      </c>
      <c r="X47" s="24">
        <v>0</v>
      </c>
      <c r="Y47" s="24">
        <v>1254.92</v>
      </c>
      <c r="Z47" s="24">
        <v>138.72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19834.14</v>
      </c>
      <c r="AH47" s="24">
        <v>0</v>
      </c>
      <c r="AI47" s="24">
        <v>0</v>
      </c>
      <c r="AJ47" s="24">
        <v>154.58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795.13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3386.7700000000004</v>
      </c>
      <c r="AZ47" s="24">
        <v>0</v>
      </c>
      <c r="BA47" s="24">
        <v>0</v>
      </c>
      <c r="BB47" s="24">
        <v>0</v>
      </c>
      <c r="BC47" s="24">
        <v>21.49</v>
      </c>
      <c r="BD47" s="24">
        <v>0</v>
      </c>
      <c r="BE47" s="24">
        <v>3499.29</v>
      </c>
      <c r="BF47" s="24">
        <v>515.24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105182.15</v>
      </c>
      <c r="BO47" s="24">
        <v>0</v>
      </c>
      <c r="BP47" s="24">
        <v>0</v>
      </c>
      <c r="BQ47" s="24">
        <v>0</v>
      </c>
      <c r="BR47" s="24">
        <v>113630.54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27508.18</v>
      </c>
      <c r="BZ47" s="24">
        <v>424.58</v>
      </c>
      <c r="CA47" s="24">
        <v>820.81</v>
      </c>
      <c r="CB47" s="24">
        <v>0</v>
      </c>
      <c r="CC47" s="24">
        <v>0</v>
      </c>
      <c r="CD47" s="20"/>
      <c r="CE47" s="32">
        <f>SUM(C47:CC47)</f>
        <v>339804.6</v>
      </c>
    </row>
    <row r="48">
      <c r="A48" s="32" t="s">
        <v>232</v>
      </c>
      <c r="B48" s="312">
        <v>48058880.54</v>
      </c>
      <c r="C48" s="32">
        <f>IF($B$48,(ROUND((($B$48/$CE$61)*C61),0)))</f>
        <v>4505563</v>
      </c>
      <c r="D48" s="32">
        <f ref="D48:BO48" t="shared" si="0">IF($B$48,(ROUND((($B$48/$CE$61)*D61),0)))</f>
        <v>0</v>
      </c>
      <c r="E48" s="32">
        <f t="shared" si="0"/>
        <v>9110469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1825822</v>
      </c>
      <c r="P48" s="32">
        <f t="shared" si="0"/>
        <v>3002928</v>
      </c>
      <c r="Q48" s="32">
        <f t="shared" si="0"/>
        <v>1543427</v>
      </c>
      <c r="R48" s="32">
        <f t="shared" si="0"/>
        <v>84009</v>
      </c>
      <c r="S48" s="32">
        <f t="shared" si="0"/>
        <v>226995</v>
      </c>
      <c r="T48" s="32">
        <f t="shared" si="0"/>
        <v>0</v>
      </c>
      <c r="U48" s="32">
        <f t="shared" si="0"/>
        <v>945014</v>
      </c>
      <c r="V48" s="32">
        <f t="shared" si="0"/>
        <v>125793</v>
      </c>
      <c r="W48" s="32">
        <f t="shared" si="0"/>
        <v>145255</v>
      </c>
      <c r="X48" s="32">
        <f t="shared" si="0"/>
        <v>0</v>
      </c>
      <c r="Y48" s="32">
        <f t="shared" si="0"/>
        <v>1911234</v>
      </c>
      <c r="Z48" s="32">
        <f t="shared" si="0"/>
        <v>407064</v>
      </c>
      <c r="AA48" s="32">
        <f t="shared" si="0"/>
        <v>103229</v>
      </c>
      <c r="AB48" s="32">
        <f t="shared" si="0"/>
        <v>1103654</v>
      </c>
      <c r="AC48" s="32">
        <f t="shared" si="0"/>
        <v>786893</v>
      </c>
      <c r="AD48" s="32">
        <f t="shared" si="0"/>
        <v>0</v>
      </c>
      <c r="AE48" s="32">
        <f t="shared" si="0"/>
        <v>445086</v>
      </c>
      <c r="AF48" s="32">
        <f t="shared" si="0"/>
        <v>0</v>
      </c>
      <c r="AG48" s="32">
        <f t="shared" si="0"/>
        <v>3471738</v>
      </c>
      <c r="AH48" s="32">
        <f t="shared" si="0"/>
        <v>0</v>
      </c>
      <c r="AI48" s="32">
        <f t="shared" si="0"/>
        <v>0</v>
      </c>
      <c r="AJ48" s="32">
        <f t="shared" si="0"/>
        <v>11619320</v>
      </c>
      <c r="AK48" s="32">
        <f t="shared" si="0"/>
        <v>150711</v>
      </c>
      <c r="AL48" s="32">
        <f t="shared" si="0"/>
        <v>89234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1239339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582499</v>
      </c>
      <c r="AW48" s="32">
        <f t="shared" si="0"/>
        <v>0</v>
      </c>
      <c r="AX48" s="32">
        <f t="shared" si="0"/>
        <v>0</v>
      </c>
      <c r="AY48" s="32">
        <f t="shared" si="0"/>
        <v>693505</v>
      </c>
      <c r="AZ48" s="32">
        <f t="shared" si="0"/>
        <v>0</v>
      </c>
      <c r="BA48" s="32">
        <f t="shared" si="0"/>
        <v>16149</v>
      </c>
      <c r="BB48" s="32">
        <f t="shared" si="0"/>
        <v>0</v>
      </c>
      <c r="BC48" s="32">
        <f t="shared" si="0"/>
        <v>92753</v>
      </c>
      <c r="BD48" s="32">
        <f t="shared" si="0"/>
        <v>0</v>
      </c>
      <c r="BE48" s="32">
        <f t="shared" si="0"/>
        <v>263426</v>
      </c>
      <c r="BF48" s="32">
        <f t="shared" si="0"/>
        <v>587682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1340882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24</v>
      </c>
      <c r="BW48" s="32">
        <f t="shared" si="1"/>
        <v>0</v>
      </c>
      <c r="BX48" s="32">
        <f t="shared" si="1"/>
        <v>0</v>
      </c>
      <c r="BY48" s="32">
        <f t="shared" si="1"/>
        <v>513480</v>
      </c>
      <c r="BZ48" s="32">
        <f t="shared" si="1"/>
        <v>462519</v>
      </c>
      <c r="CA48" s="32">
        <f t="shared" si="1"/>
        <v>139948</v>
      </c>
      <c r="CB48" s="32">
        <f t="shared" si="1"/>
        <v>0</v>
      </c>
      <c r="CC48" s="32">
        <f t="shared" si="1"/>
        <v>523236</v>
      </c>
      <c r="CD48" s="32">
        <f t="shared" si="1"/>
        <v>0</v>
      </c>
      <c r="CE48" s="32">
        <f>SUM(C48:CD48)</f>
        <v>48058880</v>
      </c>
    </row>
    <row r="49">
      <c r="A49" s="20" t="s">
        <v>233</v>
      </c>
      <c r="B49" s="32">
        <f>B47+B48</f>
        <v>48398685.14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30480331.74</v>
      </c>
      <c r="C51" s="24">
        <v>622396.76</v>
      </c>
      <c r="D51" s="24">
        <v>0</v>
      </c>
      <c r="E51" s="24">
        <v>102277.98000000001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93687.21</v>
      </c>
      <c r="P51" s="24">
        <v>5636341.93</v>
      </c>
      <c r="Q51" s="24">
        <v>26531.79</v>
      </c>
      <c r="R51" s="24">
        <v>144253.66</v>
      </c>
      <c r="S51" s="24">
        <v>15667.73</v>
      </c>
      <c r="T51" s="24">
        <v>0</v>
      </c>
      <c r="U51" s="24">
        <v>292582.78</v>
      </c>
      <c r="V51" s="24">
        <v>131767.34</v>
      </c>
      <c r="W51" s="24">
        <v>803286.89</v>
      </c>
      <c r="X51" s="24">
        <v>0</v>
      </c>
      <c r="Y51" s="24">
        <v>3994401.4099999997</v>
      </c>
      <c r="Z51" s="24">
        <v>418260.8</v>
      </c>
      <c r="AA51" s="24">
        <v>1390630.65</v>
      </c>
      <c r="AB51" s="24">
        <v>850760.72999999986</v>
      </c>
      <c r="AC51" s="24">
        <v>1107612.6600000002</v>
      </c>
      <c r="AD51" s="24">
        <v>44503.7</v>
      </c>
      <c r="AE51" s="24">
        <v>8716.4700000000012</v>
      </c>
      <c r="AF51" s="24">
        <v>0</v>
      </c>
      <c r="AG51" s="24">
        <v>688473.42</v>
      </c>
      <c r="AH51" s="24">
        <v>0</v>
      </c>
      <c r="AI51" s="24">
        <v>0</v>
      </c>
      <c r="AJ51" s="24">
        <v>5046042.540000001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301113.63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108539.45</v>
      </c>
      <c r="AW51" s="24">
        <v>0</v>
      </c>
      <c r="AX51" s="24">
        <v>0</v>
      </c>
      <c r="AY51" s="24">
        <v>98218.87</v>
      </c>
      <c r="AZ51" s="24">
        <v>0</v>
      </c>
      <c r="BA51" s="24">
        <v>0</v>
      </c>
      <c r="BB51" s="24">
        <v>0</v>
      </c>
      <c r="BC51" s="24">
        <v>42689.74</v>
      </c>
      <c r="BD51" s="24">
        <v>0</v>
      </c>
      <c r="BE51" s="24">
        <v>636196.29</v>
      </c>
      <c r="BF51" s="24">
        <v>38442.25</v>
      </c>
      <c r="BG51" s="24">
        <v>183099.15</v>
      </c>
      <c r="BH51" s="24">
        <v>0</v>
      </c>
      <c r="BI51" s="24">
        <v>0</v>
      </c>
      <c r="BJ51" s="24">
        <v>0</v>
      </c>
      <c r="BK51" s="24">
        <v>0</v>
      </c>
      <c r="BL51" s="24">
        <v>939.11</v>
      </c>
      <c r="BM51" s="24">
        <v>0</v>
      </c>
      <c r="BN51" s="24">
        <v>5945742.88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1068165.93</v>
      </c>
      <c r="BZ51" s="24">
        <v>0</v>
      </c>
      <c r="CA51" s="24">
        <v>740.87</v>
      </c>
      <c r="CB51" s="24">
        <v>0</v>
      </c>
      <c r="CC51" s="24">
        <v>638247.12</v>
      </c>
      <c r="CD51" s="20"/>
      <c r="CE51" s="32">
        <f>SUM(C51:CD51)</f>
        <v>30480331.74</v>
      </c>
    </row>
    <row r="52">
      <c r="A52" s="39" t="s">
        <v>235</v>
      </c>
      <c r="B52" s="313">
        <v>-15325605.610000003</v>
      </c>
      <c r="C52" s="32">
        <f>IF($B$52,ROUND(($B$52/($CE$90+$CF$90)*C90),0))</f>
        <v>-1019197</v>
      </c>
      <c r="D52" s="32">
        <f ref="D52:BO52" t="shared" si="2">IF($B$52,ROUND(($B$52/($CE$90+$CF$90)*D90),0))</f>
        <v>0</v>
      </c>
      <c r="E52" s="32">
        <f t="shared" si="2"/>
        <v>-1844968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-402558</v>
      </c>
      <c r="P52" s="32">
        <f t="shared" si="2"/>
        <v>-1296103</v>
      </c>
      <c r="Q52" s="32">
        <f t="shared" si="2"/>
        <v>0</v>
      </c>
      <c r="R52" s="32">
        <f t="shared" si="2"/>
        <v>0</v>
      </c>
      <c r="S52" s="32">
        <f t="shared" si="2"/>
        <v>-412282</v>
      </c>
      <c r="T52" s="32">
        <f t="shared" si="2"/>
        <v>0</v>
      </c>
      <c r="U52" s="32">
        <f t="shared" si="2"/>
        <v>-231116</v>
      </c>
      <c r="V52" s="32">
        <f t="shared" si="2"/>
        <v>0</v>
      </c>
      <c r="W52" s="32">
        <f t="shared" si="2"/>
        <v>-47267</v>
      </c>
      <c r="X52" s="32">
        <f t="shared" si="2"/>
        <v>0</v>
      </c>
      <c r="Y52" s="32">
        <f t="shared" si="2"/>
        <v>-657874</v>
      </c>
      <c r="Z52" s="32">
        <f t="shared" si="2"/>
        <v>-386507</v>
      </c>
      <c r="AA52" s="32">
        <f t="shared" si="2"/>
        <v>0</v>
      </c>
      <c r="AB52" s="32">
        <f t="shared" si="2"/>
        <v>-152190</v>
      </c>
      <c r="AC52" s="32">
        <f t="shared" si="2"/>
        <v>-112899</v>
      </c>
      <c r="AD52" s="32">
        <f t="shared" si="2"/>
        <v>0</v>
      </c>
      <c r="AE52" s="32">
        <f t="shared" si="2"/>
        <v>-239290</v>
      </c>
      <c r="AF52" s="32">
        <f t="shared" si="2"/>
        <v>0</v>
      </c>
      <c r="AG52" s="32">
        <f t="shared" si="2"/>
        <v>-1495782</v>
      </c>
      <c r="AH52" s="32">
        <f t="shared" si="2"/>
        <v>0</v>
      </c>
      <c r="AI52" s="32">
        <f t="shared" si="2"/>
        <v>0</v>
      </c>
      <c r="AJ52" s="32">
        <f t="shared" si="2"/>
        <v>-1159116</v>
      </c>
      <c r="AK52" s="32">
        <f t="shared" si="2"/>
        <v>-115214</v>
      </c>
      <c r="AL52" s="32">
        <f t="shared" si="2"/>
        <v>-37912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-1978965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-12137</v>
      </c>
      <c r="AW52" s="32">
        <f t="shared" si="2"/>
        <v>0</v>
      </c>
      <c r="AX52" s="32">
        <f t="shared" si="2"/>
        <v>0</v>
      </c>
      <c r="AY52" s="32">
        <f t="shared" si="2"/>
        <v>-426167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-2504590</v>
      </c>
      <c r="BE52" s="32">
        <f t="shared" si="2"/>
        <v>-27277</v>
      </c>
      <c r="BF52" s="32">
        <f t="shared" si="2"/>
        <v>-119645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-556816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-89734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-15325606</v>
      </c>
    </row>
    <row r="53">
      <c r="A53" s="20" t="s">
        <v>233</v>
      </c>
      <c r="B53" s="32">
        <f>B51+B52</f>
        <v>15154726.129999995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7780</v>
      </c>
      <c r="D59" s="24"/>
      <c r="E59" s="24">
        <v>66015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7639</v>
      </c>
      <c r="P59" s="30">
        <v>1069692</v>
      </c>
      <c r="Q59" s="30">
        <v>798795</v>
      </c>
      <c r="R59" s="30">
        <v>1181670</v>
      </c>
      <c r="S59" s="314"/>
      <c r="T59" s="314"/>
      <c r="U59" s="31">
        <v>1496104</v>
      </c>
      <c r="V59" s="30">
        <v>44890.541000000005</v>
      </c>
      <c r="W59" s="30">
        <v>29713.576499999988</v>
      </c>
      <c r="X59" s="30">
        <v>0</v>
      </c>
      <c r="Y59" s="30">
        <v>369773.0084</v>
      </c>
      <c r="Z59" s="30">
        <v>0</v>
      </c>
      <c r="AA59" s="30">
        <v>46831.7834</v>
      </c>
      <c r="AB59" s="314"/>
      <c r="AC59" s="30">
        <v>171876.889</v>
      </c>
      <c r="AD59" s="30">
        <v>0</v>
      </c>
      <c r="AE59" s="30">
        <v>108726.2721</v>
      </c>
      <c r="AF59" s="30">
        <v>0</v>
      </c>
      <c r="AG59" s="30">
        <v>70124</v>
      </c>
      <c r="AH59" s="30">
        <v>0</v>
      </c>
      <c r="AI59" s="30">
        <v>0</v>
      </c>
      <c r="AJ59" s="30">
        <v>495885.54</v>
      </c>
      <c r="AK59" s="30">
        <v>33178</v>
      </c>
      <c r="AL59" s="30">
        <v>7896</v>
      </c>
      <c r="AM59" s="30">
        <v>0</v>
      </c>
      <c r="AN59" s="30">
        <v>0</v>
      </c>
      <c r="AO59" s="30">
        <v>0</v>
      </c>
      <c r="AP59" s="30">
        <v>703518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256436</v>
      </c>
      <c r="AZ59" s="30">
        <v>81597</v>
      </c>
      <c r="BA59" s="314"/>
      <c r="BB59" s="314"/>
      <c r="BC59" s="314"/>
      <c r="BD59" s="314"/>
      <c r="BE59" s="30">
        <v>622529.54116863827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155.94910096153848</v>
      </c>
      <c r="D60" s="315">
        <v>0</v>
      </c>
      <c r="E60" s="315">
        <v>395.11445673076923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83.129336538461516</v>
      </c>
      <c r="P60" s="316">
        <v>144.31670673076926</v>
      </c>
      <c r="Q60" s="316">
        <v>59.205125</v>
      </c>
      <c r="R60" s="316">
        <v>5.5813894230769234</v>
      </c>
      <c r="S60" s="317">
        <v>24.703586538461536</v>
      </c>
      <c r="T60" s="317">
        <v>0</v>
      </c>
      <c r="U60" s="318">
        <v>61.966673076923087</v>
      </c>
      <c r="V60" s="316">
        <v>5.9269807692307692</v>
      </c>
      <c r="W60" s="316">
        <v>7.3397692307692308</v>
      </c>
      <c r="X60" s="316">
        <v>0</v>
      </c>
      <c r="Y60" s="316">
        <v>115.66258173076925</v>
      </c>
      <c r="Z60" s="316">
        <v>22.828740384615383</v>
      </c>
      <c r="AA60" s="316">
        <v>4.5781201923076926</v>
      </c>
      <c r="AB60" s="317">
        <v>54.028596153846152</v>
      </c>
      <c r="AC60" s="316">
        <v>42.974798076923086</v>
      </c>
      <c r="AD60" s="316">
        <v>0</v>
      </c>
      <c r="AE60" s="316">
        <v>26.732317307692313</v>
      </c>
      <c r="AF60" s="316">
        <v>0</v>
      </c>
      <c r="AG60" s="316">
        <v>102.91116346153845</v>
      </c>
      <c r="AH60" s="316">
        <v>0</v>
      </c>
      <c r="AI60" s="316">
        <v>0</v>
      </c>
      <c r="AJ60" s="316">
        <v>518.16773076923084</v>
      </c>
      <c r="AK60" s="316">
        <v>8.5575384615384618</v>
      </c>
      <c r="AL60" s="316">
        <v>4.66808173076923</v>
      </c>
      <c r="AM60" s="316">
        <v>0</v>
      </c>
      <c r="AN60" s="316">
        <v>0</v>
      </c>
      <c r="AO60" s="316">
        <v>0</v>
      </c>
      <c r="AP60" s="316">
        <v>91.051552884615376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42.554298076923075</v>
      </c>
      <c r="AW60" s="317">
        <v>0</v>
      </c>
      <c r="AX60" s="317">
        <v>0</v>
      </c>
      <c r="AY60" s="316">
        <v>85.406288461538466</v>
      </c>
      <c r="AZ60" s="316">
        <v>0</v>
      </c>
      <c r="BA60" s="317">
        <v>2.0333942307692308</v>
      </c>
      <c r="BB60" s="317">
        <v>0</v>
      </c>
      <c r="BC60" s="317">
        <v>13.332490384615383</v>
      </c>
      <c r="BD60" s="317">
        <v>0</v>
      </c>
      <c r="BE60" s="316">
        <v>21.836249999999996</v>
      </c>
      <c r="BF60" s="317">
        <v>66.345307692307685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76.047581730769252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30.324110576923076</v>
      </c>
      <c r="BZ60" s="317">
        <v>24.557807692307691</v>
      </c>
      <c r="CA60" s="317">
        <v>7.0576875</v>
      </c>
      <c r="CB60" s="317">
        <v>0</v>
      </c>
      <c r="CC60" s="317">
        <v>-0.46438942307692305</v>
      </c>
      <c r="CD60" s="247" t="s">
        <v>248</v>
      </c>
      <c r="CE60" s="268">
        <f ref="CE60:CE68" t="shared" si="4">SUM(C60:CD60)</f>
        <v>2304.4251730769233</v>
      </c>
    </row>
    <row r="61">
      <c r="A61" s="39" t="s">
        <v>263</v>
      </c>
      <c r="B61" s="20"/>
      <c r="C61" s="24">
        <v>26737835.400000006</v>
      </c>
      <c r="D61" s="24">
        <v>0</v>
      </c>
      <c r="E61" s="24">
        <v>54065215.649999969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10835168.550000005</v>
      </c>
      <c r="P61" s="30">
        <v>17820590.920000006</v>
      </c>
      <c r="Q61" s="30">
        <v>9159321.3899999987</v>
      </c>
      <c r="R61" s="30">
        <v>498545.27000000008</v>
      </c>
      <c r="S61" s="319">
        <v>1347080.2600000005</v>
      </c>
      <c r="T61" s="319">
        <v>0</v>
      </c>
      <c r="U61" s="31">
        <v>5608098.9000000013</v>
      </c>
      <c r="V61" s="30">
        <v>746508.05999999994</v>
      </c>
      <c r="W61" s="30">
        <v>861999.38</v>
      </c>
      <c r="X61" s="30">
        <v>0</v>
      </c>
      <c r="Y61" s="30">
        <v>11342036.189999998</v>
      </c>
      <c r="Z61" s="30">
        <v>2415683.48</v>
      </c>
      <c r="AA61" s="30">
        <v>612601.22000000009</v>
      </c>
      <c r="AB61" s="320">
        <v>6549531.88</v>
      </c>
      <c r="AC61" s="30">
        <v>4669741.4799999995</v>
      </c>
      <c r="AD61" s="30">
        <v>0</v>
      </c>
      <c r="AE61" s="30">
        <v>2641320.1499999985</v>
      </c>
      <c r="AF61" s="30">
        <v>0</v>
      </c>
      <c r="AG61" s="30">
        <v>20602697.310000006</v>
      </c>
      <c r="AH61" s="30">
        <v>0</v>
      </c>
      <c r="AI61" s="30">
        <v>0</v>
      </c>
      <c r="AJ61" s="30">
        <v>68953752.389999971</v>
      </c>
      <c r="AK61" s="30">
        <v>894382.65</v>
      </c>
      <c r="AL61" s="30">
        <v>529547.77</v>
      </c>
      <c r="AM61" s="30">
        <v>0</v>
      </c>
      <c r="AN61" s="30">
        <v>0</v>
      </c>
      <c r="AO61" s="30">
        <v>0</v>
      </c>
      <c r="AP61" s="30">
        <v>7354737.9399999995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3456782.2600000007</v>
      </c>
      <c r="AW61" s="319">
        <v>0</v>
      </c>
      <c r="AX61" s="319">
        <v>0</v>
      </c>
      <c r="AY61" s="30">
        <v>4115540.7999999989</v>
      </c>
      <c r="AZ61" s="30">
        <v>0</v>
      </c>
      <c r="BA61" s="319">
        <v>95834.680000000008</v>
      </c>
      <c r="BB61" s="319">
        <v>0</v>
      </c>
      <c r="BC61" s="319">
        <v>550436.28999999992</v>
      </c>
      <c r="BD61" s="319">
        <v>0</v>
      </c>
      <c r="BE61" s="30">
        <v>1563279.0499999998</v>
      </c>
      <c r="BF61" s="319">
        <v>3487544.0199999996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7957336.3500000006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0</v>
      </c>
      <c r="BU61" s="319">
        <v>0</v>
      </c>
      <c r="BV61" s="319">
        <v>144.66</v>
      </c>
      <c r="BW61" s="319">
        <v>0</v>
      </c>
      <c r="BX61" s="319">
        <v>0</v>
      </c>
      <c r="BY61" s="319">
        <v>3047200.0700000012</v>
      </c>
      <c r="BZ61" s="319">
        <v>2744773.8000000003</v>
      </c>
      <c r="CA61" s="319">
        <v>830510.9</v>
      </c>
      <c r="CB61" s="319">
        <v>0</v>
      </c>
      <c r="CC61" s="319">
        <v>3105092.55</v>
      </c>
      <c r="CD61" s="29" t="s">
        <v>248</v>
      </c>
      <c r="CE61" s="32">
        <f t="shared" si="4"/>
        <v>285200871.67</v>
      </c>
    </row>
    <row r="62">
      <c r="A62" s="39" t="s">
        <v>11</v>
      </c>
      <c r="B62" s="20"/>
      <c r="C62" s="32">
        <f>ROUND(C47+C48,0)</f>
        <v>4511358</v>
      </c>
      <c r="D62" s="32">
        <f ref="D62:BO62" t="shared" si="5">ROUND(D47+D48,0)</f>
        <v>0</v>
      </c>
      <c r="E62" s="32">
        <f t="shared" si="5"/>
        <v>9133041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1836519</v>
      </c>
      <c r="P62" s="32">
        <f t="shared" si="5"/>
        <v>3023497</v>
      </c>
      <c r="Q62" s="32">
        <f t="shared" si="5"/>
        <v>1545451</v>
      </c>
      <c r="R62" s="32">
        <f t="shared" si="5"/>
        <v>84009</v>
      </c>
      <c r="S62" s="32">
        <f t="shared" si="5"/>
        <v>226995</v>
      </c>
      <c r="T62" s="32">
        <f t="shared" si="5"/>
        <v>0</v>
      </c>
      <c r="U62" s="32">
        <f t="shared" si="5"/>
        <v>945996</v>
      </c>
      <c r="V62" s="32">
        <f t="shared" si="5"/>
        <v>125793</v>
      </c>
      <c r="W62" s="32">
        <f t="shared" si="5"/>
        <v>145255</v>
      </c>
      <c r="X62" s="32">
        <f t="shared" si="5"/>
        <v>0</v>
      </c>
      <c r="Y62" s="32">
        <f t="shared" si="5"/>
        <v>1912489</v>
      </c>
      <c r="Z62" s="32">
        <f t="shared" si="5"/>
        <v>407203</v>
      </c>
      <c r="AA62" s="32">
        <f t="shared" si="5"/>
        <v>103229</v>
      </c>
      <c r="AB62" s="32">
        <f t="shared" si="5"/>
        <v>1103654</v>
      </c>
      <c r="AC62" s="32">
        <f t="shared" si="5"/>
        <v>786893</v>
      </c>
      <c r="AD62" s="32">
        <f t="shared" si="5"/>
        <v>0</v>
      </c>
      <c r="AE62" s="32">
        <f t="shared" si="5"/>
        <v>445086</v>
      </c>
      <c r="AF62" s="32">
        <f t="shared" si="5"/>
        <v>0</v>
      </c>
      <c r="AG62" s="32">
        <f t="shared" si="5"/>
        <v>3491572</v>
      </c>
      <c r="AH62" s="32">
        <f t="shared" si="5"/>
        <v>0</v>
      </c>
      <c r="AI62" s="32">
        <f t="shared" si="5"/>
        <v>0</v>
      </c>
      <c r="AJ62" s="32">
        <f t="shared" si="5"/>
        <v>11619475</v>
      </c>
      <c r="AK62" s="32">
        <f t="shared" si="5"/>
        <v>150711</v>
      </c>
      <c r="AL62" s="32">
        <f t="shared" si="5"/>
        <v>89234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1240134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582499</v>
      </c>
      <c r="AW62" s="32">
        <f t="shared" si="5"/>
        <v>0</v>
      </c>
      <c r="AX62" s="32">
        <f t="shared" si="5"/>
        <v>0</v>
      </c>
      <c r="AY62" s="32">
        <f t="shared" si="5"/>
        <v>696892</v>
      </c>
      <c r="AZ62" s="32">
        <f t="shared" si="5"/>
        <v>0</v>
      </c>
      <c r="BA62" s="32">
        <f t="shared" si="5"/>
        <v>16149</v>
      </c>
      <c r="BB62" s="32">
        <f t="shared" si="5"/>
        <v>0</v>
      </c>
      <c r="BC62" s="32">
        <f t="shared" si="5"/>
        <v>92774</v>
      </c>
      <c r="BD62" s="32">
        <f t="shared" si="5"/>
        <v>0</v>
      </c>
      <c r="BE62" s="32">
        <f t="shared" si="5"/>
        <v>266925</v>
      </c>
      <c r="BF62" s="32">
        <f t="shared" si="5"/>
        <v>588197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1446064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113631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24</v>
      </c>
      <c r="BW62" s="32">
        <f t="shared" si="6"/>
        <v>0</v>
      </c>
      <c r="BX62" s="32">
        <f t="shared" si="6"/>
        <v>0</v>
      </c>
      <c r="BY62" s="32">
        <f t="shared" si="6"/>
        <v>540988</v>
      </c>
      <c r="BZ62" s="32">
        <f t="shared" si="6"/>
        <v>462944</v>
      </c>
      <c r="CA62" s="32">
        <f t="shared" si="6"/>
        <v>140769</v>
      </c>
      <c r="CB62" s="32">
        <f t="shared" si="6"/>
        <v>0</v>
      </c>
      <c r="CC62" s="32">
        <f t="shared" si="6"/>
        <v>523236</v>
      </c>
      <c r="CD62" s="29" t="s">
        <v>248</v>
      </c>
      <c r="CE62" s="32">
        <f t="shared" si="4"/>
        <v>48398686</v>
      </c>
    </row>
    <row r="63">
      <c r="A63" s="39" t="s">
        <v>264</v>
      </c>
      <c r="B63" s="20"/>
      <c r="C63" s="24">
        <v>1771603.0799999998</v>
      </c>
      <c r="D63" s="24">
        <v>0</v>
      </c>
      <c r="E63" s="24">
        <v>4297395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2492563.76</v>
      </c>
      <c r="P63" s="30">
        <v>4222281.8100000005</v>
      </c>
      <c r="Q63" s="30">
        <v>0</v>
      </c>
      <c r="R63" s="30">
        <v>0</v>
      </c>
      <c r="S63" s="319">
        <v>0</v>
      </c>
      <c r="T63" s="319">
        <v>0</v>
      </c>
      <c r="U63" s="31">
        <v>68570.87</v>
      </c>
      <c r="V63" s="30">
        <v>0</v>
      </c>
      <c r="W63" s="30">
        <v>0</v>
      </c>
      <c r="X63" s="30">
        <v>0</v>
      </c>
      <c r="Y63" s="30">
        <v>13200</v>
      </c>
      <c r="Z63" s="30">
        <v>56975</v>
      </c>
      <c r="AA63" s="30">
        <v>0</v>
      </c>
      <c r="AB63" s="320">
        <v>0</v>
      </c>
      <c r="AC63" s="30">
        <v>35687.009999999995</v>
      </c>
      <c r="AD63" s="30">
        <v>0</v>
      </c>
      <c r="AE63" s="30">
        <v>0</v>
      </c>
      <c r="AF63" s="30">
        <v>0</v>
      </c>
      <c r="AG63" s="30">
        <v>3903209.84</v>
      </c>
      <c r="AH63" s="30">
        <v>0</v>
      </c>
      <c r="AI63" s="30">
        <v>0</v>
      </c>
      <c r="AJ63" s="30">
        <v>24616567.53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12750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-37259.21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65884.83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1885450.49</v>
      </c>
      <c r="CD63" s="29" t="s">
        <v>248</v>
      </c>
      <c r="CE63" s="32">
        <f t="shared" si="4"/>
        <v>43404880.01</v>
      </c>
    </row>
    <row r="64">
      <c r="A64" s="39" t="s">
        <v>265</v>
      </c>
      <c r="B64" s="20"/>
      <c r="C64" s="24">
        <v>1733413.04</v>
      </c>
      <c r="D64" s="24">
        <v>0</v>
      </c>
      <c r="E64" s="24">
        <v>2300006.9899999998</v>
      </c>
      <c r="F64" s="24">
        <v>0</v>
      </c>
      <c r="G64" s="24">
        <v>0</v>
      </c>
      <c r="H64" s="24">
        <v>266.02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1070102.68</v>
      </c>
      <c r="P64" s="30">
        <v>47024439.140000008</v>
      </c>
      <c r="Q64" s="30">
        <v>616671.26000000013</v>
      </c>
      <c r="R64" s="30">
        <v>348437.68</v>
      </c>
      <c r="S64" s="319">
        <v>463211.83999999985</v>
      </c>
      <c r="T64" s="319">
        <v>0</v>
      </c>
      <c r="U64" s="31">
        <v>4915454.24</v>
      </c>
      <c r="V64" s="30">
        <v>197522.21</v>
      </c>
      <c r="W64" s="30">
        <v>14695.94</v>
      </c>
      <c r="X64" s="30">
        <v>0</v>
      </c>
      <c r="Y64" s="30">
        <v>1312114.8</v>
      </c>
      <c r="Z64" s="30">
        <v>92787.199999999983</v>
      </c>
      <c r="AA64" s="30">
        <v>662923.68</v>
      </c>
      <c r="AB64" s="320">
        <v>18052526.410000011</v>
      </c>
      <c r="AC64" s="30">
        <v>807624.76000000024</v>
      </c>
      <c r="AD64" s="30">
        <v>23158.84</v>
      </c>
      <c r="AE64" s="30">
        <v>27306.2</v>
      </c>
      <c r="AF64" s="30">
        <v>0</v>
      </c>
      <c r="AG64" s="30">
        <v>2104058.6300000008</v>
      </c>
      <c r="AH64" s="30">
        <v>0</v>
      </c>
      <c r="AI64" s="30">
        <v>0</v>
      </c>
      <c r="AJ64" s="30">
        <v>3717281.4800000004</v>
      </c>
      <c r="AK64" s="30">
        <v>4990.5</v>
      </c>
      <c r="AL64" s="30">
        <v>9747.21</v>
      </c>
      <c r="AM64" s="30">
        <v>0</v>
      </c>
      <c r="AN64" s="30">
        <v>0</v>
      </c>
      <c r="AO64" s="30">
        <v>0</v>
      </c>
      <c r="AP64" s="30">
        <v>39030897.360000022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277650.77</v>
      </c>
      <c r="AW64" s="319">
        <v>0</v>
      </c>
      <c r="AX64" s="319">
        <v>0</v>
      </c>
      <c r="AY64" s="30">
        <v>1537489.6200000003</v>
      </c>
      <c r="AZ64" s="30">
        <v>0</v>
      </c>
      <c r="BA64" s="319">
        <v>0</v>
      </c>
      <c r="BB64" s="319">
        <v>0</v>
      </c>
      <c r="BC64" s="319">
        <v>18969.700000000004</v>
      </c>
      <c r="BD64" s="319">
        <v>0</v>
      </c>
      <c r="BE64" s="30">
        <v>200295.86999999997</v>
      </c>
      <c r="BF64" s="319">
        <v>197578.29</v>
      </c>
      <c r="BG64" s="319">
        <v>0</v>
      </c>
      <c r="BH64" s="319">
        <v>0</v>
      </c>
      <c r="BI64" s="319">
        <v>26309.989999999998</v>
      </c>
      <c r="BJ64" s="319">
        <v>0</v>
      </c>
      <c r="BK64" s="319">
        <v>1278.24</v>
      </c>
      <c r="BL64" s="319">
        <v>19775.34</v>
      </c>
      <c r="BM64" s="319">
        <v>0</v>
      </c>
      <c r="BN64" s="319">
        <v>240452.13999999999</v>
      </c>
      <c r="BO64" s="319">
        <v>0</v>
      </c>
      <c r="BP64" s="319">
        <v>0</v>
      </c>
      <c r="BQ64" s="319">
        <v>0</v>
      </c>
      <c r="BR64" s="319">
        <v>21195.73</v>
      </c>
      <c r="BS64" s="319">
        <v>0</v>
      </c>
      <c r="BT64" s="319">
        <v>0</v>
      </c>
      <c r="BU64" s="319">
        <v>0</v>
      </c>
      <c r="BV64" s="319">
        <v>969.64</v>
      </c>
      <c r="BW64" s="319">
        <v>0</v>
      </c>
      <c r="BX64" s="319">
        <v>0</v>
      </c>
      <c r="BY64" s="319">
        <v>171789.68999999997</v>
      </c>
      <c r="BZ64" s="319">
        <v>930.96000000000015</v>
      </c>
      <c r="CA64" s="319">
        <v>700.99</v>
      </c>
      <c r="CB64" s="319">
        <v>0</v>
      </c>
      <c r="CC64" s="319">
        <v>-65402.520000000011</v>
      </c>
      <c r="CD64" s="29" t="s">
        <v>248</v>
      </c>
      <c r="CE64" s="32">
        <f t="shared" si="4"/>
        <v>127179622.56000005</v>
      </c>
    </row>
    <row r="65">
      <c r="A65" s="39" t="s">
        <v>266</v>
      </c>
      <c r="B65" s="20"/>
      <c r="C65" s="24">
        <v>1094.58</v>
      </c>
      <c r="D65" s="24">
        <v>0</v>
      </c>
      <c r="E65" s="24">
        <v>12371.73</v>
      </c>
      <c r="F65" s="24">
        <v>0</v>
      </c>
      <c r="G65" s="24">
        <v>0</v>
      </c>
      <c r="H65" s="24">
        <v>419.76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2656.58</v>
      </c>
      <c r="P65" s="30">
        <v>15925.46</v>
      </c>
      <c r="Q65" s="30">
        <v>6087.1399999999994</v>
      </c>
      <c r="R65" s="30">
        <v>0</v>
      </c>
      <c r="S65" s="319">
        <v>0</v>
      </c>
      <c r="T65" s="319">
        <v>0</v>
      </c>
      <c r="U65" s="31">
        <v>792.43999999999994</v>
      </c>
      <c r="V65" s="30">
        <v>14.9</v>
      </c>
      <c r="W65" s="30">
        <v>0</v>
      </c>
      <c r="X65" s="30">
        <v>0</v>
      </c>
      <c r="Y65" s="30">
        <v>295140.58999999997</v>
      </c>
      <c r="Z65" s="30">
        <v>0</v>
      </c>
      <c r="AA65" s="30">
        <v>0</v>
      </c>
      <c r="AB65" s="320">
        <v>2047.4900000000002</v>
      </c>
      <c r="AC65" s="30">
        <v>3619.8</v>
      </c>
      <c r="AD65" s="30">
        <v>0</v>
      </c>
      <c r="AE65" s="30">
        <v>7112.74</v>
      </c>
      <c r="AF65" s="30">
        <v>0</v>
      </c>
      <c r="AG65" s="30">
        <v>25319.089999999997</v>
      </c>
      <c r="AH65" s="30">
        <v>0</v>
      </c>
      <c r="AI65" s="30">
        <v>0</v>
      </c>
      <c r="AJ65" s="30">
        <v>849121.51</v>
      </c>
      <c r="AK65" s="30">
        <v>757.66</v>
      </c>
      <c r="AL65" s="30">
        <v>0</v>
      </c>
      <c r="AM65" s="30">
        <v>0</v>
      </c>
      <c r="AN65" s="30">
        <v>0</v>
      </c>
      <c r="AO65" s="30">
        <v>0</v>
      </c>
      <c r="AP65" s="30">
        <v>9978.19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202.95</v>
      </c>
      <c r="AW65" s="319">
        <v>0</v>
      </c>
      <c r="AX65" s="319">
        <v>0</v>
      </c>
      <c r="AY65" s="30">
        <v>179.36</v>
      </c>
      <c r="AZ65" s="30">
        <v>0</v>
      </c>
      <c r="BA65" s="319">
        <v>0</v>
      </c>
      <c r="BB65" s="319">
        <v>0</v>
      </c>
      <c r="BC65" s="319">
        <v>2931.04</v>
      </c>
      <c r="BD65" s="319">
        <v>0</v>
      </c>
      <c r="BE65" s="30">
        <v>4685961.7000000011</v>
      </c>
      <c r="BF65" s="319">
        <v>7036.6399999999994</v>
      </c>
      <c r="BG65" s="319">
        <v>300231.49</v>
      </c>
      <c r="BH65" s="319">
        <v>0</v>
      </c>
      <c r="BI65" s="319">
        <v>0</v>
      </c>
      <c r="BJ65" s="319">
        <v>0</v>
      </c>
      <c r="BK65" s="319">
        <v>0</v>
      </c>
      <c r="BL65" s="319">
        <v>113.55</v>
      </c>
      <c r="BM65" s="319">
        <v>0</v>
      </c>
      <c r="BN65" s="319">
        <v>69911.84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3073.58</v>
      </c>
      <c r="BZ65" s="319">
        <v>0</v>
      </c>
      <c r="CA65" s="319">
        <v>0</v>
      </c>
      <c r="CB65" s="319">
        <v>0</v>
      </c>
      <c r="CC65" s="319">
        <v>9895.54</v>
      </c>
      <c r="CD65" s="29" t="s">
        <v>248</v>
      </c>
      <c r="CE65" s="32">
        <f t="shared" si="4"/>
        <v>6311997.3500000006</v>
      </c>
    </row>
    <row r="66">
      <c r="A66" s="39" t="s">
        <v>267</v>
      </c>
      <c r="B66" s="20"/>
      <c r="C66" s="24">
        <v>117230.86</v>
      </c>
      <c r="D66" s="24">
        <v>0</v>
      </c>
      <c r="E66" s="24">
        <v>1230817.73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380618.97</v>
      </c>
      <c r="P66" s="30">
        <v>4197094.49</v>
      </c>
      <c r="Q66" s="30">
        <v>39480.53</v>
      </c>
      <c r="R66" s="30">
        <v>1573788.0500000003</v>
      </c>
      <c r="S66" s="319">
        <v>383101.28</v>
      </c>
      <c r="T66" s="319">
        <v>0</v>
      </c>
      <c r="U66" s="31">
        <v>5340997.7499999991</v>
      </c>
      <c r="V66" s="30">
        <v>54134.25</v>
      </c>
      <c r="W66" s="30">
        <v>120334.55</v>
      </c>
      <c r="X66" s="30">
        <v>0</v>
      </c>
      <c r="Y66" s="30">
        <v>2024461.5</v>
      </c>
      <c r="Z66" s="30">
        <v>1667707.2699999996</v>
      </c>
      <c r="AA66" s="30">
        <v>100842.13</v>
      </c>
      <c r="AB66" s="320">
        <v>562712.08</v>
      </c>
      <c r="AC66" s="30">
        <v>560786.84000000008</v>
      </c>
      <c r="AD66" s="30">
        <v>1254103.29</v>
      </c>
      <c r="AE66" s="30">
        <v>559219.01</v>
      </c>
      <c r="AF66" s="30">
        <v>0</v>
      </c>
      <c r="AG66" s="30">
        <v>385946.03</v>
      </c>
      <c r="AH66" s="30">
        <v>0</v>
      </c>
      <c r="AI66" s="30">
        <v>0</v>
      </c>
      <c r="AJ66" s="30">
        <v>47397894.670000009</v>
      </c>
      <c r="AK66" s="30">
        <v>171267.83000000002</v>
      </c>
      <c r="AL66" s="30">
        <v>112941.77000000002</v>
      </c>
      <c r="AM66" s="30">
        <v>0</v>
      </c>
      <c r="AN66" s="30">
        <v>0</v>
      </c>
      <c r="AO66" s="30">
        <v>0</v>
      </c>
      <c r="AP66" s="30">
        <v>2118360.42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1038267.57</v>
      </c>
      <c r="AW66" s="319">
        <v>0</v>
      </c>
      <c r="AX66" s="319">
        <v>0</v>
      </c>
      <c r="AY66" s="30">
        <v>337086.40999999992</v>
      </c>
      <c r="AZ66" s="30">
        <v>0</v>
      </c>
      <c r="BA66" s="319">
        <v>-36.67</v>
      </c>
      <c r="BB66" s="319">
        <v>0</v>
      </c>
      <c r="BC66" s="319">
        <v>258454.59</v>
      </c>
      <c r="BD66" s="319">
        <v>0</v>
      </c>
      <c r="BE66" s="30">
        <v>11489902.670000002</v>
      </c>
      <c r="BF66" s="319">
        <v>138181.24</v>
      </c>
      <c r="BG66" s="319">
        <v>0</v>
      </c>
      <c r="BH66" s="319">
        <v>0</v>
      </c>
      <c r="BI66" s="319">
        <v>0</v>
      </c>
      <c r="BJ66" s="319">
        <v>0</v>
      </c>
      <c r="BK66" s="319">
        <v>16130276.02</v>
      </c>
      <c r="BL66" s="319">
        <v>5225273</v>
      </c>
      <c r="BM66" s="319">
        <v>0</v>
      </c>
      <c r="BN66" s="319">
        <v>332269.18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8362733.64</v>
      </c>
      <c r="BW66" s="319">
        <v>262.39</v>
      </c>
      <c r="BX66" s="319">
        <v>0</v>
      </c>
      <c r="BY66" s="319">
        <v>946719.34000000008</v>
      </c>
      <c r="BZ66" s="319">
        <v>0</v>
      </c>
      <c r="CA66" s="319">
        <v>375.79999999999995</v>
      </c>
      <c r="CB66" s="319">
        <v>112299</v>
      </c>
      <c r="CC66" s="319">
        <v>71850352.48</v>
      </c>
      <c r="CD66" s="29" t="s">
        <v>248</v>
      </c>
      <c r="CE66" s="32">
        <f t="shared" si="4"/>
        <v>186576257.95999998</v>
      </c>
    </row>
    <row r="67">
      <c r="A67" s="39" t="s">
        <v>16</v>
      </c>
      <c r="B67" s="20"/>
      <c r="C67" s="32">
        <f ref="C67:BN67" t="shared" si="7">ROUND(C51+C52,0)</f>
        <v>-396800</v>
      </c>
      <c r="D67" s="32">
        <f t="shared" si="7"/>
        <v>0</v>
      </c>
      <c r="E67" s="32">
        <f t="shared" si="7"/>
        <v>-1742690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-308871</v>
      </c>
      <c r="P67" s="32">
        <f t="shared" si="7"/>
        <v>4340239</v>
      </c>
      <c r="Q67" s="32">
        <f t="shared" si="7"/>
        <v>26532</v>
      </c>
      <c r="R67" s="32">
        <f t="shared" si="7"/>
        <v>144254</v>
      </c>
      <c r="S67" s="32">
        <f t="shared" si="7"/>
        <v>-396614</v>
      </c>
      <c r="T67" s="32">
        <f t="shared" si="7"/>
        <v>0</v>
      </c>
      <c r="U67" s="32">
        <f t="shared" si="7"/>
        <v>61467</v>
      </c>
      <c r="V67" s="32">
        <f t="shared" si="7"/>
        <v>131767</v>
      </c>
      <c r="W67" s="32">
        <f t="shared" si="7"/>
        <v>756020</v>
      </c>
      <c r="X67" s="32">
        <f t="shared" si="7"/>
        <v>0</v>
      </c>
      <c r="Y67" s="32">
        <f t="shared" si="7"/>
        <v>3336527</v>
      </c>
      <c r="Z67" s="32">
        <f t="shared" si="7"/>
        <v>31754</v>
      </c>
      <c r="AA67" s="32">
        <f t="shared" si="7"/>
        <v>1390631</v>
      </c>
      <c r="AB67" s="32">
        <f t="shared" si="7"/>
        <v>698571</v>
      </c>
      <c r="AC67" s="32">
        <f t="shared" si="7"/>
        <v>994714</v>
      </c>
      <c r="AD67" s="32">
        <f t="shared" si="7"/>
        <v>44504</v>
      </c>
      <c r="AE67" s="32">
        <f t="shared" si="7"/>
        <v>-230574</v>
      </c>
      <c r="AF67" s="32">
        <f t="shared" si="7"/>
        <v>0</v>
      </c>
      <c r="AG67" s="32">
        <f t="shared" si="7"/>
        <v>-807309</v>
      </c>
      <c r="AH67" s="32">
        <f t="shared" si="7"/>
        <v>0</v>
      </c>
      <c r="AI67" s="32">
        <f t="shared" si="7"/>
        <v>0</v>
      </c>
      <c r="AJ67" s="32">
        <f t="shared" si="7"/>
        <v>3886927</v>
      </c>
      <c r="AK67" s="32">
        <f t="shared" si="7"/>
        <v>-115214</v>
      </c>
      <c r="AL67" s="32">
        <f t="shared" si="7"/>
        <v>-37912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-1677851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96402</v>
      </c>
      <c r="AW67" s="32">
        <f t="shared" si="7"/>
        <v>0</v>
      </c>
      <c r="AX67" s="32">
        <f t="shared" si="7"/>
        <v>0</v>
      </c>
      <c r="AY67" s="32">
        <f t="shared" si="7"/>
        <v>-327948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42690</v>
      </c>
      <c r="BD67" s="32">
        <f t="shared" si="7"/>
        <v>-2504590</v>
      </c>
      <c r="BE67" s="32">
        <f t="shared" si="7"/>
        <v>608919</v>
      </c>
      <c r="BF67" s="32">
        <f t="shared" si="7"/>
        <v>-81203</v>
      </c>
      <c r="BG67" s="32">
        <f t="shared" si="7"/>
        <v>183099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939</v>
      </c>
      <c r="BM67" s="32">
        <f t="shared" si="7"/>
        <v>0</v>
      </c>
      <c r="BN67" s="32">
        <f t="shared" si="7"/>
        <v>5388927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-89734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1068166</v>
      </c>
      <c r="BZ67" s="32">
        <f t="shared" si="8"/>
        <v>0</v>
      </c>
      <c r="CA67" s="32">
        <f t="shared" si="8"/>
        <v>741</v>
      </c>
      <c r="CB67" s="32">
        <f t="shared" si="8"/>
        <v>0</v>
      </c>
      <c r="CC67" s="32">
        <f t="shared" si="8"/>
        <v>638247</v>
      </c>
      <c r="CD67" s="29" t="s">
        <v>248</v>
      </c>
      <c r="CE67" s="32">
        <f t="shared" si="4"/>
        <v>15154727</v>
      </c>
    </row>
    <row r="68">
      <c r="A68" s="39" t="s">
        <v>268</v>
      </c>
      <c r="B68" s="32"/>
      <c r="C68" s="24">
        <v>1293.4</v>
      </c>
      <c r="D68" s="24">
        <v>0</v>
      </c>
      <c r="E68" s="24">
        <v>15718.7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10988.65</v>
      </c>
      <c r="P68" s="30">
        <v>1680870.33</v>
      </c>
      <c r="Q68" s="30">
        <v>606.31</v>
      </c>
      <c r="R68" s="30">
        <v>2022.63</v>
      </c>
      <c r="S68" s="319">
        <v>116120.3</v>
      </c>
      <c r="T68" s="319">
        <v>0</v>
      </c>
      <c r="U68" s="31">
        <v>68087.08</v>
      </c>
      <c r="V68" s="30">
        <v>0</v>
      </c>
      <c r="W68" s="30">
        <v>1036.49</v>
      </c>
      <c r="X68" s="30">
        <v>0</v>
      </c>
      <c r="Y68" s="30">
        <v>1097884.9500000002</v>
      </c>
      <c r="Z68" s="30">
        <v>1100.9299999999998</v>
      </c>
      <c r="AA68" s="30">
        <v>33.05</v>
      </c>
      <c r="AB68" s="320">
        <v>38665.51</v>
      </c>
      <c r="AC68" s="30">
        <v>210732.84</v>
      </c>
      <c r="AD68" s="30">
        <v>0</v>
      </c>
      <c r="AE68" s="30">
        <v>295309.10999999993</v>
      </c>
      <c r="AF68" s="30">
        <v>0</v>
      </c>
      <c r="AG68" s="30">
        <v>8459.73</v>
      </c>
      <c r="AH68" s="30">
        <v>0</v>
      </c>
      <c r="AI68" s="30">
        <v>0</v>
      </c>
      <c r="AJ68" s="30">
        <v>9794669.6199999973</v>
      </c>
      <c r="AK68" s="30">
        <v>170403.78</v>
      </c>
      <c r="AL68" s="30">
        <v>176223.13</v>
      </c>
      <c r="AM68" s="30">
        <v>0</v>
      </c>
      <c r="AN68" s="30">
        <v>0</v>
      </c>
      <c r="AO68" s="30">
        <v>0</v>
      </c>
      <c r="AP68" s="30">
        <v>399762.51999999996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20.6</v>
      </c>
      <c r="AW68" s="319">
        <v>0</v>
      </c>
      <c r="AX68" s="319">
        <v>0</v>
      </c>
      <c r="AY68" s="30">
        <v>35761.86</v>
      </c>
      <c r="AZ68" s="30">
        <v>0</v>
      </c>
      <c r="BA68" s="319">
        <v>0</v>
      </c>
      <c r="BB68" s="319">
        <v>0</v>
      </c>
      <c r="BC68" s="319">
        <v>1158.19</v>
      </c>
      <c r="BD68" s="319">
        <v>605929.01</v>
      </c>
      <c r="BE68" s="30">
        <v>691068.61</v>
      </c>
      <c r="BF68" s="319">
        <v>1132.9299999999998</v>
      </c>
      <c r="BG68" s="319">
        <v>345.28</v>
      </c>
      <c r="BH68" s="319">
        <v>0</v>
      </c>
      <c r="BI68" s="319">
        <v>0</v>
      </c>
      <c r="BJ68" s="319">
        <v>0</v>
      </c>
      <c r="BK68" s="319">
        <v>4748.13</v>
      </c>
      <c r="BL68" s="319">
        <v>8397.69</v>
      </c>
      <c r="BM68" s="319">
        <v>0</v>
      </c>
      <c r="BN68" s="319">
        <v>1087876.3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8082.67</v>
      </c>
      <c r="BW68" s="319">
        <v>0</v>
      </c>
      <c r="BX68" s="319">
        <v>0</v>
      </c>
      <c r="BY68" s="319">
        <v>8172.07</v>
      </c>
      <c r="BZ68" s="319">
        <v>0</v>
      </c>
      <c r="CA68" s="319">
        <v>31792.359999999997</v>
      </c>
      <c r="CB68" s="319">
        <v>0</v>
      </c>
      <c r="CC68" s="319">
        <v>-260604.26999999973</v>
      </c>
      <c r="CD68" s="29" t="s">
        <v>248</v>
      </c>
      <c r="CE68" s="32">
        <f t="shared" si="4"/>
        <v>16313870.489999995</v>
      </c>
    </row>
    <row r="69">
      <c r="A69" s="39" t="s">
        <v>269</v>
      </c>
      <c r="B69" s="20"/>
      <c r="C69" s="32">
        <f ref="C69:BN69" t="shared" si="9">SUM(C70:C83)</f>
        <v>18819.739999999998</v>
      </c>
      <c r="D69" s="32">
        <f t="shared" si="9"/>
        <v>0</v>
      </c>
      <c r="E69" s="32">
        <f t="shared" si="9"/>
        <v>67671.29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39614.36</v>
      </c>
      <c r="P69" s="32">
        <f t="shared" si="9"/>
        <v>171180.52000000005</v>
      </c>
      <c r="Q69" s="32">
        <f t="shared" si="9"/>
        <v>16965.780000000002</v>
      </c>
      <c r="R69" s="32">
        <f t="shared" si="9"/>
        <v>3284.9</v>
      </c>
      <c r="S69" s="32">
        <f t="shared" si="9"/>
        <v>190495.05</v>
      </c>
      <c r="T69" s="32">
        <f t="shared" si="9"/>
        <v>0</v>
      </c>
      <c r="U69" s="32">
        <f t="shared" si="9"/>
        <v>8391.9699999999957</v>
      </c>
      <c r="V69" s="32">
        <f t="shared" si="9"/>
        <v>730</v>
      </c>
      <c r="W69" s="32">
        <f t="shared" si="9"/>
        <v>0</v>
      </c>
      <c r="X69" s="32">
        <f t="shared" si="9"/>
        <v>0</v>
      </c>
      <c r="Y69" s="32">
        <f t="shared" si="9"/>
        <v>27395.009999999987</v>
      </c>
      <c r="Z69" s="32">
        <f t="shared" si="9"/>
        <v>1852.62</v>
      </c>
      <c r="AA69" s="32">
        <f t="shared" si="9"/>
        <v>37.46</v>
      </c>
      <c r="AB69" s="32">
        <f t="shared" si="9"/>
        <v>209383.22</v>
      </c>
      <c r="AC69" s="32">
        <f t="shared" si="9"/>
        <v>12732.539999999999</v>
      </c>
      <c r="AD69" s="32">
        <f t="shared" si="9"/>
        <v>0</v>
      </c>
      <c r="AE69" s="32">
        <f t="shared" si="9"/>
        <v>9760.369999999999</v>
      </c>
      <c r="AF69" s="32">
        <f t="shared" si="9"/>
        <v>0</v>
      </c>
      <c r="AG69" s="32">
        <f t="shared" si="9"/>
        <v>75041.720000000016</v>
      </c>
      <c r="AH69" s="32">
        <f t="shared" si="9"/>
        <v>0</v>
      </c>
      <c r="AI69" s="32">
        <f t="shared" si="9"/>
        <v>0</v>
      </c>
      <c r="AJ69" s="32">
        <f t="shared" si="9"/>
        <v>-423091.74999999977</v>
      </c>
      <c r="AK69" s="32">
        <f t="shared" si="9"/>
        <v>1646.4199999999999</v>
      </c>
      <c r="AL69" s="32">
        <f t="shared" si="9"/>
        <v>798.2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17282.170000000002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12562.309999999998</v>
      </c>
      <c r="AW69" s="32">
        <f t="shared" si="9"/>
        <v>0</v>
      </c>
      <c r="AX69" s="32">
        <f t="shared" si="9"/>
        <v>0</v>
      </c>
      <c r="AY69" s="32">
        <f t="shared" si="9"/>
        <v>76637.060000000027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164194.64</v>
      </c>
      <c r="BF69" s="32">
        <f t="shared" si="9"/>
        <v>11837.82</v>
      </c>
      <c r="BG69" s="32">
        <f t="shared" si="9"/>
        <v>0</v>
      </c>
      <c r="BH69" s="32">
        <f t="shared" si="9"/>
        <v>0</v>
      </c>
      <c r="BI69" s="32">
        <f t="shared" si="9"/>
        <v>-377.59</v>
      </c>
      <c r="BJ69" s="32">
        <f t="shared" si="9"/>
        <v>0</v>
      </c>
      <c r="BK69" s="32">
        <f t="shared" si="9"/>
        <v>0</v>
      </c>
      <c r="BL69" s="32">
        <f t="shared" si="9"/>
        <v>-0.4</v>
      </c>
      <c r="BM69" s="32">
        <f t="shared" si="9"/>
        <v>0</v>
      </c>
      <c r="BN69" s="32">
        <f t="shared" si="9"/>
        <v>692574.81000000029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140651.43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14087</v>
      </c>
      <c r="BX69" s="32">
        <f t="shared" si="10"/>
        <v>0</v>
      </c>
      <c r="BY69" s="32">
        <f t="shared" si="10"/>
        <v>73753.549999999988</v>
      </c>
      <c r="BZ69" s="32">
        <f t="shared" si="10"/>
        <v>4403.3</v>
      </c>
      <c r="CA69" s="32">
        <f t="shared" si="10"/>
        <v>1035.34</v>
      </c>
      <c r="CB69" s="32">
        <f t="shared" si="10"/>
        <v>0</v>
      </c>
      <c r="CC69" s="32">
        <f t="shared" si="10"/>
        <v>1341254.6700000018</v>
      </c>
      <c r="CD69" s="32">
        <f t="shared" si="10"/>
        <v>22914024.089999996</v>
      </c>
      <c r="CE69" s="32">
        <f>SUM(CE70:CE84)</f>
        <v>40149740.64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18819.739999999998</v>
      </c>
      <c r="D83" s="24">
        <v>0</v>
      </c>
      <c r="E83" s="30">
        <v>67671.29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39614.36</v>
      </c>
      <c r="P83" s="30">
        <v>171180.52000000005</v>
      </c>
      <c r="Q83" s="30">
        <v>16965.780000000002</v>
      </c>
      <c r="R83" s="31">
        <v>3284.9</v>
      </c>
      <c r="S83" s="30">
        <v>190495.05</v>
      </c>
      <c r="T83" s="24">
        <v>0</v>
      </c>
      <c r="U83" s="30">
        <v>8391.9699999999957</v>
      </c>
      <c r="V83" s="30">
        <v>730</v>
      </c>
      <c r="W83" s="24">
        <v>0</v>
      </c>
      <c r="X83" s="30">
        <v>0</v>
      </c>
      <c r="Y83" s="30">
        <v>27395.009999999987</v>
      </c>
      <c r="Z83" s="30">
        <v>1852.62</v>
      </c>
      <c r="AA83" s="30">
        <v>37.46</v>
      </c>
      <c r="AB83" s="30">
        <v>209383.22</v>
      </c>
      <c r="AC83" s="30">
        <v>12732.539999999999</v>
      </c>
      <c r="AD83" s="30">
        <v>0</v>
      </c>
      <c r="AE83" s="30">
        <v>9760.369999999999</v>
      </c>
      <c r="AF83" s="30">
        <v>0</v>
      </c>
      <c r="AG83" s="30">
        <v>75041.720000000016</v>
      </c>
      <c r="AH83" s="30">
        <v>0</v>
      </c>
      <c r="AI83" s="30">
        <v>0</v>
      </c>
      <c r="AJ83" s="30">
        <v>-423091.74999999977</v>
      </c>
      <c r="AK83" s="30">
        <v>1646.4199999999999</v>
      </c>
      <c r="AL83" s="30">
        <v>798.2</v>
      </c>
      <c r="AM83" s="30">
        <v>0</v>
      </c>
      <c r="AN83" s="30">
        <v>0</v>
      </c>
      <c r="AO83" s="24">
        <v>0</v>
      </c>
      <c r="AP83" s="30">
        <v>17282.170000000002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12562.309999999998</v>
      </c>
      <c r="AW83" s="30">
        <v>0</v>
      </c>
      <c r="AX83" s="30">
        <v>0</v>
      </c>
      <c r="AY83" s="30">
        <v>76637.060000000027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164194.64</v>
      </c>
      <c r="BF83" s="30">
        <v>11837.82</v>
      </c>
      <c r="BG83" s="30">
        <v>0</v>
      </c>
      <c r="BH83" s="31">
        <v>0</v>
      </c>
      <c r="BI83" s="30">
        <v>-377.59</v>
      </c>
      <c r="BJ83" s="30">
        <v>0</v>
      </c>
      <c r="BK83" s="30">
        <v>0</v>
      </c>
      <c r="BL83" s="30">
        <v>-0.4</v>
      </c>
      <c r="BM83" s="30">
        <v>0</v>
      </c>
      <c r="BN83" s="30">
        <v>692574.81000000029</v>
      </c>
      <c r="BO83" s="30">
        <v>0</v>
      </c>
      <c r="BP83" s="30">
        <v>0</v>
      </c>
      <c r="BQ83" s="30">
        <v>0</v>
      </c>
      <c r="BR83" s="30">
        <v>140651.43</v>
      </c>
      <c r="BS83" s="30">
        <v>0</v>
      </c>
      <c r="BT83" s="30">
        <v>0</v>
      </c>
      <c r="BU83" s="30">
        <v>0</v>
      </c>
      <c r="BV83" s="30">
        <v>0</v>
      </c>
      <c r="BW83" s="30">
        <v>14087</v>
      </c>
      <c r="BX83" s="30">
        <v>0</v>
      </c>
      <c r="BY83" s="30">
        <v>73753.549999999988</v>
      </c>
      <c r="BZ83" s="30">
        <v>4403.3</v>
      </c>
      <c r="CA83" s="30">
        <v>1035.34</v>
      </c>
      <c r="CB83" s="30">
        <v>0</v>
      </c>
      <c r="CC83" s="30">
        <v>1341254.6700000018</v>
      </c>
      <c r="CD83" s="35">
        <v>22914024.089999996</v>
      </c>
      <c r="CE83" s="32">
        <f t="shared" si="11"/>
        <v>25896629.619999997</v>
      </c>
    </row>
    <row r="84">
      <c r="A84" s="39" t="s">
        <v>284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116159.82</v>
      </c>
      <c r="V84" s="24">
        <v>0</v>
      </c>
      <c r="W84" s="24">
        <v>0</v>
      </c>
      <c r="X84" s="24">
        <v>0</v>
      </c>
      <c r="Y84" s="24">
        <v>62226.16</v>
      </c>
      <c r="Z84" s="24">
        <v>0</v>
      </c>
      <c r="AA84" s="24">
        <v>0</v>
      </c>
      <c r="AB84" s="24">
        <v>328768.43</v>
      </c>
      <c r="AC84" s="24">
        <v>0</v>
      </c>
      <c r="AD84" s="24">
        <v>0</v>
      </c>
      <c r="AE84" s="24">
        <v>1229.32</v>
      </c>
      <c r="AF84" s="24">
        <v>0</v>
      </c>
      <c r="AG84" s="24">
        <v>78220.8</v>
      </c>
      <c r="AH84" s="24">
        <v>0</v>
      </c>
      <c r="AI84" s="24">
        <v>0</v>
      </c>
      <c r="AJ84" s="24">
        <v>3713220.0100000007</v>
      </c>
      <c r="AK84" s="24">
        <v>389</v>
      </c>
      <c r="AL84" s="24">
        <v>7233.59</v>
      </c>
      <c r="AM84" s="24">
        <v>0</v>
      </c>
      <c r="AN84" s="24">
        <v>0</v>
      </c>
      <c r="AO84" s="24">
        <v>0</v>
      </c>
      <c r="AP84" s="24">
        <v>354418.76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2340333.07</v>
      </c>
      <c r="AW84" s="24">
        <v>0</v>
      </c>
      <c r="AX84" s="24">
        <v>0</v>
      </c>
      <c r="AY84" s="24">
        <v>1352542.96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2395532.53</v>
      </c>
      <c r="BF84" s="24">
        <v>0</v>
      </c>
      <c r="BG84" s="24">
        <v>0</v>
      </c>
      <c r="BH84" s="24">
        <v>0</v>
      </c>
      <c r="BI84" s="24">
        <v>60771.68</v>
      </c>
      <c r="BJ84" s="24">
        <v>0</v>
      </c>
      <c r="BK84" s="24">
        <v>0</v>
      </c>
      <c r="BL84" s="24">
        <v>0</v>
      </c>
      <c r="BM84" s="24">
        <v>0</v>
      </c>
      <c r="BN84" s="24">
        <v>523184.31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107475</v>
      </c>
      <c r="BX84" s="24">
        <v>0</v>
      </c>
      <c r="BY84" s="24">
        <v>115994.37</v>
      </c>
      <c r="BZ84" s="24">
        <v>0</v>
      </c>
      <c r="CA84" s="24">
        <v>0</v>
      </c>
      <c r="CB84" s="24">
        <v>0</v>
      </c>
      <c r="CC84" s="24">
        <v>0</v>
      </c>
      <c r="CD84" s="35">
        <v>2695411.21</v>
      </c>
      <c r="CE84" s="32">
        <f t="shared" si="11"/>
        <v>14253111.02</v>
      </c>
    </row>
    <row r="85">
      <c r="A85" s="39" t="s">
        <v>285</v>
      </c>
      <c r="B85" s="32"/>
      <c r="C85" s="32">
        <f>SUM(C61:C69)-C84</f>
        <v>34495848.1</v>
      </c>
      <c r="D85" s="32">
        <f ref="D85:BO85" t="shared" si="12">SUM(D61:D69)-D84</f>
        <v>0</v>
      </c>
      <c r="E85" s="32">
        <f t="shared" si="12"/>
        <v>69379548.089999989</v>
      </c>
      <c r="F85" s="32">
        <f t="shared" si="12"/>
        <v>0</v>
      </c>
      <c r="G85" s="32">
        <f t="shared" si="12"/>
        <v>0</v>
      </c>
      <c r="H85" s="32">
        <f t="shared" si="12"/>
        <v>685.78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16359361.550000005</v>
      </c>
      <c r="P85" s="32">
        <f t="shared" si="12"/>
        <v>82496118.669999987</v>
      </c>
      <c r="Q85" s="32">
        <f t="shared" si="12"/>
        <v>11411115.409999998</v>
      </c>
      <c r="R85" s="32">
        <f t="shared" si="12"/>
        <v>2654341.53</v>
      </c>
      <c r="S85" s="32">
        <f t="shared" si="12"/>
        <v>2330389.73</v>
      </c>
      <c r="T85" s="32">
        <f t="shared" si="12"/>
        <v>0</v>
      </c>
      <c r="U85" s="32">
        <f t="shared" si="12"/>
        <v>16901696.429999996</v>
      </c>
      <c r="V85" s="32">
        <f t="shared" si="12"/>
        <v>1256469.42</v>
      </c>
      <c r="W85" s="32">
        <f t="shared" si="12"/>
        <v>1899341.3599999999</v>
      </c>
      <c r="X85" s="32">
        <f t="shared" si="12"/>
        <v>0</v>
      </c>
      <c r="Y85" s="32">
        <f t="shared" si="12"/>
        <v>21299022.88</v>
      </c>
      <c r="Z85" s="32">
        <f t="shared" si="12"/>
        <v>4675063.4999999991</v>
      </c>
      <c r="AA85" s="32">
        <f t="shared" si="12"/>
        <v>2870297.54</v>
      </c>
      <c r="AB85" s="32">
        <f t="shared" si="12"/>
        <v>26888323.160000008</v>
      </c>
      <c r="AC85" s="32">
        <f t="shared" si="12"/>
        <v>8082532.27</v>
      </c>
      <c r="AD85" s="32">
        <f t="shared" si="12"/>
        <v>1321766.1300000001</v>
      </c>
      <c r="AE85" s="32">
        <f t="shared" si="12"/>
        <v>3753310.2599999988</v>
      </c>
      <c r="AF85" s="32">
        <f t="shared" si="12"/>
        <v>0</v>
      </c>
      <c r="AG85" s="32">
        <f t="shared" si="12"/>
        <v>29710774.550000008</v>
      </c>
      <c r="AH85" s="32">
        <f t="shared" si="12"/>
        <v>0</v>
      </c>
      <c r="AI85" s="32">
        <f t="shared" si="12"/>
        <v>0</v>
      </c>
      <c r="AJ85" s="32">
        <f t="shared" si="12"/>
        <v>166699377.44</v>
      </c>
      <c r="AK85" s="32">
        <f t="shared" si="12"/>
        <v>1278556.8399999999</v>
      </c>
      <c r="AL85" s="32">
        <f t="shared" si="12"/>
        <v>873346.49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48151632.840000026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3086795.18</v>
      </c>
      <c r="AW85" s="32">
        <f t="shared" si="12"/>
        <v>0</v>
      </c>
      <c r="AX85" s="32">
        <f t="shared" si="12"/>
        <v>0</v>
      </c>
      <c r="AY85" s="32">
        <f t="shared" si="12"/>
        <v>5119096.1499999994</v>
      </c>
      <c r="AZ85" s="32">
        <f t="shared" si="12"/>
        <v>0</v>
      </c>
      <c r="BA85" s="32">
        <f t="shared" si="12"/>
        <v>111947.01000000001</v>
      </c>
      <c r="BB85" s="32">
        <f t="shared" si="12"/>
        <v>0</v>
      </c>
      <c r="BC85" s="32">
        <f t="shared" si="12"/>
        <v>967413.80999999982</v>
      </c>
      <c r="BD85" s="32">
        <f t="shared" si="12"/>
        <v>-1898660.99</v>
      </c>
      <c r="BE85" s="32">
        <f t="shared" si="12"/>
        <v>17275014.01</v>
      </c>
      <c r="BF85" s="32">
        <f t="shared" si="12"/>
        <v>4350304.9399999995</v>
      </c>
      <c r="BG85" s="32">
        <f t="shared" si="12"/>
        <v>483675.77</v>
      </c>
      <c r="BH85" s="32">
        <f t="shared" si="12"/>
        <v>0</v>
      </c>
      <c r="BI85" s="32">
        <f t="shared" si="12"/>
        <v>-34839.28</v>
      </c>
      <c r="BJ85" s="32">
        <f t="shared" si="12"/>
        <v>0</v>
      </c>
      <c r="BK85" s="32">
        <f t="shared" si="12"/>
        <v>16136302.39</v>
      </c>
      <c r="BL85" s="32">
        <f t="shared" si="12"/>
        <v>5254498.18</v>
      </c>
      <c r="BM85" s="32">
        <f t="shared" si="12"/>
        <v>0</v>
      </c>
      <c r="BN85" s="32">
        <f t="shared" si="12"/>
        <v>16692227.31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275478.16000000003</v>
      </c>
      <c r="BS85" s="32">
        <f t="shared" si="13"/>
        <v>-89734</v>
      </c>
      <c r="BT85" s="32">
        <f t="shared" si="13"/>
        <v>0</v>
      </c>
      <c r="BU85" s="32">
        <f t="shared" si="13"/>
        <v>0</v>
      </c>
      <c r="BV85" s="32">
        <f t="shared" si="13"/>
        <v>8371954.6099999994</v>
      </c>
      <c r="BW85" s="32">
        <f t="shared" si="13"/>
        <v>-27240.78</v>
      </c>
      <c r="BX85" s="32">
        <f t="shared" si="13"/>
        <v>0</v>
      </c>
      <c r="BY85" s="32">
        <f t="shared" si="13"/>
        <v>5743867.9300000016</v>
      </c>
      <c r="BZ85" s="32">
        <f t="shared" si="13"/>
        <v>3213052.06</v>
      </c>
      <c r="CA85" s="32">
        <f t="shared" si="13"/>
        <v>1005925.39</v>
      </c>
      <c r="CB85" s="32">
        <f t="shared" si="13"/>
        <v>112299</v>
      </c>
      <c r="CC85" s="32">
        <f t="shared" si="13"/>
        <v>79027521.940000013</v>
      </c>
      <c r="CD85" s="32">
        <f t="shared" si="13"/>
        <v>20218612.879999995</v>
      </c>
      <c r="CE85" s="32">
        <f t="shared" si="11"/>
        <v>740184431.63999963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/>
    </row>
    <row r="87">
      <c r="A87" s="26" t="s">
        <v>287</v>
      </c>
      <c r="B87" s="20"/>
      <c r="C87" s="24">
        <v>101890680.33000001</v>
      </c>
      <c r="D87" s="24">
        <v>0</v>
      </c>
      <c r="E87" s="24">
        <v>234705181.29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85112939.070000008</v>
      </c>
      <c r="P87" s="24">
        <v>331872871.01999992</v>
      </c>
      <c r="Q87" s="24">
        <v>19730314.859999996</v>
      </c>
      <c r="R87" s="24">
        <v>25410114.11</v>
      </c>
      <c r="S87" s="24">
        <v>0</v>
      </c>
      <c r="T87" s="24">
        <v>0</v>
      </c>
      <c r="U87" s="24">
        <v>80669316.9</v>
      </c>
      <c r="V87" s="24">
        <v>25338166.79</v>
      </c>
      <c r="W87" s="24">
        <v>8750551.2800000012</v>
      </c>
      <c r="X87" s="24">
        <v>0</v>
      </c>
      <c r="Y87" s="24">
        <v>92365849.679999948</v>
      </c>
      <c r="Z87" s="24">
        <v>2410139.69</v>
      </c>
      <c r="AA87" s="24">
        <v>5326430.81</v>
      </c>
      <c r="AB87" s="24">
        <v>187680092.64000002</v>
      </c>
      <c r="AC87" s="24">
        <v>58444959.400000006</v>
      </c>
      <c r="AD87" s="24">
        <v>4939748.66</v>
      </c>
      <c r="AE87" s="24">
        <v>6338119.02</v>
      </c>
      <c r="AF87" s="24">
        <v>0</v>
      </c>
      <c r="AG87" s="24">
        <v>63979916.83</v>
      </c>
      <c r="AH87" s="24">
        <v>0</v>
      </c>
      <c r="AI87" s="24">
        <v>0</v>
      </c>
      <c r="AJ87" s="24">
        <v>1286161.6399999997</v>
      </c>
      <c r="AK87" s="24">
        <v>4571626.7</v>
      </c>
      <c r="AL87" s="24">
        <v>2044996.91</v>
      </c>
      <c r="AM87" s="24">
        <v>0</v>
      </c>
      <c r="AN87" s="24">
        <v>0</v>
      </c>
      <c r="AO87" s="24">
        <v>0</v>
      </c>
      <c r="AP87" s="24">
        <v>1596887.4100000004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1344465065.0400002</v>
      </c>
    </row>
    <row r="88">
      <c r="A88" s="26" t="s">
        <v>288</v>
      </c>
      <c r="B88" s="20"/>
      <c r="C88" s="24">
        <v>1022301.8699999998</v>
      </c>
      <c r="D88" s="24">
        <v>0</v>
      </c>
      <c r="E88" s="24">
        <v>28984519.300000004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7173843.32</v>
      </c>
      <c r="P88" s="24">
        <v>447263922.1400001</v>
      </c>
      <c r="Q88" s="24">
        <v>47987745.780000009</v>
      </c>
      <c r="R88" s="24">
        <v>32982589.95</v>
      </c>
      <c r="S88" s="24">
        <v>0</v>
      </c>
      <c r="T88" s="24">
        <v>0</v>
      </c>
      <c r="U88" s="24">
        <v>43588572.89</v>
      </c>
      <c r="V88" s="24">
        <v>11140926.11</v>
      </c>
      <c r="W88" s="24">
        <v>22305419.62</v>
      </c>
      <c r="X88" s="24">
        <v>0</v>
      </c>
      <c r="Y88" s="24">
        <v>211086097.12999994</v>
      </c>
      <c r="Z88" s="24">
        <v>57934823.91</v>
      </c>
      <c r="AA88" s="24">
        <v>24565434.6</v>
      </c>
      <c r="AB88" s="24">
        <v>131051642.97000001</v>
      </c>
      <c r="AC88" s="24">
        <v>21046926.739999995</v>
      </c>
      <c r="AD88" s="24">
        <v>284135.19</v>
      </c>
      <c r="AE88" s="24">
        <v>10656845.149999997</v>
      </c>
      <c r="AF88" s="24">
        <v>0</v>
      </c>
      <c r="AG88" s="24">
        <v>213511691.14</v>
      </c>
      <c r="AH88" s="24">
        <v>0</v>
      </c>
      <c r="AI88" s="24">
        <v>0</v>
      </c>
      <c r="AJ88" s="24">
        <v>290028861.33</v>
      </c>
      <c r="AK88" s="24">
        <v>3634195.8</v>
      </c>
      <c r="AL88" s="24">
        <v>2274112.3099999996</v>
      </c>
      <c r="AM88" s="24">
        <v>0</v>
      </c>
      <c r="AN88" s="24">
        <v>0</v>
      </c>
      <c r="AO88" s="24">
        <v>0</v>
      </c>
      <c r="AP88" s="24">
        <v>434749631.43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2043274238.6800003</v>
      </c>
    </row>
    <row r="89">
      <c r="A89" s="26" t="s">
        <v>289</v>
      </c>
      <c r="B89" s="20"/>
      <c r="C89" s="32">
        <f>C87+C88</f>
        <v>102912982.20000002</v>
      </c>
      <c r="D89" s="32">
        <f ref="D89:AV89" t="shared" si="15">D87+D88</f>
        <v>0</v>
      </c>
      <c r="E89" s="32">
        <f t="shared" si="15"/>
        <v>263689700.59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92286782.390000016</v>
      </c>
      <c r="P89" s="32">
        <f t="shared" si="15"/>
        <v>779136793.16000009</v>
      </c>
      <c r="Q89" s="32">
        <f t="shared" si="15"/>
        <v>67718060.64</v>
      </c>
      <c r="R89" s="32">
        <f t="shared" si="15"/>
        <v>58392704.06</v>
      </c>
      <c r="S89" s="32">
        <f t="shared" si="15"/>
        <v>0</v>
      </c>
      <c r="T89" s="32">
        <f t="shared" si="15"/>
        <v>0</v>
      </c>
      <c r="U89" s="32">
        <f t="shared" si="15"/>
        <v>124257889.79</v>
      </c>
      <c r="V89" s="32">
        <f t="shared" si="15"/>
        <v>36479092.9</v>
      </c>
      <c r="W89" s="32">
        <f t="shared" si="15"/>
        <v>31055970.900000002</v>
      </c>
      <c r="X89" s="32">
        <f t="shared" si="15"/>
        <v>0</v>
      </c>
      <c r="Y89" s="32">
        <f t="shared" si="15"/>
        <v>303451946.80999988</v>
      </c>
      <c r="Z89" s="32">
        <f t="shared" si="15"/>
        <v>60344963.599999994</v>
      </c>
      <c r="AA89" s="32">
        <f t="shared" si="15"/>
        <v>29891865.41</v>
      </c>
      <c r="AB89" s="32">
        <f t="shared" si="15"/>
        <v>318731735.61</v>
      </c>
      <c r="AC89" s="32">
        <f t="shared" si="15"/>
        <v>79491886.14</v>
      </c>
      <c r="AD89" s="32">
        <f t="shared" si="15"/>
        <v>5223883.8500000006</v>
      </c>
      <c r="AE89" s="32">
        <f t="shared" si="15"/>
        <v>16994964.169999994</v>
      </c>
      <c r="AF89" s="32">
        <f t="shared" si="15"/>
        <v>0</v>
      </c>
      <c r="AG89" s="32">
        <f t="shared" si="15"/>
        <v>277491607.96999997</v>
      </c>
      <c r="AH89" s="32">
        <f t="shared" si="15"/>
        <v>0</v>
      </c>
      <c r="AI89" s="32">
        <f t="shared" si="15"/>
        <v>0</v>
      </c>
      <c r="AJ89" s="32">
        <f t="shared" si="15"/>
        <v>291315022.96999997</v>
      </c>
      <c r="AK89" s="32">
        <f t="shared" si="15"/>
        <v>8205822.5</v>
      </c>
      <c r="AL89" s="32">
        <f t="shared" si="15"/>
        <v>4319109.22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436346518.84000003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3387739303.72</v>
      </c>
    </row>
    <row r="90">
      <c r="A90" s="39" t="s">
        <v>290</v>
      </c>
      <c r="B90" s="32"/>
      <c r="C90" s="24">
        <v>41400</v>
      </c>
      <c r="D90" s="24">
        <v>0</v>
      </c>
      <c r="E90" s="24">
        <v>74943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16352</v>
      </c>
      <c r="P90" s="24">
        <v>52648</v>
      </c>
      <c r="Q90" s="24">
        <v>0</v>
      </c>
      <c r="R90" s="24">
        <v>0</v>
      </c>
      <c r="S90" s="24">
        <v>16747</v>
      </c>
      <c r="T90" s="24">
        <v>0</v>
      </c>
      <c r="U90" s="24">
        <v>9388</v>
      </c>
      <c r="V90" s="24">
        <v>0</v>
      </c>
      <c r="W90" s="24">
        <v>1920</v>
      </c>
      <c r="X90" s="24">
        <v>0</v>
      </c>
      <c r="Y90" s="24">
        <v>26723</v>
      </c>
      <c r="Z90" s="24">
        <v>15700</v>
      </c>
      <c r="AA90" s="24">
        <v>0</v>
      </c>
      <c r="AB90" s="24">
        <v>6182</v>
      </c>
      <c r="AC90" s="24">
        <v>4586</v>
      </c>
      <c r="AD90" s="24">
        <v>0</v>
      </c>
      <c r="AE90" s="24">
        <v>9720</v>
      </c>
      <c r="AF90" s="24">
        <v>0</v>
      </c>
      <c r="AG90" s="24">
        <v>60759</v>
      </c>
      <c r="AH90" s="24">
        <v>0</v>
      </c>
      <c r="AI90" s="24">
        <v>0</v>
      </c>
      <c r="AJ90" s="24">
        <v>47083.541168638265</v>
      </c>
      <c r="AK90" s="24">
        <v>4680</v>
      </c>
      <c r="AL90" s="24">
        <v>1540</v>
      </c>
      <c r="AM90" s="24">
        <v>0</v>
      </c>
      <c r="AN90" s="24">
        <v>0</v>
      </c>
      <c r="AO90" s="24">
        <v>0</v>
      </c>
      <c r="AP90" s="24">
        <v>80386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493</v>
      </c>
      <c r="AW90" s="24"/>
      <c r="AX90" s="24"/>
      <c r="AY90" s="24">
        <v>17311</v>
      </c>
      <c r="AZ90" s="24">
        <v>0</v>
      </c>
      <c r="BA90" s="24">
        <v>0</v>
      </c>
      <c r="BB90" s="24">
        <v>0</v>
      </c>
      <c r="BC90" s="24">
        <v>0</v>
      </c>
      <c r="BD90" s="24">
        <v>101737.00000000002</v>
      </c>
      <c r="BE90" s="24">
        <v>1108</v>
      </c>
      <c r="BF90" s="24">
        <v>4860</v>
      </c>
      <c r="BG90" s="24">
        <v>0</v>
      </c>
      <c r="BH90" s="24">
        <v>0</v>
      </c>
      <c r="BI90" s="24">
        <v>0</v>
      </c>
      <c r="BJ90" s="24"/>
      <c r="BK90" s="24"/>
      <c r="BL90" s="24"/>
      <c r="BM90" s="24"/>
      <c r="BN90" s="24">
        <v>22618</v>
      </c>
      <c r="BO90" s="24">
        <v>0</v>
      </c>
      <c r="BP90" s="24">
        <v>0</v>
      </c>
      <c r="BQ90" s="24">
        <v>0</v>
      </c>
      <c r="BR90" s="24">
        <v>0</v>
      </c>
      <c r="BS90" s="24">
        <v>3645</v>
      </c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64" t="s">
        <v>248</v>
      </c>
      <c r="CE90" s="32">
        <f t="shared" si="14"/>
        <v>622529.54116863827</v>
      </c>
      <c r="CF90" s="32">
        <f>BE59-CE90</f>
        <v>0</v>
      </c>
    </row>
    <row r="91">
      <c r="A91" s="26" t="s">
        <v>291</v>
      </c>
      <c r="B91" s="20"/>
      <c r="C91" s="24">
        <v>34655</v>
      </c>
      <c r="D91" s="24">
        <v>0</v>
      </c>
      <c r="E91" s="24">
        <v>165009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29021</v>
      </c>
      <c r="P91" s="24">
        <v>475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21969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5307</v>
      </c>
      <c r="AW91" s="24"/>
      <c r="AX91" s="321" t="s">
        <v>248</v>
      </c>
      <c r="AY91" s="321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248</v>
      </c>
      <c r="CD91" s="29" t="s">
        <v>248</v>
      </c>
      <c r="CE91" s="32">
        <f t="shared" si="14"/>
        <v>256436</v>
      </c>
      <c r="CF91" s="32">
        <f>AY59-CE91</f>
        <v>0</v>
      </c>
    </row>
    <row r="92">
      <c r="A92" s="26" t="s">
        <v>292</v>
      </c>
      <c r="B92" s="20"/>
      <c r="C92" s="24">
        <v>11491.355687549227</v>
      </c>
      <c r="D92" s="24">
        <v>0</v>
      </c>
      <c r="E92" s="24">
        <v>20801.851915265743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4538.8079276039844</v>
      </c>
      <c r="P92" s="24">
        <v>14613.451551644728</v>
      </c>
      <c r="Q92" s="24">
        <v>0</v>
      </c>
      <c r="R92" s="24">
        <v>0</v>
      </c>
      <c r="S92" s="24">
        <v>4648.4476738982348</v>
      </c>
      <c r="T92" s="24">
        <v>0</v>
      </c>
      <c r="U92" s="24">
        <v>2605.8175650896651</v>
      </c>
      <c r="V92" s="24">
        <v>0</v>
      </c>
      <c r="W92" s="24">
        <v>532.93243768344246</v>
      </c>
      <c r="X92" s="24">
        <v>0</v>
      </c>
      <c r="Y92" s="24">
        <v>7417.4757980284539</v>
      </c>
      <c r="Z92" s="24">
        <v>4357.8329539739816</v>
      </c>
      <c r="AA92" s="24">
        <v>0</v>
      </c>
      <c r="AB92" s="24">
        <v>1715.9314217495005</v>
      </c>
      <c r="AC92" s="24">
        <v>1272.931332925139</v>
      </c>
      <c r="AD92" s="24">
        <v>0</v>
      </c>
      <c r="AE92" s="24">
        <v>2697.9704657724269</v>
      </c>
      <c r="AF92" s="24">
        <v>0</v>
      </c>
      <c r="AG92" s="24">
        <v>16864.81353187931</v>
      </c>
      <c r="AH92" s="24">
        <v>0</v>
      </c>
      <c r="AI92" s="24">
        <v>0</v>
      </c>
      <c r="AJ92" s="24">
        <v>13068.930400922453</v>
      </c>
      <c r="AK92" s="24">
        <v>1299.0228168533909</v>
      </c>
      <c r="AL92" s="24">
        <v>427.45622605859444</v>
      </c>
      <c r="AM92" s="24">
        <v>0</v>
      </c>
      <c r="AN92" s="24">
        <v>0</v>
      </c>
      <c r="AO92" s="24">
        <v>0</v>
      </c>
      <c r="AP92" s="24">
        <v>22312.659862302709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136.84150613434227</v>
      </c>
      <c r="AW92" s="24"/>
      <c r="AX92" s="321" t="s">
        <v>248</v>
      </c>
      <c r="AY92" s="321" t="s">
        <v>248</v>
      </c>
      <c r="AZ92" s="29" t="s">
        <v>248</v>
      </c>
      <c r="BA92" s="24"/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/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1011.7389246646602</v>
      </c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248</v>
      </c>
      <c r="CD92" s="29" t="s">
        <v>248</v>
      </c>
      <c r="CE92" s="32">
        <f t="shared" si="14"/>
        <v>131816.27</v>
      </c>
      <c r="CF92" s="20"/>
    </row>
    <row r="93">
      <c r="A93" s="26" t="s">
        <v>293</v>
      </c>
      <c r="B93" s="20"/>
      <c r="C93" s="24">
        <v>275082.18</v>
      </c>
      <c r="D93" s="24">
        <v>0</v>
      </c>
      <c r="E93" s="24">
        <v>484518.92414455267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190187.16999999998</v>
      </c>
      <c r="P93" s="24">
        <v>534140.19468060124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181106.94999999998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2079.65</v>
      </c>
      <c r="AF93" s="24">
        <v>0</v>
      </c>
      <c r="AG93" s="24">
        <v>559204.88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63771.68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>
        <v>2069.08</v>
      </c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248</v>
      </c>
      <c r="CD93" s="29" t="s">
        <v>248</v>
      </c>
      <c r="CE93" s="32">
        <f t="shared" si="14"/>
        <v>2292160.7088251542</v>
      </c>
      <c r="CF93" s="32">
        <f>BA59</f>
        <v>0</v>
      </c>
    </row>
    <row r="94">
      <c r="A94" s="26" t="s">
        <v>294</v>
      </c>
      <c r="B94" s="20"/>
      <c r="C94" s="315">
        <v>117.96052403846154</v>
      </c>
      <c r="D94" s="315">
        <v>0</v>
      </c>
      <c r="E94" s="315">
        <v>301.40724038461548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68.367586538461538</v>
      </c>
      <c r="P94" s="316">
        <v>78.239721153846162</v>
      </c>
      <c r="Q94" s="316">
        <v>49.20056249999999</v>
      </c>
      <c r="R94" s="316">
        <v>1.2616971153846155</v>
      </c>
      <c r="S94" s="317">
        <v>0</v>
      </c>
      <c r="T94" s="317">
        <v>0</v>
      </c>
      <c r="U94" s="318">
        <v>0</v>
      </c>
      <c r="V94" s="316">
        <v>0</v>
      </c>
      <c r="W94" s="316">
        <v>0</v>
      </c>
      <c r="X94" s="316">
        <v>0</v>
      </c>
      <c r="Y94" s="316">
        <v>3.4130961538461535</v>
      </c>
      <c r="Z94" s="316">
        <v>2.7187259615384614</v>
      </c>
      <c r="AA94" s="316">
        <v>0.017548076923076923</v>
      </c>
      <c r="AB94" s="317">
        <v>0.0039663461538461536</v>
      </c>
      <c r="AC94" s="316">
        <v>1.7402644230769231</v>
      </c>
      <c r="AD94" s="316">
        <v>0</v>
      </c>
      <c r="AE94" s="316">
        <v>0</v>
      </c>
      <c r="AF94" s="316">
        <v>0</v>
      </c>
      <c r="AG94" s="316">
        <v>68.74650961538461</v>
      </c>
      <c r="AH94" s="316">
        <v>0</v>
      </c>
      <c r="AI94" s="316">
        <v>0</v>
      </c>
      <c r="AJ94" s="316">
        <v>67.4109951923077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34.067826923076929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6.1413509615384614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800.69761538461569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98383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216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12590</v>
      </c>
      <c r="D127" s="50">
        <v>73795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1925</v>
      </c>
      <c r="D130" s="50">
        <v>2978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24</v>
      </c>
      <c r="D132" s="20"/>
      <c r="E132" s="20"/>
    </row>
    <row r="133">
      <c r="A133" s="20" t="s">
        <v>344</v>
      </c>
      <c r="B133" s="46" t="s">
        <v>299</v>
      </c>
      <c r="C133" s="47">
        <v>24</v>
      </c>
      <c r="D133" s="20"/>
      <c r="E133" s="20"/>
    </row>
    <row r="134">
      <c r="A134" s="20" t="s">
        <v>345</v>
      </c>
      <c r="B134" s="46" t="s">
        <v>299</v>
      </c>
      <c r="C134" s="47">
        <v>156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34</v>
      </c>
      <c r="D136" s="20"/>
      <c r="E136" s="20"/>
    </row>
    <row r="137">
      <c r="A137" s="20" t="s">
        <v>348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10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248</v>
      </c>
    </row>
    <row r="144">
      <c r="A144" s="20" t="s">
        <v>353</v>
      </c>
      <c r="B144" s="46" t="s">
        <v>299</v>
      </c>
      <c r="C144" s="47">
        <v>336</v>
      </c>
      <c r="D144" s="20"/>
      <c r="E144" s="20"/>
    </row>
    <row r="145">
      <c r="A145" s="20" t="s">
        <v>354</v>
      </c>
      <c r="B145" s="46" t="s">
        <v>299</v>
      </c>
      <c r="C145" s="47">
        <v>22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6473</v>
      </c>
      <c r="C154" s="50">
        <v>2271</v>
      </c>
      <c r="D154" s="50">
        <v>3846</v>
      </c>
      <c r="E154" s="32">
        <f>SUM(B154:D154)</f>
        <v>12590</v>
      </c>
    </row>
    <row r="155">
      <c r="A155" s="20" t="s">
        <v>242</v>
      </c>
      <c r="B155" s="50">
        <v>45257</v>
      </c>
      <c r="C155" s="50">
        <v>12346</v>
      </c>
      <c r="D155" s="50">
        <v>16192</v>
      </c>
      <c r="E155" s="32">
        <f>SUM(B155:D155)</f>
        <v>73795</v>
      </c>
    </row>
    <row r="156">
      <c r="A156" s="20" t="s">
        <v>360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813455505.57</v>
      </c>
      <c r="C157" s="50">
        <v>206416479.38</v>
      </c>
      <c r="D157" s="50">
        <v>324593080.08999979</v>
      </c>
      <c r="E157" s="32">
        <f>SUM(B157:D157)</f>
        <v>1344465065.04</v>
      </c>
      <c r="F157" s="18"/>
    </row>
    <row r="158">
      <c r="A158" s="20" t="s">
        <v>288</v>
      </c>
      <c r="B158" s="50">
        <v>992592733.15</v>
      </c>
      <c r="C158" s="50">
        <v>291255419.13</v>
      </c>
      <c r="D158" s="50">
        <v>759426086.40000021</v>
      </c>
      <c r="E158" s="32">
        <f>SUM(B158:D158)</f>
        <v>2043274238.6800003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14405484.28</v>
      </c>
      <c r="D181" s="20"/>
      <c r="E181" s="20"/>
    </row>
    <row r="182">
      <c r="A182" s="20" t="s">
        <v>370</v>
      </c>
      <c r="B182" s="46" t="s">
        <v>299</v>
      </c>
      <c r="C182" s="47">
        <v>-11948.699299592037</v>
      </c>
      <c r="D182" s="20"/>
      <c r="E182" s="20"/>
    </row>
    <row r="183">
      <c r="A183" s="25" t="s">
        <v>371</v>
      </c>
      <c r="B183" s="46" t="s">
        <v>299</v>
      </c>
      <c r="C183" s="47">
        <v>1706352.63777623</v>
      </c>
      <c r="D183" s="20"/>
      <c r="E183" s="20"/>
    </row>
    <row r="184">
      <c r="A184" s="20" t="s">
        <v>372</v>
      </c>
      <c r="B184" s="46" t="s">
        <v>299</v>
      </c>
      <c r="C184" s="47">
        <v>15860730.690389706</v>
      </c>
      <c r="D184" s="20"/>
      <c r="E184" s="20"/>
    </row>
    <row r="185">
      <c r="A185" s="20" t="s">
        <v>373</v>
      </c>
      <c r="B185" s="46" t="s">
        <v>299</v>
      </c>
      <c r="C185" s="47">
        <v>305873.18941203516</v>
      </c>
      <c r="D185" s="20"/>
      <c r="E185" s="20"/>
    </row>
    <row r="186">
      <c r="A186" s="20" t="s">
        <v>374</v>
      </c>
      <c r="B186" s="46" t="s">
        <v>299</v>
      </c>
      <c r="C186" s="47">
        <v>15288257.895424742</v>
      </c>
      <c r="D186" s="20"/>
      <c r="E186" s="20"/>
    </row>
    <row r="187">
      <c r="A187" s="20" t="s">
        <v>375</v>
      </c>
      <c r="B187" s="46" t="s">
        <v>299</v>
      </c>
      <c r="C187" s="47"/>
      <c r="D187" s="20"/>
      <c r="E187" s="20"/>
    </row>
    <row r="188">
      <c r="A188" s="20" t="s">
        <v>375</v>
      </c>
      <c r="B188" s="46" t="s">
        <v>299</v>
      </c>
      <c r="C188" s="47">
        <v>843935.14629688114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48398685.14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13368091.04</v>
      </c>
      <c r="D191" s="20"/>
      <c r="E191" s="20"/>
    </row>
    <row r="192">
      <c r="A192" s="20" t="s">
        <v>378</v>
      </c>
      <c r="B192" s="46" t="s">
        <v>299</v>
      </c>
      <c r="C192" s="47">
        <v>2945779.4500000011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16313870.49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5331335.87</v>
      </c>
      <c r="D195" s="20"/>
      <c r="E195" s="20"/>
    </row>
    <row r="196">
      <c r="A196" s="20" t="s">
        <v>381</v>
      </c>
      <c r="B196" s="46" t="s">
        <v>299</v>
      </c>
      <c r="C196" s="47">
        <v>-2573478.97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2757856.9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293656.69</v>
      </c>
      <c r="D199" s="20"/>
      <c r="E199" s="20"/>
    </row>
    <row r="200">
      <c r="A200" s="20" t="s">
        <v>384</v>
      </c>
      <c r="B200" s="46" t="s">
        <v>299</v>
      </c>
      <c r="C200" s="47">
        <v>16097416.69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16391073.379999999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/>
      <c r="D204" s="20"/>
      <c r="E204" s="20"/>
    </row>
    <row r="205">
      <c r="A205" s="20" t="s">
        <v>387</v>
      </c>
      <c r="B205" s="46" t="s">
        <v>299</v>
      </c>
      <c r="C205" s="47">
        <v>3765093.81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3765093.81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6695719.13</v>
      </c>
      <c r="C211" s="47">
        <v>27089798.73</v>
      </c>
      <c r="D211" s="50">
        <v>0</v>
      </c>
      <c r="E211" s="32">
        <f ref="E211:E219" t="shared" si="16">SUM(B211:C211)-D211</f>
        <v>33785517.86</v>
      </c>
    </row>
    <row r="212">
      <c r="A212" s="20" t="s">
        <v>395</v>
      </c>
      <c r="B212" s="50">
        <v>2153149</v>
      </c>
      <c r="C212" s="47">
        <v>0</v>
      </c>
      <c r="D212" s="50">
        <v>0</v>
      </c>
      <c r="E212" s="32">
        <f t="shared" si="16"/>
        <v>2153149</v>
      </c>
    </row>
    <row r="213">
      <c r="A213" s="20" t="s">
        <v>396</v>
      </c>
      <c r="B213" s="50">
        <v>99727204.21</v>
      </c>
      <c r="C213" s="47">
        <v>488620660.7</v>
      </c>
      <c r="D213" s="50">
        <v>0</v>
      </c>
      <c r="E213" s="32">
        <f t="shared" si="16"/>
        <v>588347864.91</v>
      </c>
    </row>
    <row r="214">
      <c r="A214" s="20" t="s">
        <v>397</v>
      </c>
      <c r="B214" s="50">
        <v>8861910.75</v>
      </c>
      <c r="C214" s="47">
        <v>-49344.140000000014</v>
      </c>
      <c r="D214" s="50">
        <v>0</v>
      </c>
      <c r="E214" s="32">
        <f t="shared" si="16"/>
        <v>8812566.61</v>
      </c>
    </row>
    <row r="215">
      <c r="A215" s="20" t="s">
        <v>398</v>
      </c>
      <c r="B215" s="50">
        <v>4769440.91</v>
      </c>
      <c r="C215" s="47">
        <v>3478372.09</v>
      </c>
      <c r="D215" s="50">
        <v>0</v>
      </c>
      <c r="E215" s="32">
        <f t="shared" si="16"/>
        <v>8247813</v>
      </c>
    </row>
    <row r="216">
      <c r="A216" s="20" t="s">
        <v>399</v>
      </c>
      <c r="B216" s="50">
        <v>149076690.34999996</v>
      </c>
      <c r="C216" s="47">
        <v>87514811.77</v>
      </c>
      <c r="D216" s="50">
        <v>2580410.06</v>
      </c>
      <c r="E216" s="32">
        <f t="shared" si="16"/>
        <v>234011092.05999994</v>
      </c>
    </row>
    <row r="217">
      <c r="A217" s="20" t="s">
        <v>400</v>
      </c>
      <c r="B217" s="50"/>
      <c r="C217" s="47"/>
      <c r="D217" s="50"/>
      <c r="E217" s="32">
        <f t="shared" si="16"/>
        <v>0</v>
      </c>
    </row>
    <row r="218">
      <c r="A218" s="20" t="s">
        <v>401</v>
      </c>
      <c r="B218" s="50">
        <v>34205827.95</v>
      </c>
      <c r="C218" s="47">
        <v>-953687.12000000046</v>
      </c>
      <c r="D218" s="50">
        <v>3901.73</v>
      </c>
      <c r="E218" s="32">
        <f t="shared" si="16"/>
        <v>33248239.1</v>
      </c>
    </row>
    <row r="219">
      <c r="A219" s="20" t="s">
        <v>402</v>
      </c>
      <c r="B219" s="50">
        <v>605271626.58</v>
      </c>
      <c r="C219" s="47">
        <v>-602887878.4000001</v>
      </c>
      <c r="D219" s="50">
        <v>0</v>
      </c>
      <c r="E219" s="32">
        <f t="shared" si="16"/>
        <v>2383748.1799999475</v>
      </c>
    </row>
    <row r="220">
      <c r="A220" s="20" t="s">
        <v>230</v>
      </c>
      <c r="B220" s="32">
        <f>SUM(B211:B219)</f>
        <v>910761568.88</v>
      </c>
      <c r="C220" s="266">
        <f>SUM(C211:C219)</f>
        <v>2812733.629999876</v>
      </c>
      <c r="D220" s="32">
        <f>SUM(D211:D219)</f>
        <v>2584311.79</v>
      </c>
      <c r="E220" s="32">
        <f>SUM(E211:E219)</f>
        <v>910989990.71999991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1197155.3900000001</v>
      </c>
      <c r="C225" s="47">
        <v>30117.120000000003</v>
      </c>
      <c r="D225" s="50">
        <v>0</v>
      </c>
      <c r="E225" s="32">
        <f ref="E225:E232" t="shared" si="17">SUM(B225:C225)-D225</f>
        <v>1227272.5100000002</v>
      </c>
    </row>
    <row r="226">
      <c r="A226" s="20" t="s">
        <v>396</v>
      </c>
      <c r="B226" s="50">
        <v>77633661.62</v>
      </c>
      <c r="C226" s="47">
        <v>9716669.290000001</v>
      </c>
      <c r="D226" s="50">
        <v>0</v>
      </c>
      <c r="E226" s="32">
        <f t="shared" si="17"/>
        <v>87350330.910000011</v>
      </c>
    </row>
    <row r="227">
      <c r="A227" s="20" t="s">
        <v>397</v>
      </c>
      <c r="B227" s="50">
        <v>7674327.15</v>
      </c>
      <c r="C227" s="47">
        <v>-763813.67999999993</v>
      </c>
      <c r="D227" s="50">
        <v>15846.830000000016</v>
      </c>
      <c r="E227" s="32">
        <f t="shared" si="17"/>
        <v>6894666.6400000006</v>
      </c>
    </row>
    <row r="228">
      <c r="A228" s="20" t="s">
        <v>398</v>
      </c>
      <c r="B228" s="50">
        <v>4244574.6000000006</v>
      </c>
      <c r="C228" s="47">
        <v>420567.73000000004</v>
      </c>
      <c r="D228" s="50">
        <v>23111.5</v>
      </c>
      <c r="E228" s="32">
        <f t="shared" si="17"/>
        <v>4642030.830000001</v>
      </c>
    </row>
    <row r="229">
      <c r="A229" s="20" t="s">
        <v>399</v>
      </c>
      <c r="B229" s="50">
        <v>155858683.92</v>
      </c>
      <c r="C229" s="47">
        <v>3843486.8899999894</v>
      </c>
      <c r="D229" s="50">
        <v>12000880.019999985</v>
      </c>
      <c r="E229" s="32">
        <f t="shared" si="17"/>
        <v>147701290.79</v>
      </c>
    </row>
    <row r="230">
      <c r="A230" s="20" t="s">
        <v>400</v>
      </c>
      <c r="B230" s="50"/>
      <c r="C230" s="47"/>
      <c r="D230" s="50"/>
      <c r="E230" s="32">
        <f t="shared" si="17"/>
        <v>0</v>
      </c>
    </row>
    <row r="231">
      <c r="A231" s="20" t="s">
        <v>401</v>
      </c>
      <c r="B231" s="50">
        <v>22640553.71</v>
      </c>
      <c r="C231" s="47">
        <v>1907698.78</v>
      </c>
      <c r="D231" s="50">
        <v>647995.7200000002</v>
      </c>
      <c r="E231" s="32">
        <f t="shared" si="17"/>
        <v>23900256.770000003</v>
      </c>
    </row>
    <row r="232">
      <c r="A232" s="20" t="s">
        <v>402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269248956.39</v>
      </c>
      <c r="C233" s="266">
        <f>SUM(C224:C232)</f>
        <v>15154726.12999999</v>
      </c>
      <c r="D233" s="32">
        <f>SUM(D224:D232)</f>
        <v>12687834.069999985</v>
      </c>
      <c r="E233" s="32">
        <f>SUM(E224:E232)</f>
        <v>271715848.45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14316457.84</v>
      </c>
      <c r="D237" s="40">
        <f>C237</f>
        <v>14316457.84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1514056536.92</v>
      </c>
      <c r="D239" s="20"/>
      <c r="E239" s="20"/>
    </row>
    <row r="240">
      <c r="A240" s="20" t="s">
        <v>408</v>
      </c>
      <c r="B240" s="46" t="s">
        <v>299</v>
      </c>
      <c r="C240" s="47">
        <v>428728521.17999995</v>
      </c>
      <c r="D240" s="20"/>
      <c r="E240" s="20"/>
    </row>
    <row r="241">
      <c r="A241" s="20" t="s">
        <v>409</v>
      </c>
      <c r="B241" s="46" t="s">
        <v>299</v>
      </c>
      <c r="C241" s="47"/>
      <c r="D241" s="20"/>
      <c r="E241" s="20"/>
    </row>
    <row r="242">
      <c r="A242" s="20" t="s">
        <v>410</v>
      </c>
      <c r="B242" s="46" t="s">
        <v>299</v>
      </c>
      <c r="C242" s="47">
        <v>232867137.81000003</v>
      </c>
      <c r="D242" s="20"/>
      <c r="E242" s="20"/>
    </row>
    <row r="243">
      <c r="A243" s="20" t="s">
        <v>411</v>
      </c>
      <c r="B243" s="46" t="s">
        <v>299</v>
      </c>
      <c r="C243" s="47">
        <v>376184262.01</v>
      </c>
      <c r="D243" s="20"/>
      <c r="E243" s="20"/>
    </row>
    <row r="244">
      <c r="A244" s="20" t="s">
        <v>412</v>
      </c>
      <c r="B244" s="46" t="s">
        <v>299</v>
      </c>
      <c r="C244" s="47">
        <v>31778503.43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2583614961.35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10682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4534159.11</v>
      </c>
      <c r="D249" s="20"/>
      <c r="E249" s="20"/>
    </row>
    <row r="250">
      <c r="A250" s="26" t="s">
        <v>417</v>
      </c>
      <c r="B250" s="46" t="s">
        <v>299</v>
      </c>
      <c r="C250" s="47">
        <v>10130408.08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14664567.190000001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16369391.540000001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16369391.540000001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2628965377.92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17405430.2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439828133.9</v>
      </c>
      <c r="D268" s="20"/>
      <c r="E268" s="20"/>
    </row>
    <row r="269">
      <c r="A269" s="20" t="s">
        <v>428</v>
      </c>
      <c r="B269" s="46" t="s">
        <v>299</v>
      </c>
      <c r="C269" s="47">
        <v>349725240.43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5285544.1400000006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15548021.81</v>
      </c>
      <c r="D273" s="20"/>
      <c r="E273" s="20"/>
    </row>
    <row r="274">
      <c r="A274" s="20" t="s">
        <v>433</v>
      </c>
      <c r="B274" s="46" t="s">
        <v>299</v>
      </c>
      <c r="C274" s="47">
        <v>1294391.85</v>
      </c>
      <c r="D274" s="20"/>
      <c r="E274" s="20"/>
    </row>
    <row r="275">
      <c r="A275" s="20" t="s">
        <v>434</v>
      </c>
      <c r="B275" s="46" t="s">
        <v>299</v>
      </c>
      <c r="C275" s="47"/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129636281.46999997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/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216">
        <v>33785517.86</v>
      </c>
      <c r="D283" s="20"/>
      <c r="E283" s="20"/>
    </row>
    <row r="284">
      <c r="A284" s="20" t="s">
        <v>395</v>
      </c>
      <c r="B284" s="46" t="s">
        <v>299</v>
      </c>
      <c r="C284" s="216">
        <v>2153149</v>
      </c>
      <c r="D284" s="20"/>
      <c r="E284" s="20"/>
    </row>
    <row r="285">
      <c r="A285" s="20" t="s">
        <v>396</v>
      </c>
      <c r="B285" s="46" t="s">
        <v>299</v>
      </c>
      <c r="C285" s="216">
        <v>588347864.91</v>
      </c>
      <c r="D285" s="20"/>
      <c r="E285" s="20"/>
    </row>
    <row r="286">
      <c r="A286" s="20" t="s">
        <v>440</v>
      </c>
      <c r="B286" s="46" t="s">
        <v>299</v>
      </c>
      <c r="C286" s="216">
        <v>8812566.61</v>
      </c>
      <c r="D286" s="20"/>
      <c r="E286" s="20"/>
    </row>
    <row r="287">
      <c r="A287" s="20" t="s">
        <v>441</v>
      </c>
      <c r="B287" s="46" t="s">
        <v>299</v>
      </c>
      <c r="C287" s="216">
        <v>8247813</v>
      </c>
      <c r="D287" s="20"/>
      <c r="E287" s="20"/>
    </row>
    <row r="288">
      <c r="A288" s="20" t="s">
        <v>442</v>
      </c>
      <c r="B288" s="46" t="s">
        <v>299</v>
      </c>
      <c r="C288" s="216">
        <v>234011092.06</v>
      </c>
      <c r="D288" s="20"/>
      <c r="E288" s="20"/>
    </row>
    <row r="289">
      <c r="A289" s="20" t="s">
        <v>401</v>
      </c>
      <c r="B289" s="46" t="s">
        <v>299</v>
      </c>
      <c r="C289" s="216">
        <v>33248239.1</v>
      </c>
      <c r="D289" s="20"/>
      <c r="E289" s="20"/>
    </row>
    <row r="290">
      <c r="A290" s="20" t="s">
        <v>402</v>
      </c>
      <c r="B290" s="46" t="s">
        <v>299</v>
      </c>
      <c r="C290" s="216">
        <v>2383748.18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910989990.72</v>
      </c>
      <c r="E291" s="20"/>
    </row>
    <row r="292">
      <c r="A292" s="20" t="s">
        <v>444</v>
      </c>
      <c r="B292" s="46" t="s">
        <v>299</v>
      </c>
      <c r="C292" s="216">
        <v>271715848.81</v>
      </c>
      <c r="D292" s="20"/>
      <c r="E292" s="20"/>
    </row>
    <row r="293">
      <c r="A293" s="20" t="s">
        <v>445</v>
      </c>
      <c r="B293" s="20"/>
      <c r="C293" s="27"/>
      <c r="D293" s="32">
        <f>D291-C292</f>
        <v>639274141.91000009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216"/>
      <c r="D295" s="20"/>
      <c r="E295" s="20"/>
    </row>
    <row r="296">
      <c r="A296" s="20" t="s">
        <v>448</v>
      </c>
      <c r="B296" s="46" t="s">
        <v>299</v>
      </c>
      <c r="C296" s="216"/>
      <c r="D296" s="20"/>
      <c r="E296" s="20"/>
    </row>
    <row r="297">
      <c r="A297" s="20" t="s">
        <v>449</v>
      </c>
      <c r="B297" s="46" t="s">
        <v>299</v>
      </c>
      <c r="C297" s="216">
        <v>236833949.52</v>
      </c>
      <c r="D297" s="20"/>
      <c r="E297" s="20"/>
    </row>
    <row r="298">
      <c r="A298" s="20" t="s">
        <v>437</v>
      </c>
      <c r="B298" s="46" t="s">
        <v>299</v>
      </c>
      <c r="C298" s="216">
        <v>65565287.28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302399236.8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8135462.83</v>
      </c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22211430.85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30346893.68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1101656553.8600001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3336877.47</v>
      </c>
      <c r="D315" s="20"/>
      <c r="E315" s="20"/>
    </row>
    <row r="316">
      <c r="A316" s="20" t="s">
        <v>462</v>
      </c>
      <c r="B316" s="46" t="s">
        <v>299</v>
      </c>
      <c r="C316" s="47">
        <v>29132568.269999996</v>
      </c>
      <c r="D316" s="20"/>
      <c r="E316" s="20"/>
    </row>
    <row r="317">
      <c r="A317" s="20" t="s">
        <v>463</v>
      </c>
      <c r="B317" s="46" t="s">
        <v>299</v>
      </c>
      <c r="C317" s="47">
        <v>4664399.1300000027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20342455.61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/>
      <c r="D322" s="20"/>
      <c r="E322" s="20"/>
    </row>
    <row r="323">
      <c r="A323" s="20" t="s">
        <v>469</v>
      </c>
      <c r="B323" s="46" t="s">
        <v>299</v>
      </c>
      <c r="C323" s="47">
        <v>5616439.92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63092740.4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>
        <v>65988190.97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65988190.97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>
        <v>1662826.8399999999</v>
      </c>
      <c r="D334" s="20"/>
      <c r="E334" s="20"/>
    </row>
    <row r="335">
      <c r="A335" s="20" t="s">
        <v>481</v>
      </c>
      <c r="B335" s="46" t="s">
        <v>299</v>
      </c>
      <c r="C335" s="47"/>
      <c r="D335" s="20"/>
      <c r="E335" s="20"/>
    </row>
    <row r="336">
      <c r="A336" s="26" t="s">
        <v>482</v>
      </c>
      <c r="B336" s="46" t="s">
        <v>299</v>
      </c>
      <c r="C336" s="47">
        <v>68837674.55</v>
      </c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578078.97000000009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71078580.36</v>
      </c>
      <c r="E339" s="20"/>
    </row>
    <row r="340">
      <c r="A340" s="20" t="s">
        <v>485</v>
      </c>
      <c r="B340" s="20"/>
      <c r="C340" s="27"/>
      <c r="D340" s="32">
        <f>C323</f>
        <v>5616439.92</v>
      </c>
      <c r="E340" s="20"/>
    </row>
    <row r="341">
      <c r="A341" s="20" t="s">
        <v>486</v>
      </c>
      <c r="B341" s="20"/>
      <c r="C341" s="27"/>
      <c r="D341" s="32">
        <f>D339-D340</f>
        <v>65462140.44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907113481.99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1101656553.8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1101656553.8600001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1344465065.04</v>
      </c>
      <c r="D358" s="20"/>
      <c r="E358" s="20"/>
    </row>
    <row r="359">
      <c r="A359" s="20" t="s">
        <v>498</v>
      </c>
      <c r="B359" s="46" t="s">
        <v>299</v>
      </c>
      <c r="C359" s="234">
        <v>2043274238.68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3387739303.7200003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14316457.84</v>
      </c>
      <c r="D362" s="20"/>
      <c r="E362" s="45"/>
    </row>
    <row r="363">
      <c r="A363" s="20" t="s">
        <v>501</v>
      </c>
      <c r="B363" s="46" t="s">
        <v>299</v>
      </c>
      <c r="C363" s="47">
        <v>2583614961.35</v>
      </c>
      <c r="D363" s="20"/>
      <c r="E363" s="20"/>
    </row>
    <row r="364">
      <c r="A364" s="20" t="s">
        <v>502</v>
      </c>
      <c r="B364" s="46" t="s">
        <v>299</v>
      </c>
      <c r="C364" s="47">
        <v>14664567.19</v>
      </c>
      <c r="D364" s="20"/>
      <c r="E364" s="20"/>
    </row>
    <row r="365">
      <c r="A365" s="20" t="s">
        <v>503</v>
      </c>
      <c r="B365" s="46" t="s">
        <v>299</v>
      </c>
      <c r="C365" s="47">
        <v>16369391.540000001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2628965377.92</v>
      </c>
      <c r="E366" s="20"/>
    </row>
    <row r="367">
      <c r="A367" s="20" t="s">
        <v>504</v>
      </c>
      <c r="B367" s="20"/>
      <c r="C367" s="27"/>
      <c r="D367" s="32">
        <f>D360-D366</f>
        <v>758773925.80000019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14253111.020000001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14253111.020000001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14253111.020000001</v>
      </c>
      <c r="E383" s="20"/>
    </row>
    <row r="384">
      <c r="A384" s="20" t="s">
        <v>521</v>
      </c>
      <c r="B384" s="20"/>
      <c r="C384" s="27"/>
      <c r="D384" s="32">
        <f>D367+D383</f>
        <v>773027036.82000017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285200871.67</v>
      </c>
      <c r="D389" s="20"/>
      <c r="E389" s="20"/>
    </row>
    <row r="390">
      <c r="A390" s="20" t="s">
        <v>11</v>
      </c>
      <c r="B390" s="46" t="s">
        <v>299</v>
      </c>
      <c r="C390" s="47">
        <v>48398685.14</v>
      </c>
      <c r="D390" s="20"/>
      <c r="E390" s="20"/>
    </row>
    <row r="391">
      <c r="A391" s="20" t="s">
        <v>264</v>
      </c>
      <c r="B391" s="46" t="s">
        <v>299</v>
      </c>
      <c r="C391" s="47">
        <v>43404880.01</v>
      </c>
      <c r="D391" s="20"/>
      <c r="E391" s="20"/>
    </row>
    <row r="392">
      <c r="A392" s="20" t="s">
        <v>524</v>
      </c>
      <c r="B392" s="46" t="s">
        <v>299</v>
      </c>
      <c r="C392" s="47">
        <v>127179622.56</v>
      </c>
      <c r="D392" s="20"/>
      <c r="E392" s="20"/>
    </row>
    <row r="393">
      <c r="A393" s="20" t="s">
        <v>525</v>
      </c>
      <c r="B393" s="46" t="s">
        <v>299</v>
      </c>
      <c r="C393" s="47">
        <v>6311997.35</v>
      </c>
      <c r="D393" s="20"/>
      <c r="E393" s="20"/>
    </row>
    <row r="394">
      <c r="A394" s="20" t="s">
        <v>526</v>
      </c>
      <c r="B394" s="46" t="s">
        <v>299</v>
      </c>
      <c r="C394" s="47">
        <v>186576257.96</v>
      </c>
      <c r="D394" s="20"/>
      <c r="E394" s="20"/>
    </row>
    <row r="395">
      <c r="A395" s="20" t="s">
        <v>16</v>
      </c>
      <c r="B395" s="46" t="s">
        <v>299</v>
      </c>
      <c r="C395" s="47">
        <v>15154726.13</v>
      </c>
      <c r="D395" s="20"/>
      <c r="E395" s="20"/>
    </row>
    <row r="396">
      <c r="A396" s="20" t="s">
        <v>527</v>
      </c>
      <c r="B396" s="46" t="s">
        <v>299</v>
      </c>
      <c r="C396" s="47">
        <v>16313870.49</v>
      </c>
      <c r="D396" s="20"/>
      <c r="E396" s="20"/>
    </row>
    <row r="397">
      <c r="A397" s="20" t="s">
        <v>528</v>
      </c>
      <c r="B397" s="46" t="s">
        <v>299</v>
      </c>
      <c r="C397" s="47">
        <v>2757856.9</v>
      </c>
      <c r="D397" s="20"/>
      <c r="E397" s="20"/>
    </row>
    <row r="398">
      <c r="A398" s="20" t="s">
        <v>529</v>
      </c>
      <c r="B398" s="46" t="s">
        <v>299</v>
      </c>
      <c r="C398" s="47">
        <v>16391073.379999999</v>
      </c>
      <c r="D398" s="20"/>
      <c r="E398" s="20"/>
    </row>
    <row r="399">
      <c r="A399" s="20" t="s">
        <v>530</v>
      </c>
      <c r="B399" s="46" t="s">
        <v>299</v>
      </c>
      <c r="C399" s="47">
        <v>3765093.81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2982605.5299999714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2982605.5299999714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754437540.93</v>
      </c>
      <c r="E416" s="32"/>
    </row>
    <row r="417">
      <c r="A417" s="32" t="s">
        <v>535</v>
      </c>
      <c r="B417" s="20"/>
      <c r="C417" s="27"/>
      <c r="D417" s="32">
        <f>D384-D416</f>
        <v>18589495.890000224</v>
      </c>
      <c r="E417" s="32"/>
    </row>
    <row r="418">
      <c r="A418" s="32" t="s">
        <v>536</v>
      </c>
      <c r="B418" s="20"/>
      <c r="C418" s="236">
        <v>-8484082.77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-8484082.77</v>
      </c>
      <c r="E420" s="32"/>
    </row>
    <row r="421">
      <c r="A421" s="32" t="s">
        <v>539</v>
      </c>
      <c r="B421" s="20"/>
      <c r="C421" s="27"/>
      <c r="D421" s="32">
        <f>D417+D420</f>
        <v>10105413.120000225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10105413.120000225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621421.54116863827</v>
      </c>
      <c r="E612" s="258">
        <f>SUM(C624:D647)+SUM(C668:D713)</f>
        <v>642504044.83183336</v>
      </c>
      <c r="F612" s="258">
        <f>CE64-(AX64+BD64+BE64+BG64+BJ64+BN64+BP64+BQ64+CB64+CC64+CD64)</f>
        <v>126804277.07000005</v>
      </c>
      <c r="G612" s="256">
        <f>CE91-(AX91+AY91+BD91+BE91+BG91+BJ91+BN91+BP91+BQ91+CB91+CC91+CD91)</f>
        <v>256436</v>
      </c>
      <c r="H612" s="261">
        <f>CE60-(AX60+AY60+AZ60+BD60+BE60+BG60+BJ60+BN60+BO60+BP60+BQ60+BR60+CB60+CC60+CD60)</f>
        <v>2121.5994423076927</v>
      </c>
      <c r="I612" s="256">
        <f>CE92-(AX92+AY92+AZ92+BD92+BE92+BF92+BG92+BJ92+BN92+BO92+BP92+BQ92+BR92+CB92+CC92+CD92)</f>
        <v>131816.27</v>
      </c>
      <c r="J612" s="256">
        <f>CE93-(AX93+AY93+AZ93+BA93+BD93+BE93+BF93+BG93+BJ93+BN93+BO93+BP93+BQ93+BR93+CB93+CC93+CD93)</f>
        <v>2292160.7088251542</v>
      </c>
      <c r="K612" s="256">
        <f>CE89-(AW89+AX89+AY89+AZ89+BA89+BB89+BC89+BD89+BE89+BF89+BG89+BH89+BI89+BJ89+BK89+BL89+BM89+BN89+BO89+BP89+BQ89+BR89+BS89+BT89+BU89+BV89+BW89+BX89+CB89+CC89+CD89)</f>
        <v>3387739303.72</v>
      </c>
      <c r="L612" s="262">
        <f>CE94-(AW94+AX94+AY94+AZ94+BA94+BB94+BC94+BD94+BE94+BF94+BG94+BH94+BI94+BJ94+BK94+BL94+BM94+BN94+BO94+BP94+BQ94+BR94+BS94+BT94+BU94+BV94+BW94+BX94+BY94+BZ94+CA94+CB94+CC94+CD94)</f>
        <v>800.69761538461569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17275014.01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20218612.879999995</v>
      </c>
      <c r="D615" s="256">
        <f>SUM(C614:C615)</f>
        <v>37493626.89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483675.77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16692227.31</v>
      </c>
      <c r="D619" s="256">
        <f>(D615/D612)*BN90</f>
        <v>1364662.788166665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79027521.940000013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112299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97680386.808166683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-1898660.99</v>
      </c>
      <c r="D624" s="256">
        <f>(D615/D612)*BD90</f>
        <v>6138327.7955483254</v>
      </c>
      <c r="E624" s="258">
        <f>(E623/E612)*SUM(C624:D624)</f>
        <v>644559.82314025471</v>
      </c>
      <c r="F624" s="258">
        <f>SUM(C624:E624)</f>
        <v>4884226.6286885794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5119096.1499999994</v>
      </c>
      <c r="D625" s="256">
        <f>(D615/D612)*AY90</f>
        <v>1044463.59209272</v>
      </c>
      <c r="E625" s="258">
        <f>(E623/E612)*SUM(C625:D625)</f>
        <v>937050.75410138711</v>
      </c>
      <c r="F625" s="258">
        <f>(F624/F612)*AY64</f>
        <v>59220.77643477932</v>
      </c>
      <c r="G625" s="256">
        <f>SUM(C625:F625)</f>
        <v>7159831.2726288857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275478.16000000003</v>
      </c>
      <c r="D626" s="256">
        <f>(D615/D612)*BR90</f>
        <v>0</v>
      </c>
      <c r="E626" s="258">
        <f>(E623/E612)*SUM(C626:D626)</f>
        <v>41881.157702353528</v>
      </c>
      <c r="F626" s="258">
        <f>(F624/F612)*BR64</f>
        <v>816.41369891131023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318175.7314012649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4350304.9399999995</v>
      </c>
      <c r="D629" s="256">
        <f>(D615/D612)*BF90</f>
        <v>293229.33727517875</v>
      </c>
      <c r="E629" s="258">
        <f>(E623/E612)*SUM(C629:D629)</f>
        <v>705960.10719269339</v>
      </c>
      <c r="F629" s="258">
        <f>(F624/F612)*BF64</f>
        <v>7610.2886082938194</v>
      </c>
      <c r="G629" s="256">
        <f>(G625/G612)*BF91</f>
        <v>0</v>
      </c>
      <c r="H629" s="258">
        <f>(H628/H612)*BF60</f>
        <v>9949.7890030933013</v>
      </c>
      <c r="I629" s="256">
        <f>SUM(C629:H629)</f>
        <v>5367054.46207926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111947.01000000001</v>
      </c>
      <c r="D630" s="256">
        <f>(D615/D612)*BA90</f>
        <v>0</v>
      </c>
      <c r="E630" s="258">
        <f>(E623/E612)*SUM(C630:D630)</f>
        <v>17019.390503105391</v>
      </c>
      <c r="F630" s="258">
        <f>(F624/F612)*BA64</f>
        <v>0</v>
      </c>
      <c r="G630" s="256">
        <f>(G625/G612)*BA91</f>
        <v>0</v>
      </c>
      <c r="H630" s="258">
        <f>(H628/H612)*BA60</f>
        <v>304.94761815094887</v>
      </c>
      <c r="I630" s="256">
        <f>(I629/I612)*BA92</f>
        <v>0</v>
      </c>
      <c r="J630" s="256">
        <f>SUM(C630:I630)</f>
        <v>129271.34812125635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967413.80999999982</v>
      </c>
      <c r="D633" s="256">
        <f>(D615/D612)*BC90</f>
        <v>0</v>
      </c>
      <c r="E633" s="258">
        <f>(E623/E612)*SUM(C633:D633)</f>
        <v>147076.6696715437</v>
      </c>
      <c r="F633" s="258">
        <f>(F624/F612)*BC64</f>
        <v>730.6718355177145</v>
      </c>
      <c r="G633" s="256">
        <f>(G625/G612)*BC91</f>
        <v>0</v>
      </c>
      <c r="H633" s="258">
        <f>(H628/H612)*BC60</f>
        <v>1999.4702086229661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-34839.28</v>
      </c>
      <c r="D634" s="256">
        <f>(D615/D612)*BI90</f>
        <v>0</v>
      </c>
      <c r="E634" s="258">
        <f>(E623/E612)*SUM(C634:D634)</f>
        <v>-5296.6426809168861</v>
      </c>
      <c r="F634" s="258">
        <f>(F624/F612)*BI64</f>
        <v>1013.4039381620536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116.69023028835622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16136302.39</v>
      </c>
      <c r="D635" s="256">
        <f>(D615/D612)*BK90</f>
        <v>0</v>
      </c>
      <c r="E635" s="258">
        <f>(E623/E612)*SUM(C635:D635)</f>
        <v>2453214.5311572216</v>
      </c>
      <c r="F635" s="258">
        <f>(F624/F612)*BK64</f>
        <v>49.235041515267142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5254498.18</v>
      </c>
      <c r="D637" s="256">
        <f>(D615/D612)*BL90</f>
        <v>0</v>
      </c>
      <c r="E637" s="258">
        <f>(E623/E612)*SUM(C637:D637)</f>
        <v>798845.4218051607</v>
      </c>
      <c r="F637" s="258">
        <f>(F624/F612)*BL64</f>
        <v>761.70334669430076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-89734</v>
      </c>
      <c r="D639" s="256">
        <f>(D615/D612)*BS90</f>
        <v>219922.00295638404</v>
      </c>
      <c r="E639" s="258">
        <f>(E623/E612)*SUM(C639:D639)</f>
        <v>19792.582768705826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41194.140223211718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8371954.6099999994</v>
      </c>
      <c r="D642" s="256">
        <f>(D615/D612)*BV90</f>
        <v>0</v>
      </c>
      <c r="E642" s="258">
        <f>(E623/E612)*SUM(C642:D642)</f>
        <v>1272794.7337035921</v>
      </c>
      <c r="F642" s="258">
        <f>(F624/F612)*BV64</f>
        <v>37.348436643246679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-27240.78</v>
      </c>
      <c r="D643" s="256">
        <f>(D615/D612)*BW90</f>
        <v>0</v>
      </c>
      <c r="E643" s="258">
        <f>(E623/E612)*SUM(C643:D643)</f>
        <v>-4141.4368497129417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35526465.455792636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5743867.9300000016</v>
      </c>
      <c r="D645" s="256">
        <f>(D615/D612)*BY90</f>
        <v>0</v>
      </c>
      <c r="E645" s="258">
        <f>(E623/E612)*SUM(C645:D645)</f>
        <v>873244.68334557244</v>
      </c>
      <c r="F645" s="258">
        <f>(F624/F612)*BY64</f>
        <v>6616.9674857967766</v>
      </c>
      <c r="G645" s="256">
        <f>(G625/G612)*BY91</f>
        <v>0</v>
      </c>
      <c r="H645" s="258">
        <f>(H628/H612)*BY60</f>
        <v>4547.6991884060071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3213052.06</v>
      </c>
      <c r="D646" s="256">
        <f>(D615/D612)*BZ90</f>
        <v>0</v>
      </c>
      <c r="E646" s="258">
        <f>(E623/E612)*SUM(C646:D646)</f>
        <v>488482.7894550038</v>
      </c>
      <c r="F646" s="258">
        <f>(F624/F612)*BZ64</f>
        <v>35.858566661231933</v>
      </c>
      <c r="G646" s="256">
        <f>(G625/G612)*BZ91</f>
        <v>0</v>
      </c>
      <c r="H646" s="258">
        <f>(H628/H612)*BZ60</f>
        <v>3682.9282042101886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1005925.39</v>
      </c>
      <c r="D647" s="256">
        <f>(D615/D612)*CA90</f>
        <v>0</v>
      </c>
      <c r="E647" s="258">
        <f>(E623/E612)*SUM(C647:D647)</f>
        <v>152931.61496138739</v>
      </c>
      <c r="F647" s="258">
        <f>(F624/F612)*CA64</f>
        <v>27.000619407769367</v>
      </c>
      <c r="G647" s="256">
        <f>(G625/G612)*CA91</f>
        <v>0</v>
      </c>
      <c r="H647" s="258">
        <f>(H628/H612)*CA60</f>
        <v>1058.4396081248549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11493473.361434571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182308716.49000004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34495848.1</v>
      </c>
      <c r="D668" s="256">
        <f>(D615/D612)*C90</f>
        <v>2497879.5397515227</v>
      </c>
      <c r="E668" s="258">
        <f>(E623/E612)*SUM(C668:D668)</f>
        <v>5624185.021703165</v>
      </c>
      <c r="F668" s="258">
        <f>(F624/F612)*C64</f>
        <v>66767.323028152328</v>
      </c>
      <c r="G668" s="256">
        <f>(G625/G612)*C91</f>
        <v>967586.27007500525</v>
      </c>
      <c r="H668" s="258">
        <f>(H628/H612)*C60</f>
        <v>23387.647201601685</v>
      </c>
      <c r="I668" s="256">
        <f>(I629/I612)*C92</f>
        <v>467884.06179450348</v>
      </c>
      <c r="J668" s="256">
        <f>(J630/J612)*C93</f>
        <v>15513.852984139356</v>
      </c>
      <c r="K668" s="256">
        <f>(K644/K612)*C89</f>
        <v>1079225.4596055206</v>
      </c>
      <c r="L668" s="256">
        <f>(L647/L612)*C94</f>
        <v>1693243.6349091313</v>
      </c>
      <c r="M668" s="231">
        <f ref="M668:M713" t="shared" si="18">ROUND(SUM(D668:L668),0)</f>
        <v>12435673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69379548.089999989</v>
      </c>
      <c r="D670" s="256">
        <f>(D615/D612)*E90</f>
        <v>4521704.9842415061</v>
      </c>
      <c r="E670" s="258">
        <f>(E623/E612)*SUM(C670:D670)</f>
        <v>11235264.655477028</v>
      </c>
      <c r="F670" s="258">
        <f>(F624/F612)*E64</f>
        <v>88591.2971257781</v>
      </c>
      <c r="G670" s="256">
        <f>(G625/G612)*E91</f>
        <v>4607140.1771405721</v>
      </c>
      <c r="H670" s="258">
        <f>(H628/H612)*E60</f>
        <v>59255.215075275053</v>
      </c>
      <c r="I670" s="256">
        <f>(I629/I612)*E92</f>
        <v>846971.86577452836</v>
      </c>
      <c r="J670" s="256">
        <f>(J630/J612)*E93</f>
        <v>27325.489994342632</v>
      </c>
      <c r="K670" s="256">
        <f>(K644/K612)*E89</f>
        <v>2765254.9972697692</v>
      </c>
      <c r="L670" s="256">
        <f>(L647/L612)*E94</f>
        <v>4326497.3215138726</v>
      </c>
      <c r="M670" s="231">
        <f t="shared" si="18"/>
        <v>28478006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685.78</v>
      </c>
      <c r="D673" s="256">
        <f>(D615/D612)*H90</f>
        <v>0</v>
      </c>
      <c r="E673" s="258">
        <f>(E623/E612)*SUM(C673:D673)</f>
        <v>104.25966373929606</v>
      </c>
      <c r="F673" s="258">
        <f>(F624/F612)*H64</f>
        <v>10.246515320981478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115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16359361.550000005</v>
      </c>
      <c r="D680" s="256">
        <f>(D615/D612)*O90</f>
        <v>986602.082947268</v>
      </c>
      <c r="E680" s="258">
        <f>(E623/E612)*SUM(C680:D680)</f>
        <v>2637120.26539873</v>
      </c>
      <c r="F680" s="258">
        <f>(F624/F612)*O64</f>
        <v>41218.041897764604</v>
      </c>
      <c r="G680" s="256">
        <f>(G625/G612)*O91</f>
        <v>810281.95480729267</v>
      </c>
      <c r="H680" s="258">
        <f>(H628/H612)*O60</f>
        <v>12466.885561233532</v>
      </c>
      <c r="I680" s="256">
        <f>(I629/I612)*O92</f>
        <v>184802.90286144253</v>
      </c>
      <c r="J680" s="256">
        <f>(J630/J612)*O93</f>
        <v>10726.015748637439</v>
      </c>
      <c r="K680" s="256">
        <f>(K644/K612)*O89</f>
        <v>967790.8754680166</v>
      </c>
      <c r="L680" s="256">
        <f>(L647/L612)*O94</f>
        <v>981370.51936632779</v>
      </c>
      <c r="M680" s="231">
        <f t="shared" si="18"/>
        <v>6632380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82496118.669999987</v>
      </c>
      <c r="D681" s="256">
        <f>(D615/D612)*P90</f>
        <v>3176530.4833052694</v>
      </c>
      <c r="E681" s="258">
        <f>(E623/E612)*SUM(C681:D681)</f>
        <v>13024879.104637485</v>
      </c>
      <c r="F681" s="258">
        <f>(F624/F612)*P64</f>
        <v>1811279.7387736682</v>
      </c>
      <c r="G681" s="256">
        <f>(G625/G612)*P91</f>
        <v>13262.255902052446</v>
      </c>
      <c r="H681" s="258">
        <f>(H628/H612)*P60</f>
        <v>21643.139982888872</v>
      </c>
      <c r="I681" s="256">
        <f>(I629/I612)*P92</f>
        <v>595003.86679606338</v>
      </c>
      <c r="J681" s="256">
        <f>(J630/J612)*P93</f>
        <v>30123.988595678649</v>
      </c>
      <c r="K681" s="256">
        <f>(K644/K612)*P89</f>
        <v>8170633.536394326</v>
      </c>
      <c r="L681" s="256">
        <f>(L647/L612)*P94</f>
        <v>1123078.3426972569</v>
      </c>
      <c r="M681" s="231">
        <f t="shared" si="18"/>
        <v>27966434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11411115.409999998</v>
      </c>
      <c r="D682" s="256">
        <f>(D615/D612)*Q90</f>
        <v>0</v>
      </c>
      <c r="E682" s="258">
        <f>(E623/E612)*SUM(C682:D682)</f>
        <v>1734840.7004241876</v>
      </c>
      <c r="F682" s="258">
        <f>(F624/F612)*Q64</f>
        <v>23752.843822265073</v>
      </c>
      <c r="G682" s="256">
        <f>(G625/G612)*Q91</f>
        <v>0</v>
      </c>
      <c r="H682" s="258">
        <f>(H628/H612)*Q60</f>
        <v>8878.9776118570062</v>
      </c>
      <c r="I682" s="256">
        <f>(I629/I612)*Q92</f>
        <v>0</v>
      </c>
      <c r="J682" s="256">
        <f>(J630/J612)*Q93</f>
        <v>0</v>
      </c>
      <c r="K682" s="256">
        <f>(K644/K612)*Q89</f>
        <v>710144.17768760852</v>
      </c>
      <c r="L682" s="256">
        <f>(L647/L612)*Q94</f>
        <v>706240.8374848417</v>
      </c>
      <c r="M682" s="231">
        <f t="shared" si="18"/>
        <v>3183858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2654341.53</v>
      </c>
      <c r="D683" s="256">
        <f>(D615/D612)*R90</f>
        <v>0</v>
      </c>
      <c r="E683" s="258">
        <f>(E623/E612)*SUM(C683:D683)</f>
        <v>403541.59550737642</v>
      </c>
      <c r="F683" s="258">
        <f>(F624/F612)*R64</f>
        <v>13421.066184975723</v>
      </c>
      <c r="G683" s="256">
        <f>(G625/G612)*R91</f>
        <v>0</v>
      </c>
      <c r="H683" s="258">
        <f>(H628/H612)*R60</f>
        <v>837.03955916916811</v>
      </c>
      <c r="I683" s="256">
        <f>(I629/I612)*R92</f>
        <v>0</v>
      </c>
      <c r="J683" s="256">
        <f>(J630/J612)*R93</f>
        <v>0</v>
      </c>
      <c r="K683" s="256">
        <f>(K644/K612)*R89</f>
        <v>612351.24597101251</v>
      </c>
      <c r="L683" s="256">
        <f>(L647/L612)*R94</f>
        <v>18110.809757946161</v>
      </c>
      <c r="M683" s="231">
        <f t="shared" si="18"/>
        <v>1048262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2330389.73</v>
      </c>
      <c r="D684" s="256">
        <f>(D615/D612)*S90</f>
        <v>1010434.5085076992</v>
      </c>
      <c r="E684" s="258">
        <f>(E623/E612)*SUM(C684:D684)</f>
        <v>507908.09256452875</v>
      </c>
      <c r="F684" s="258">
        <f>(F624/F612)*S64</f>
        <v>17841.918710698519</v>
      </c>
      <c r="G684" s="256">
        <f>(G625/G612)*S91</f>
        <v>0</v>
      </c>
      <c r="H684" s="258">
        <f>(H628/H612)*S60</f>
        <v>3704.7906208722993</v>
      </c>
      <c r="I684" s="256">
        <f>(I629/I612)*S92</f>
        <v>189267.01407904711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1729156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16901696.429999996</v>
      </c>
      <c r="D686" s="256">
        <f>(D615/D612)*U90</f>
        <v>566427.37002867856</v>
      </c>
      <c r="E686" s="258">
        <f>(E623/E612)*SUM(C686:D686)</f>
        <v>2655692.3700711369</v>
      </c>
      <c r="F686" s="258">
        <f>(F624/F612)*U64</f>
        <v>189332.67115158023</v>
      </c>
      <c r="G686" s="256">
        <f>(G625/G612)*U91</f>
        <v>0</v>
      </c>
      <c r="H686" s="258">
        <f>(H628/H612)*U60</f>
        <v>9293.1262780251272</v>
      </c>
      <c r="I686" s="256">
        <f>(I629/I612)*U92</f>
        <v>106098.92686296615</v>
      </c>
      <c r="J686" s="256">
        <f>(J630/J612)*U93</f>
        <v>0</v>
      </c>
      <c r="K686" s="256">
        <f>(K644/K612)*U89</f>
        <v>1303064.738301062</v>
      </c>
      <c r="L686" s="256">
        <f>(L647/L612)*U94</f>
        <v>0</v>
      </c>
      <c r="M686" s="231">
        <f t="shared" si="18"/>
        <v>4829909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1256469.42</v>
      </c>
      <c r="D687" s="256">
        <f>(D615/D612)*V90</f>
        <v>0</v>
      </c>
      <c r="E687" s="258">
        <f>(E623/E612)*SUM(C687:D687)</f>
        <v>191022.0175973466</v>
      </c>
      <c r="F687" s="258">
        <f>(F624/F612)*V64</f>
        <v>7608.1285279269268</v>
      </c>
      <c r="G687" s="256">
        <f>(G625/G612)*V91</f>
        <v>0</v>
      </c>
      <c r="H687" s="258">
        <f>(H628/H612)*V60</f>
        <v>888.86780588516649</v>
      </c>
      <c r="I687" s="256">
        <f>(I629/I612)*V92</f>
        <v>0</v>
      </c>
      <c r="J687" s="256">
        <f>(J630/J612)*V93</f>
        <v>0</v>
      </c>
      <c r="K687" s="256">
        <f>(K644/K612)*V89</f>
        <v>382548.0999519123</v>
      </c>
      <c r="L687" s="256">
        <f>(L647/L612)*V94</f>
        <v>0</v>
      </c>
      <c r="M687" s="231">
        <f t="shared" si="18"/>
        <v>582067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1899341.3599999999</v>
      </c>
      <c r="D688" s="256">
        <f>(D615/D612)*W90</f>
        <v>115843.68880007061</v>
      </c>
      <c r="E688" s="258">
        <f>(E623/E612)*SUM(C688:D688)</f>
        <v>306370.14138696413</v>
      </c>
      <c r="F688" s="258">
        <f>(F624/F612)*W64</f>
        <v>566.05583928360488</v>
      </c>
      <c r="G688" s="256">
        <f>(G625/G612)*W91</f>
        <v>0</v>
      </c>
      <c r="H688" s="258">
        <f>(H628/H612)*W60</f>
        <v>1100.7433338954511</v>
      </c>
      <c r="I688" s="256">
        <f>(I629/I612)*W92</f>
        <v>21698.970981774077</v>
      </c>
      <c r="J688" s="256">
        <f>(J630/J612)*W93</f>
        <v>0</v>
      </c>
      <c r="K688" s="256">
        <f>(K644/K612)*W89</f>
        <v>325677.03074538021</v>
      </c>
      <c r="L688" s="256">
        <f>(L647/L612)*W94</f>
        <v>0</v>
      </c>
      <c r="M688" s="231">
        <f t="shared" si="18"/>
        <v>771257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0</v>
      </c>
      <c r="K689" s="256">
        <f>(K644/K612)*X89</f>
        <v>0</v>
      </c>
      <c r="L689" s="256">
        <f>(L647/L612)*X94</f>
        <v>0</v>
      </c>
      <c r="M689" s="231">
        <f t="shared" si="18"/>
        <v>0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21299022.88</v>
      </c>
      <c r="D690" s="256">
        <f>(D615/D612)*Y90</f>
        <v>1612339.0082313994</v>
      </c>
      <c r="E690" s="258">
        <f>(E623/E612)*SUM(C690:D690)</f>
        <v>3483232.0660799798</v>
      </c>
      <c r="F690" s="258">
        <f>(F624/F612)*Y64</f>
        <v>50539.825581108751</v>
      </c>
      <c r="G690" s="256">
        <f>(G625/G612)*Y91</f>
        <v>0</v>
      </c>
      <c r="H690" s="258">
        <f>(H628/H612)*Y60</f>
        <v>17345.888108792631</v>
      </c>
      <c r="I690" s="256">
        <f>(I629/I612)*Y92</f>
        <v>302011.25080518157</v>
      </c>
      <c r="J690" s="256">
        <f>(J630/J612)*Y93</f>
        <v>10213.917152706426</v>
      </c>
      <c r="K690" s="256">
        <f>(K644/K612)*Y89</f>
        <v>3182232.7928245775</v>
      </c>
      <c r="L690" s="256">
        <f>(L647/L612)*Y94</f>
        <v>48992.689587819244</v>
      </c>
      <c r="M690" s="231">
        <f t="shared" si="18"/>
        <v>8706907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4675063.4999999991</v>
      </c>
      <c r="D691" s="256">
        <f>(D615/D612)*Z90</f>
        <v>947263.49695891072</v>
      </c>
      <c r="E691" s="258">
        <f>(E623/E612)*SUM(C691:D691)</f>
        <v>854766.72130319069</v>
      </c>
      <c r="F691" s="258">
        <f>(F624/F612)*Z64</f>
        <v>3573.9623576835293</v>
      </c>
      <c r="G691" s="256">
        <f>(G625/G612)*Z91</f>
        <v>0</v>
      </c>
      <c r="H691" s="258">
        <f>(H628/H612)*Z60</f>
        <v>3423.6204176901219</v>
      </c>
      <c r="I691" s="256">
        <f>(I629/I612)*Z92</f>
        <v>177434.29396554839</v>
      </c>
      <c r="J691" s="256">
        <f>(J630/J612)*Z93</f>
        <v>0</v>
      </c>
      <c r="K691" s="256">
        <f>(K644/K612)*Z89</f>
        <v>632824.15574668278</v>
      </c>
      <c r="L691" s="256">
        <f>(L647/L612)*Z94</f>
        <v>39025.474555676163</v>
      </c>
      <c r="M691" s="231">
        <f t="shared" si="18"/>
        <v>2658312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2870297.54</v>
      </c>
      <c r="D692" s="256">
        <f>(D615/D612)*AA90</f>
        <v>0</v>
      </c>
      <c r="E692" s="258">
        <f>(E623/E612)*SUM(C692:D692)</f>
        <v>436373.5547145275</v>
      </c>
      <c r="F692" s="258">
        <f>(F624/F612)*AA64</f>
        <v>25534.387052708156</v>
      </c>
      <c r="G692" s="256">
        <f>(G625/G612)*AA91</f>
        <v>0</v>
      </c>
      <c r="H692" s="258">
        <f>(H628/H612)*AA60</f>
        <v>686.57952655096153</v>
      </c>
      <c r="I692" s="256">
        <f>(I629/I612)*AA92</f>
        <v>0</v>
      </c>
      <c r="J692" s="256">
        <f>(J630/J612)*AA93</f>
        <v>0</v>
      </c>
      <c r="K692" s="256">
        <f>(K644/K612)*AA89</f>
        <v>313469.31646465888</v>
      </c>
      <c r="L692" s="256">
        <f>(L647/L612)*AA94</f>
        <v>251.89078971205404</v>
      </c>
      <c r="M692" s="231">
        <f t="shared" si="18"/>
        <v>776316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26888323.160000008</v>
      </c>
      <c r="D693" s="256">
        <f>(D615/D612)*AB90</f>
        <v>372992.543834394</v>
      </c>
      <c r="E693" s="258">
        <f>(E623/E612)*SUM(C693:D693)</f>
        <v>4144558.9086479135</v>
      </c>
      <c r="F693" s="258">
        <f>(F624/F612)*AB64</f>
        <v>695344.29156637809</v>
      </c>
      <c r="G693" s="256">
        <f>(G625/G612)*AB91</f>
        <v>0</v>
      </c>
      <c r="H693" s="258">
        <f>(H628/H612)*AB60</f>
        <v>8102.65489094168</v>
      </c>
      <c r="I693" s="256">
        <f>(I629/I612)*AB92</f>
        <v>69866.165942357984</v>
      </c>
      <c r="J693" s="256">
        <f>(J630/J612)*AB93</f>
        <v>0</v>
      </c>
      <c r="K693" s="256">
        <f>(K644/K612)*AB89</f>
        <v>3342468.5253612977</v>
      </c>
      <c r="L693" s="256">
        <f>(L647/L612)*AB94</f>
        <v>56.934219592450567</v>
      </c>
      <c r="M693" s="231">
        <f t="shared" si="18"/>
        <v>8633390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8082532.27</v>
      </c>
      <c r="D694" s="256">
        <f>(D615/D612)*AC90</f>
        <v>276697.47751933534</v>
      </c>
      <c r="E694" s="258">
        <f>(E623/E612)*SUM(C694:D694)</f>
        <v>1270860.163020045</v>
      </c>
      <c r="F694" s="258">
        <f>(F624/F612)*AC64</f>
        <v>31107.95984115477</v>
      </c>
      <c r="G694" s="256">
        <f>(G625/G612)*AC91</f>
        <v>0</v>
      </c>
      <c r="H694" s="258">
        <f>(H628/H612)*AC60</f>
        <v>6444.9195909826321</v>
      </c>
      <c r="I694" s="256">
        <f>(I629/I612)*AC92</f>
        <v>51828.896313758283</v>
      </c>
      <c r="J694" s="256">
        <f>(J630/J612)*AC93</f>
        <v>0</v>
      </c>
      <c r="K694" s="256">
        <f>(K644/K612)*AC89</f>
        <v>833613.6561238548</v>
      </c>
      <c r="L694" s="256">
        <f>(L647/L612)*AC94</f>
        <v>24980.320166033085</v>
      </c>
      <c r="M694" s="231">
        <f t="shared" si="18"/>
        <v>2495533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1321766.1300000001</v>
      </c>
      <c r="D695" s="256">
        <f>(D615/D612)*AD90</f>
        <v>0</v>
      </c>
      <c r="E695" s="258">
        <f>(E623/E612)*SUM(C695:D695)</f>
        <v>200949.12691503207</v>
      </c>
      <c r="F695" s="258">
        <f>(F624/F612)*AD64</f>
        <v>892.02845228237993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54781.703225602432</v>
      </c>
      <c r="L695" s="256">
        <f>(L647/L612)*AD94</f>
        <v>0</v>
      </c>
      <c r="M695" s="231">
        <f t="shared" si="18"/>
        <v>256623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3753310.2599999988</v>
      </c>
      <c r="D696" s="256">
        <f>(D615/D612)*AE90</f>
        <v>586458.67455035751</v>
      </c>
      <c r="E696" s="258">
        <f>(E623/E612)*SUM(C696:D696)</f>
        <v>659778.42722514982</v>
      </c>
      <c r="F696" s="258">
        <f>(F624/F612)*AE64</f>
        <v>1051.7757937665756</v>
      </c>
      <c r="G696" s="256">
        <f>(G625/G612)*AE91</f>
        <v>0</v>
      </c>
      <c r="H696" s="258">
        <f>(H628/H612)*AE60</f>
        <v>4009.0388608766148</v>
      </c>
      <c r="I696" s="256">
        <f>(I629/I612)*AE92</f>
        <v>109851.04059523124</v>
      </c>
      <c r="J696" s="256">
        <f>(J630/J612)*AE93</f>
        <v>117.28634824133432</v>
      </c>
      <c r="K696" s="256">
        <f>(K644/K612)*AE89</f>
        <v>178222.39357230088</v>
      </c>
      <c r="L696" s="256">
        <f>(L647/L612)*AE94</f>
        <v>0</v>
      </c>
      <c r="M696" s="231">
        <f t="shared" si="18"/>
        <v>1539489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29710774.550000008</v>
      </c>
      <c r="D698" s="256">
        <f>(D615/D612)*AG90</f>
        <v>3665909.7332309843</v>
      </c>
      <c r="E698" s="258">
        <f>(E623/E612)*SUM(C698:D698)</f>
        <v>5074283.1230165809</v>
      </c>
      <c r="F698" s="258">
        <f>(F624/F612)*AG64</f>
        <v>81043.789897520139</v>
      </c>
      <c r="G698" s="256">
        <f>(G625/G612)*AG91</f>
        <v>613386.31560461083</v>
      </c>
      <c r="H698" s="258">
        <f>(H628/H612)*AG60</f>
        <v>15433.5611382487</v>
      </c>
      <c r="I698" s="256">
        <f>(I629/I612)*AG92</f>
        <v>686670.71764667239</v>
      </c>
      <c r="J698" s="256">
        <f>(J630/J612)*AG93</f>
        <v>31537.565597063724</v>
      </c>
      <c r="K698" s="256">
        <f>(K644/K612)*AG89</f>
        <v>2909992.517427</v>
      </c>
      <c r="L698" s="256">
        <f>(L647/L612)*AG94</f>
        <v>986809.7041559018</v>
      </c>
      <c r="M698" s="231">
        <f t="shared" si="18"/>
        <v>14065067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166699377.44</v>
      </c>
      <c r="D701" s="256">
        <f>(D615/D612)*AJ90</f>
        <v>2840797.443096377</v>
      </c>
      <c r="E701" s="258">
        <f>(E623/E612)*SUM(C701:D701)</f>
        <v>25775323.899228726</v>
      </c>
      <c r="F701" s="258">
        <f>(F624/F612)*AJ64</f>
        <v>143181.64663266187</v>
      </c>
      <c r="G701" s="256">
        <f>(G625/G612)*AJ91</f>
        <v>0</v>
      </c>
      <c r="H701" s="258">
        <f>(H628/H612)*AJ60</f>
        <v>77709.48343892103</v>
      </c>
      <c r="I701" s="256">
        <f>(I629/I612)*AJ92</f>
        <v>532116.87163408683</v>
      </c>
      <c r="J701" s="256">
        <f>(J630/J612)*AJ93</f>
        <v>0</v>
      </c>
      <c r="K701" s="256">
        <f>(K644/K612)*AJ89</f>
        <v>3054955.5831916309</v>
      </c>
      <c r="L701" s="256">
        <f>(L647/L612)*AJ94</f>
        <v>967639.29681295878</v>
      </c>
      <c r="M701" s="231">
        <f t="shared" si="18"/>
        <v>33391724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1278556.8399999999</v>
      </c>
      <c r="D702" s="256">
        <f>(D615/D612)*AK90</f>
        <v>282368.99145017209</v>
      </c>
      <c r="E702" s="258">
        <f>(E623/E612)*SUM(C702:D702)</f>
        <v>237308.7612776343</v>
      </c>
      <c r="F702" s="258">
        <f>(F624/F612)*AK64</f>
        <v>192.22327159370749</v>
      </c>
      <c r="G702" s="256">
        <f>(G625/G612)*AK91</f>
        <v>0</v>
      </c>
      <c r="H702" s="258">
        <f>(H628/H612)*AK60</f>
        <v>1283.3718772252444</v>
      </c>
      <c r="I702" s="256">
        <f>(I629/I612)*AK92</f>
        <v>52891.241768074309</v>
      </c>
      <c r="J702" s="256">
        <f>(J630/J612)*AK93</f>
        <v>0</v>
      </c>
      <c r="K702" s="256">
        <f>(K644/K612)*AK89</f>
        <v>86052.627857905187</v>
      </c>
      <c r="L702" s="256">
        <f>(L647/L612)*AK94</f>
        <v>0</v>
      </c>
      <c r="M702" s="231">
        <f t="shared" si="18"/>
        <v>660097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873346.49</v>
      </c>
      <c r="D703" s="256">
        <f>(D615/D612)*AL90</f>
        <v>92916.292058389969</v>
      </c>
      <c r="E703" s="258">
        <f>(E623/E612)*SUM(C703:D703)</f>
        <v>146901.67800344783</v>
      </c>
      <c r="F703" s="258">
        <f>(F624/F612)*AL64</f>
        <v>375.4414577919851</v>
      </c>
      <c r="G703" s="256">
        <f>(G625/G612)*AL91</f>
        <v>0</v>
      </c>
      <c r="H703" s="258">
        <f>(H628/H612)*AL60</f>
        <v>700.07103570541733</v>
      </c>
      <c r="I703" s="256">
        <f>(I629/I612)*AL92</f>
        <v>17404.382974964621</v>
      </c>
      <c r="J703" s="256">
        <f>(J630/J612)*AL93</f>
        <v>0</v>
      </c>
      <c r="K703" s="256">
        <f>(K644/K612)*AL89</f>
        <v>45293.533754392942</v>
      </c>
      <c r="L703" s="256">
        <f>(L647/L612)*AL94</f>
        <v>0</v>
      </c>
      <c r="M703" s="231">
        <f t="shared" si="18"/>
        <v>303591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48151632.840000026</v>
      </c>
      <c r="D707" s="256">
        <f>(D615/D612)*AP90</f>
        <v>4850109.7749387892</v>
      </c>
      <c r="E707" s="258">
        <f>(E623/E612)*SUM(C707:D707)</f>
        <v>8057895.91797696</v>
      </c>
      <c r="F707" s="258">
        <f>(F624/F612)*AP64</f>
        <v>1503385.7897560175</v>
      </c>
      <c r="G707" s="256">
        <f>(G625/G612)*AP91</f>
        <v>0</v>
      </c>
      <c r="H707" s="258">
        <f>(H628/H612)*AP60</f>
        <v>13654.978341610024</v>
      </c>
      <c r="I707" s="256">
        <f>(I629/I612)*AP92</f>
        <v>908486.18819838064</v>
      </c>
      <c r="J707" s="256">
        <f>(J630/J612)*AP93</f>
        <v>0</v>
      </c>
      <c r="K707" s="256">
        <f>(K644/K612)*AP89</f>
        <v>4575868.4888481237</v>
      </c>
      <c r="L707" s="256">
        <f>(L647/L612)*AP94</f>
        <v>489020.64112463128</v>
      </c>
      <c r="M707" s="231">
        <f t="shared" si="18"/>
        <v>20398422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3086795.18</v>
      </c>
      <c r="D713" s="256">
        <f>(D615/D612)*AV90</f>
        <v>29745.280509601464</v>
      </c>
      <c r="E713" s="258">
        <f>(E623/E612)*SUM(C713:D713)</f>
        <v>473810.05634845275</v>
      </c>
      <c r="F713" s="258">
        <f>(F624/F612)*AV64</f>
        <v>10694.507438114822</v>
      </c>
      <c r="G713" s="256">
        <f>(G625/G612)*AV91</f>
        <v>148174.29909935227</v>
      </c>
      <c r="H713" s="258">
        <f>(H628/H612)*AV60</f>
        <v>6381.8573124081677</v>
      </c>
      <c r="I713" s="256">
        <f>(I629/I612)*AV92</f>
        <v>5571.6628614659485</v>
      </c>
      <c r="J713" s="256">
        <f>(J630/J612)*AV93</f>
        <v>3596.5414701584086</v>
      </c>
      <c r="K713" s="256">
        <f>(K644/K612)*AV89</f>
        <v>0</v>
      </c>
      <c r="L713" s="256">
        <f>(L647/L612)*AV94</f>
        <v>88154.944292867818</v>
      </c>
      <c r="M713" s="231">
        <f t="shared" si="18"/>
        <v>766129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740184431.63999987</v>
      </c>
      <c r="D715" s="231">
        <f>SUM(D616:D647)+SUM(D668:D713)</f>
        <v>37493626.89</v>
      </c>
      <c r="E715" s="231">
        <f>SUM(E624:E647)+SUM(E668:E713)</f>
        <v>97680386.808166683</v>
      </c>
      <c r="F715" s="231">
        <f>SUM(F625:F648)+SUM(F668:F713)</f>
        <v>4884226.6286885794</v>
      </c>
      <c r="G715" s="231">
        <f>SUM(G626:G647)+SUM(G668:G713)</f>
        <v>7159831.2726288866</v>
      </c>
      <c r="H715" s="231">
        <f>SUM(H629:H647)+SUM(H668:H713)</f>
        <v>318175.73140126478</v>
      </c>
      <c r="I715" s="231">
        <f>SUM(I630:I647)+SUM(I668:I713)</f>
        <v>5367054.4620792577</v>
      </c>
      <c r="J715" s="231">
        <f>SUM(J631:J647)+SUM(J668:J713)</f>
        <v>129271.34812125632</v>
      </c>
      <c r="K715" s="231">
        <f>SUM(K668:K713)</f>
        <v>35526465.455792636</v>
      </c>
      <c r="L715" s="231">
        <f>SUM(L668:L713)</f>
        <v>11493473.36143457</v>
      </c>
      <c r="M715" s="231">
        <f>SUM(M668:M713)</f>
        <v>182308717</v>
      </c>
      <c r="N715" s="250" t="s">
        <v>697</v>
      </c>
    </row>
    <row r="716" ht="12.6" customHeight="1" s="231" customFormat="1">
      <c r="C716" s="253">
        <f>CE85</f>
        <v>740184431.63999963</v>
      </c>
      <c r="D716" s="231">
        <f>D615</f>
        <v>37493626.89</v>
      </c>
      <c r="E716" s="231">
        <f>E623</f>
        <v>97680386.808166683</v>
      </c>
      <c r="F716" s="231">
        <f>F624</f>
        <v>4884226.6286885794</v>
      </c>
      <c r="G716" s="231">
        <f>G625</f>
        <v>7159831.2726288857</v>
      </c>
      <c r="H716" s="231">
        <f>H628</f>
        <v>318175.7314012649</v>
      </c>
      <c r="I716" s="231">
        <f>I629</f>
        <v>5367054.46207926</v>
      </c>
      <c r="J716" s="231">
        <f>J630</f>
        <v>129271.34812125635</v>
      </c>
      <c r="K716" s="231">
        <f>K644</f>
        <v>35526465.455792636</v>
      </c>
      <c r="L716" s="231">
        <f>L647</f>
        <v>11493473.361434571</v>
      </c>
      <c r="M716" s="231">
        <f>C648</f>
        <v>182308716.49000004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St Michael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17405430.2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439828133.9</v>
      </c>
    </row>
    <row r="9" ht="20.1" customHeight="1">
      <c r="A9" s="188">
        <v>5</v>
      </c>
      <c r="B9" s="190" t="s">
        <v>908</v>
      </c>
      <c r="C9" s="190">
        <f>data!C269</f>
        <v>349725240.43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5285544.1400000006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15548021.81</v>
      </c>
    </row>
    <row r="14" ht="20.1" customHeight="1">
      <c r="A14" s="188">
        <v>10</v>
      </c>
      <c r="B14" s="190" t="s">
        <v>433</v>
      </c>
      <c r="C14" s="190">
        <f>data!C274</f>
        <v>1294391.85</v>
      </c>
    </row>
    <row r="15" ht="20.1" customHeight="1">
      <c r="A15" s="188">
        <v>11</v>
      </c>
      <c r="B15" s="190" t="s">
        <v>911</v>
      </c>
      <c r="C15" s="190">
        <f>data!C275</f>
        <v>0</v>
      </c>
    </row>
    <row r="16" ht="20.1" customHeight="1">
      <c r="A16" s="188">
        <v>12</v>
      </c>
      <c r="B16" s="190" t="s">
        <v>912</v>
      </c>
      <c r="C16" s="190">
        <f>data!D276</f>
        <v>129636281.46999997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33785517.86</v>
      </c>
    </row>
    <row r="26" ht="20.1" customHeight="1">
      <c r="A26" s="188">
        <v>22</v>
      </c>
      <c r="B26" s="190" t="s">
        <v>395</v>
      </c>
      <c r="C26" s="190">
        <f>data!C284</f>
        <v>2153149</v>
      </c>
    </row>
    <row r="27" ht="20.1" customHeight="1">
      <c r="A27" s="188">
        <v>23</v>
      </c>
      <c r="B27" s="190" t="s">
        <v>396</v>
      </c>
      <c r="C27" s="190">
        <f>data!C285</f>
        <v>588347864.91</v>
      </c>
    </row>
    <row r="28" ht="20.1" customHeight="1">
      <c r="A28" s="188">
        <v>24</v>
      </c>
      <c r="B28" s="190" t="s">
        <v>916</v>
      </c>
      <c r="C28" s="190">
        <f>data!C286</f>
        <v>8812566.61</v>
      </c>
    </row>
    <row r="29" ht="20.1" customHeight="1">
      <c r="A29" s="188">
        <v>25</v>
      </c>
      <c r="B29" s="190" t="s">
        <v>398</v>
      </c>
      <c r="C29" s="190">
        <f>data!C287</f>
        <v>8247813</v>
      </c>
    </row>
    <row r="30" ht="20.1" customHeight="1">
      <c r="A30" s="188">
        <v>26</v>
      </c>
      <c r="B30" s="190" t="s">
        <v>442</v>
      </c>
      <c r="C30" s="190">
        <f>data!C288</f>
        <v>234011092.06</v>
      </c>
    </row>
    <row r="31" ht="20.1" customHeight="1">
      <c r="A31" s="188">
        <v>27</v>
      </c>
      <c r="B31" s="190" t="s">
        <v>401</v>
      </c>
      <c r="C31" s="190">
        <f>data!C289</f>
        <v>33248239.1</v>
      </c>
    </row>
    <row r="32" ht="20.1" customHeight="1">
      <c r="A32" s="188">
        <v>28</v>
      </c>
      <c r="B32" s="190" t="s">
        <v>402</v>
      </c>
      <c r="C32" s="190">
        <f>data!C290</f>
        <v>2383748.18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271715848.81</v>
      </c>
    </row>
    <row r="35" ht="20.1" customHeight="1">
      <c r="A35" s="188">
        <v>31</v>
      </c>
      <c r="B35" s="190" t="s">
        <v>918</v>
      </c>
      <c r="C35" s="190">
        <f>data!D293</f>
        <v>639274141.91000009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236833949.52</v>
      </c>
    </row>
    <row r="41" ht="20.1" customHeight="1">
      <c r="A41" s="188">
        <v>37</v>
      </c>
      <c r="B41" s="190" t="s">
        <v>437</v>
      </c>
      <c r="C41" s="190">
        <f>data!C298</f>
        <v>65565287.28</v>
      </c>
    </row>
    <row r="42" ht="20.1" customHeight="1">
      <c r="A42" s="188">
        <v>38</v>
      </c>
      <c r="B42" s="190" t="s">
        <v>922</v>
      </c>
      <c r="C42" s="190">
        <f>data!D299</f>
        <v>302399236.8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8135462.83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22211430.85</v>
      </c>
    </row>
    <row r="49" ht="20.1" customHeight="1">
      <c r="A49" s="188">
        <v>45</v>
      </c>
      <c r="B49" s="190" t="s">
        <v>925</v>
      </c>
      <c r="C49" s="190">
        <f>data!D306</f>
        <v>30346893.68</v>
      </c>
    </row>
    <row r="50" ht="20.1" customHeight="1">
      <c r="A50" s="193">
        <v>46</v>
      </c>
      <c r="B50" s="194" t="s">
        <v>926</v>
      </c>
      <c r="C50" s="190">
        <f>data!D308</f>
        <v>1101656553.8600001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St Michael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3336877.47</v>
      </c>
    </row>
    <row r="60" ht="20.1" customHeight="1">
      <c r="A60" s="188">
        <v>4</v>
      </c>
      <c r="B60" s="190" t="s">
        <v>931</v>
      </c>
      <c r="C60" s="190">
        <f>data!C316</f>
        <v>29132568.269999996</v>
      </c>
    </row>
    <row r="61" ht="20.1" customHeight="1">
      <c r="A61" s="188">
        <v>5</v>
      </c>
      <c r="B61" s="190" t="s">
        <v>463</v>
      </c>
      <c r="C61" s="190">
        <f>data!C317</f>
        <v>4664399.1300000027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20342455.61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934</v>
      </c>
      <c r="C67" s="190">
        <f>data!C323</f>
        <v>5616439.92</v>
      </c>
    </row>
    <row r="68" ht="20.1" customHeight="1">
      <c r="A68" s="188">
        <v>12</v>
      </c>
      <c r="B68" s="190" t="s">
        <v>935</v>
      </c>
      <c r="C68" s="190">
        <f>data!D324</f>
        <v>63092740.4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65988190.97</v>
      </c>
    </row>
    <row r="74" ht="20.1" customHeight="1">
      <c r="A74" s="188">
        <v>18</v>
      </c>
      <c r="B74" s="190" t="s">
        <v>938</v>
      </c>
      <c r="C74" s="190">
        <f>data!D329</f>
        <v>65988190.97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1662826.8399999999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941</v>
      </c>
      <c r="C82" s="190">
        <f>data!C336</f>
        <v>68837674.55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578078.97000000009</v>
      </c>
    </row>
    <row r="85" ht="20.1" customHeight="1">
      <c r="A85" s="188">
        <v>29</v>
      </c>
      <c r="B85" s="190" t="s">
        <v>615</v>
      </c>
      <c r="C85" s="190">
        <f>data!D339</f>
        <v>71078580.36</v>
      </c>
    </row>
    <row r="86" ht="20.1" customHeight="1">
      <c r="A86" s="188">
        <v>30</v>
      </c>
      <c r="B86" s="190" t="s">
        <v>942</v>
      </c>
      <c r="C86" s="190">
        <f>data!D340</f>
        <v>5616439.92</v>
      </c>
    </row>
    <row r="87" ht="20.1" customHeight="1">
      <c r="A87" s="188">
        <v>31</v>
      </c>
      <c r="B87" s="190" t="s">
        <v>943</v>
      </c>
      <c r="C87" s="190">
        <f>data!D341</f>
        <v>65462140.44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907113481.99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907113481.99</v>
      </c>
    </row>
    <row r="103" ht="20.1" customHeight="1">
      <c r="A103" s="188">
        <v>47</v>
      </c>
      <c r="B103" s="190" t="s">
        <v>951</v>
      </c>
      <c r="C103" s="190">
        <f>data!D352</f>
        <v>1101656553.8600001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St Michael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1344465065.04</v>
      </c>
    </row>
    <row r="112" ht="20.1" customHeight="1">
      <c r="A112" s="188">
        <v>3</v>
      </c>
      <c r="B112" s="190" t="s">
        <v>498</v>
      </c>
      <c r="C112" s="190">
        <f>data!C359</f>
        <v>2043274238.68</v>
      </c>
    </row>
    <row r="113" ht="20.1" customHeight="1">
      <c r="A113" s="188">
        <v>4</v>
      </c>
      <c r="B113" s="190" t="s">
        <v>955</v>
      </c>
      <c r="C113" s="190">
        <f>data!D360</f>
        <v>3387739303.7200003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14316457.84</v>
      </c>
    </row>
    <row r="117" ht="20.1" customHeight="1">
      <c r="A117" s="188">
        <v>8</v>
      </c>
      <c r="B117" s="190" t="s">
        <v>501</v>
      </c>
      <c r="C117" s="203">
        <f>data!C363</f>
        <v>2583614961.35</v>
      </c>
    </row>
    <row r="118" ht="20.1" customHeight="1">
      <c r="A118" s="188">
        <v>9</v>
      </c>
      <c r="B118" s="190" t="s">
        <v>958</v>
      </c>
      <c r="C118" s="203">
        <f>data!C364</f>
        <v>14664567.19</v>
      </c>
    </row>
    <row r="119" ht="20.1" customHeight="1">
      <c r="A119" s="188">
        <v>10</v>
      </c>
      <c r="B119" s="190" t="s">
        <v>959</v>
      </c>
      <c r="C119" s="203">
        <f>data!C365</f>
        <v>16369391.540000001</v>
      </c>
    </row>
    <row r="120" ht="20.1" customHeight="1">
      <c r="A120" s="188">
        <v>11</v>
      </c>
      <c r="B120" s="190" t="s">
        <v>903</v>
      </c>
      <c r="C120" s="203">
        <f>data!D366</f>
        <v>2628965377.92</v>
      </c>
    </row>
    <row r="121" ht="20.1" customHeight="1">
      <c r="A121" s="188">
        <v>12</v>
      </c>
      <c r="B121" s="190" t="s">
        <v>960</v>
      </c>
      <c r="C121" s="203">
        <f>data!D367</f>
        <v>758773925.80000019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14253111.020000001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14253111.020000001</v>
      </c>
    </row>
    <row r="138" ht="20.1" customHeight="1">
      <c r="A138" s="188">
        <v>18</v>
      </c>
      <c r="B138" s="190" t="s">
        <v>973</v>
      </c>
      <c r="C138" s="203">
        <f>data!D384</f>
        <v>773027036.82000017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285200871.67</v>
      </c>
    </row>
    <row r="142" ht="20.1" customHeight="1">
      <c r="A142" s="188">
        <v>22</v>
      </c>
      <c r="B142" s="190" t="s">
        <v>11</v>
      </c>
      <c r="C142" s="203">
        <f>data!C390</f>
        <v>48398685.14</v>
      </c>
    </row>
    <row r="143" ht="20.1" customHeight="1">
      <c r="A143" s="188">
        <v>23</v>
      </c>
      <c r="B143" s="190" t="s">
        <v>264</v>
      </c>
      <c r="C143" s="203">
        <f>data!C391</f>
        <v>43404880.01</v>
      </c>
    </row>
    <row r="144" ht="20.1" customHeight="1">
      <c r="A144" s="188">
        <v>24</v>
      </c>
      <c r="B144" s="190" t="s">
        <v>265</v>
      </c>
      <c r="C144" s="203">
        <f>data!C392</f>
        <v>127179622.56</v>
      </c>
    </row>
    <row r="145" ht="20.1" customHeight="1">
      <c r="A145" s="188">
        <v>25</v>
      </c>
      <c r="B145" s="190" t="s">
        <v>975</v>
      </c>
      <c r="C145" s="203">
        <f>data!C393</f>
        <v>6311997.35</v>
      </c>
    </row>
    <row r="146" ht="20.1" customHeight="1">
      <c r="A146" s="188">
        <v>26</v>
      </c>
      <c r="B146" s="190" t="s">
        <v>976</v>
      </c>
      <c r="C146" s="203">
        <f>data!C394</f>
        <v>186576257.96</v>
      </c>
    </row>
    <row r="147" ht="20.1" customHeight="1">
      <c r="A147" s="188">
        <v>27</v>
      </c>
      <c r="B147" s="190" t="s">
        <v>16</v>
      </c>
      <c r="C147" s="203">
        <f>data!C395</f>
        <v>15154726.13</v>
      </c>
    </row>
    <row r="148" ht="20.1" customHeight="1">
      <c r="A148" s="188">
        <v>28</v>
      </c>
      <c r="B148" s="190" t="s">
        <v>977</v>
      </c>
      <c r="C148" s="203">
        <f>data!C396</f>
        <v>16313870.49</v>
      </c>
    </row>
    <row r="149" ht="20.1" customHeight="1">
      <c r="A149" s="188">
        <v>29</v>
      </c>
      <c r="B149" s="190" t="s">
        <v>528</v>
      </c>
      <c r="C149" s="203">
        <f>data!C397</f>
        <v>2757856.9</v>
      </c>
    </row>
    <row r="150" ht="20.1" customHeight="1">
      <c r="A150" s="188">
        <v>30</v>
      </c>
      <c r="B150" s="190" t="s">
        <v>978</v>
      </c>
      <c r="C150" s="203">
        <f>data!C398</f>
        <v>16391073.379999999</v>
      </c>
    </row>
    <row r="151" ht="20.1" customHeight="1">
      <c r="A151" s="188">
        <v>31</v>
      </c>
      <c r="B151" s="190" t="s">
        <v>530</v>
      </c>
      <c r="C151" s="203">
        <f>data!C399</f>
        <v>3765093.81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2982605.5299999714</v>
      </c>
    </row>
    <row r="167" ht="20.1" customHeight="1">
      <c r="A167" s="188">
        <v>34</v>
      </c>
      <c r="B167" s="190" t="s">
        <v>995</v>
      </c>
      <c r="C167" s="203">
        <f>data!D416</f>
        <v>754437540.93</v>
      </c>
    </row>
    <row r="168" ht="20.1" customHeight="1">
      <c r="A168" s="188">
        <v>35</v>
      </c>
      <c r="B168" s="190" t="s">
        <v>996</v>
      </c>
      <c r="C168" s="203">
        <f>data!D417</f>
        <v>18589495.890000224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-8484082.77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10105413.120000225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10105413.120000225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St Michael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7780</v>
      </c>
      <c r="D9" s="287">
        <f>data!D59</f>
        <v>0</v>
      </c>
      <c r="E9" s="287">
        <f>data!E59</f>
        <v>66015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155.94910096153848</v>
      </c>
      <c r="D10" s="294">
        <f>data!D60</f>
        <v>0</v>
      </c>
      <c r="E10" s="294">
        <f>data!E60</f>
        <v>395.11445673076923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26737835.400000006</v>
      </c>
      <c r="D11" s="287">
        <f>data!D61</f>
        <v>0</v>
      </c>
      <c r="E11" s="287">
        <f>data!E61</f>
        <v>54065215.649999969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4511358</v>
      </c>
      <c r="D12" s="287">
        <f>data!D62</f>
        <v>0</v>
      </c>
      <c r="E12" s="287">
        <f>data!E62</f>
        <v>9133041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1771603.0799999998</v>
      </c>
      <c r="D13" s="287">
        <f>data!D63</f>
        <v>0</v>
      </c>
      <c r="E13" s="287">
        <f>data!E63</f>
        <v>4297395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1733413.04</v>
      </c>
      <c r="D14" s="287">
        <f>data!D64</f>
        <v>0</v>
      </c>
      <c r="E14" s="287">
        <f>data!E64</f>
        <v>2300006.9899999998</v>
      </c>
      <c r="F14" s="287">
        <f>data!F64</f>
        <v>0</v>
      </c>
      <c r="G14" s="287">
        <f>data!G64</f>
        <v>0</v>
      </c>
      <c r="H14" s="287">
        <f>data!H64</f>
        <v>266.02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1094.58</v>
      </c>
      <c r="D15" s="287">
        <f>data!D65</f>
        <v>0</v>
      </c>
      <c r="E15" s="287">
        <f>data!E65</f>
        <v>12371.73</v>
      </c>
      <c r="F15" s="287">
        <f>data!F65</f>
        <v>0</v>
      </c>
      <c r="G15" s="287">
        <f>data!G65</f>
        <v>0</v>
      </c>
      <c r="H15" s="287">
        <f>data!H65</f>
        <v>419.76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117230.86</v>
      </c>
      <c r="D16" s="287">
        <f>data!D66</f>
        <v>0</v>
      </c>
      <c r="E16" s="287">
        <f>data!E66</f>
        <v>1230817.73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-396800</v>
      </c>
      <c r="D17" s="287">
        <f>data!D67</f>
        <v>0</v>
      </c>
      <c r="E17" s="287">
        <f>data!E67</f>
        <v>-1742690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1293.4</v>
      </c>
      <c r="D18" s="287">
        <f>data!D68</f>
        <v>0</v>
      </c>
      <c r="E18" s="287">
        <f>data!E68</f>
        <v>15718.7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18819.739999999998</v>
      </c>
      <c r="D19" s="287">
        <f>data!D69</f>
        <v>0</v>
      </c>
      <c r="E19" s="287">
        <f>data!E69</f>
        <v>67671.29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34495848.1</v>
      </c>
      <c r="D21" s="287">
        <f>data!D85</f>
        <v>0</v>
      </c>
      <c r="E21" s="287">
        <f>data!E85</f>
        <v>69379548.089999989</v>
      </c>
      <c r="F21" s="287">
        <f>data!F85</f>
        <v>0</v>
      </c>
      <c r="G21" s="287">
        <f>data!G85</f>
        <v>0</v>
      </c>
      <c r="H21" s="287">
        <f>data!H85</f>
        <v>685.78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12435673</v>
      </c>
      <c r="D23" s="295">
        <f>+data!M669</f>
        <v>0</v>
      </c>
      <c r="E23" s="295">
        <f>+data!M670</f>
        <v>28478006</v>
      </c>
      <c r="F23" s="295">
        <f>+data!M671</f>
        <v>0</v>
      </c>
      <c r="G23" s="295">
        <f>+data!M672</f>
        <v>0</v>
      </c>
      <c r="H23" s="295">
        <f>+data!M673</f>
        <v>115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101890680.33000001</v>
      </c>
      <c r="D24" s="287">
        <f>data!D87</f>
        <v>0</v>
      </c>
      <c r="E24" s="287">
        <f>data!E87</f>
        <v>234705181.29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1022301.8699999998</v>
      </c>
      <c r="D25" s="287">
        <f>data!D88</f>
        <v>0</v>
      </c>
      <c r="E25" s="287">
        <f>data!E88</f>
        <v>28984519.300000004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102912982.20000002</v>
      </c>
      <c r="D26" s="287">
        <f>data!D89</f>
        <v>0</v>
      </c>
      <c r="E26" s="287">
        <f>data!E89</f>
        <v>263689700.59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41400</v>
      </c>
      <c r="D28" s="287">
        <f>data!D90</f>
        <v>0</v>
      </c>
      <c r="E28" s="287">
        <f>data!E90</f>
        <v>74943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34655</v>
      </c>
      <c r="D29" s="287">
        <f>data!D91</f>
        <v>0</v>
      </c>
      <c r="E29" s="287">
        <f>data!E91</f>
        <v>165009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11491.355687549227</v>
      </c>
      <c r="D30" s="287">
        <f>data!D92</f>
        <v>0</v>
      </c>
      <c r="E30" s="287">
        <f>data!E92</f>
        <v>20801.851915265743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275082.18</v>
      </c>
      <c r="D31" s="287">
        <f>data!D93</f>
        <v>0</v>
      </c>
      <c r="E31" s="287">
        <f>data!E93</f>
        <v>484518.92414455267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117.96052403846154</v>
      </c>
      <c r="D32" s="294">
        <f>data!D94</f>
        <v>0</v>
      </c>
      <c r="E32" s="294">
        <f>data!E94</f>
        <v>301.40724038461548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St Michael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7639</v>
      </c>
      <c r="I41" s="287">
        <f>data!P59</f>
        <v>1069692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83.129336538461516</v>
      </c>
      <c r="I42" s="294">
        <f>data!P60</f>
        <v>144.31670673076926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10835168.550000005</v>
      </c>
      <c r="I43" s="287">
        <f>data!P61</f>
        <v>17820590.920000006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1836519</v>
      </c>
      <c r="I44" s="287">
        <f>data!P62</f>
        <v>3023497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2492563.76</v>
      </c>
      <c r="I45" s="287">
        <f>data!P63</f>
        <v>4222281.8100000005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1070102.68</v>
      </c>
      <c r="I46" s="287">
        <f>data!P64</f>
        <v>47024439.140000008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2656.58</v>
      </c>
      <c r="I47" s="287">
        <f>data!P65</f>
        <v>15925.46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380618.97</v>
      </c>
      <c r="I48" s="287">
        <f>data!P66</f>
        <v>4197094.49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-308871</v>
      </c>
      <c r="I49" s="287">
        <f>data!P67</f>
        <v>4340239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10988.65</v>
      </c>
      <c r="I50" s="287">
        <f>data!P68</f>
        <v>1680870.33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39614.36</v>
      </c>
      <c r="I51" s="287">
        <f>data!P69</f>
        <v>171180.52000000005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16359361.550000005</v>
      </c>
      <c r="I53" s="287">
        <f>data!P85</f>
        <v>82496118.669999987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6632380</v>
      </c>
      <c r="I55" s="295">
        <f>+data!M681</f>
        <v>27966434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85112939.070000008</v>
      </c>
      <c r="I56" s="287">
        <f>data!P87</f>
        <v>331872871.01999992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7173843.32</v>
      </c>
      <c r="I57" s="287">
        <f>data!P88</f>
        <v>447263922.1400001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92286782.390000016</v>
      </c>
      <c r="I58" s="287">
        <f>data!P89</f>
        <v>779136793.16000009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16352</v>
      </c>
      <c r="I60" s="287">
        <f>data!P90</f>
        <v>52648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29021</v>
      </c>
      <c r="I61" s="287">
        <f>data!P91</f>
        <v>475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4538.8079276039844</v>
      </c>
      <c r="I62" s="287">
        <f>data!P92</f>
        <v>14613.451551644728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190187.16999999998</v>
      </c>
      <c r="I63" s="287">
        <f>data!P93</f>
        <v>534140.19468060124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68.367586538461538</v>
      </c>
      <c r="I64" s="294">
        <f>data!P94</f>
        <v>78.239721153846162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St Michael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798795</v>
      </c>
      <c r="D73" s="295">
        <f>data!R59</f>
        <v>1181670</v>
      </c>
      <c r="E73" s="299"/>
      <c r="F73" s="299"/>
      <c r="G73" s="287">
        <f>data!U59</f>
        <v>1496104</v>
      </c>
      <c r="H73" s="287">
        <f>data!V59</f>
        <v>44890.541000000005</v>
      </c>
      <c r="I73" s="287">
        <f>data!W59</f>
        <v>29713.576499999988</v>
      </c>
    </row>
    <row r="74" ht="20.1" customHeight="1">
      <c r="A74" s="279">
        <v>5</v>
      </c>
      <c r="B74" s="287" t="s">
        <v>262</v>
      </c>
      <c r="C74" s="294">
        <f>data!Q60</f>
        <v>59.205125</v>
      </c>
      <c r="D74" s="294">
        <f>data!R60</f>
        <v>5.5813894230769234</v>
      </c>
      <c r="E74" s="294">
        <f>data!S60</f>
        <v>24.703586538461536</v>
      </c>
      <c r="F74" s="294">
        <f>data!T60</f>
        <v>0</v>
      </c>
      <c r="G74" s="294">
        <f>data!U60</f>
        <v>61.966673076923087</v>
      </c>
      <c r="H74" s="294">
        <f>data!V60</f>
        <v>5.9269807692307692</v>
      </c>
      <c r="I74" s="294">
        <f>data!W60</f>
        <v>7.3397692307692308</v>
      </c>
    </row>
    <row r="75" ht="20.1" customHeight="1">
      <c r="A75" s="279">
        <v>6</v>
      </c>
      <c r="B75" s="287" t="s">
        <v>263</v>
      </c>
      <c r="C75" s="287">
        <f>data!Q61</f>
        <v>9159321.3899999987</v>
      </c>
      <c r="D75" s="287">
        <f>data!R61</f>
        <v>498545.27000000008</v>
      </c>
      <c r="E75" s="287">
        <f>data!S61</f>
        <v>1347080.2600000005</v>
      </c>
      <c r="F75" s="287">
        <f>data!T61</f>
        <v>0</v>
      </c>
      <c r="G75" s="287">
        <f>data!U61</f>
        <v>5608098.9000000013</v>
      </c>
      <c r="H75" s="287">
        <f>data!V61</f>
        <v>746508.05999999994</v>
      </c>
      <c r="I75" s="287">
        <f>data!W61</f>
        <v>861999.38</v>
      </c>
    </row>
    <row r="76" ht="20.1" customHeight="1">
      <c r="A76" s="279">
        <v>7</v>
      </c>
      <c r="B76" s="287" t="s">
        <v>11</v>
      </c>
      <c r="C76" s="287">
        <f>data!Q62</f>
        <v>1545451</v>
      </c>
      <c r="D76" s="287">
        <f>data!R62</f>
        <v>84009</v>
      </c>
      <c r="E76" s="287">
        <f>data!S62</f>
        <v>226995</v>
      </c>
      <c r="F76" s="287">
        <f>data!T62</f>
        <v>0</v>
      </c>
      <c r="G76" s="287">
        <f>data!U62</f>
        <v>945996</v>
      </c>
      <c r="H76" s="287">
        <f>data!V62</f>
        <v>125793</v>
      </c>
      <c r="I76" s="287">
        <f>data!W62</f>
        <v>145255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68570.87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616671.26000000013</v>
      </c>
      <c r="D78" s="287">
        <f>data!R64</f>
        <v>348437.68</v>
      </c>
      <c r="E78" s="287">
        <f>data!S64</f>
        <v>463211.83999999985</v>
      </c>
      <c r="F78" s="287">
        <f>data!T64</f>
        <v>0</v>
      </c>
      <c r="G78" s="287">
        <f>data!U64</f>
        <v>4915454.24</v>
      </c>
      <c r="H78" s="287">
        <f>data!V64</f>
        <v>197522.21</v>
      </c>
      <c r="I78" s="287">
        <f>data!W64</f>
        <v>14695.94</v>
      </c>
    </row>
    <row r="79" ht="20.1" customHeight="1">
      <c r="A79" s="279">
        <v>10</v>
      </c>
      <c r="B79" s="287" t="s">
        <v>525</v>
      </c>
      <c r="C79" s="287">
        <f>data!Q65</f>
        <v>6087.1399999999994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792.43999999999994</v>
      </c>
      <c r="H79" s="287">
        <f>data!V65</f>
        <v>14.9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39480.53</v>
      </c>
      <c r="D80" s="287">
        <f>data!R66</f>
        <v>1573788.0500000003</v>
      </c>
      <c r="E80" s="287">
        <f>data!S66</f>
        <v>383101.28</v>
      </c>
      <c r="F80" s="287">
        <f>data!T66</f>
        <v>0</v>
      </c>
      <c r="G80" s="287">
        <f>data!U66</f>
        <v>5340997.7499999991</v>
      </c>
      <c r="H80" s="287">
        <f>data!V66</f>
        <v>54134.25</v>
      </c>
      <c r="I80" s="287">
        <f>data!W66</f>
        <v>120334.55</v>
      </c>
    </row>
    <row r="81" ht="20.1" customHeight="1">
      <c r="A81" s="279">
        <v>12</v>
      </c>
      <c r="B81" s="287" t="s">
        <v>16</v>
      </c>
      <c r="C81" s="287">
        <f>data!Q67</f>
        <v>26532</v>
      </c>
      <c r="D81" s="287">
        <f>data!R67</f>
        <v>144254</v>
      </c>
      <c r="E81" s="287">
        <f>data!S67</f>
        <v>-396614</v>
      </c>
      <c r="F81" s="287">
        <f>data!T67</f>
        <v>0</v>
      </c>
      <c r="G81" s="287">
        <f>data!U67</f>
        <v>61467</v>
      </c>
      <c r="H81" s="287">
        <f>data!V67</f>
        <v>131767</v>
      </c>
      <c r="I81" s="287">
        <f>data!W67</f>
        <v>756020</v>
      </c>
    </row>
    <row r="82" ht="20.1" customHeight="1">
      <c r="A82" s="279">
        <v>13</v>
      </c>
      <c r="B82" s="287" t="s">
        <v>1010</v>
      </c>
      <c r="C82" s="287">
        <f>data!Q68</f>
        <v>606.31</v>
      </c>
      <c r="D82" s="287">
        <f>data!R68</f>
        <v>2022.63</v>
      </c>
      <c r="E82" s="287">
        <f>data!S68</f>
        <v>116120.3</v>
      </c>
      <c r="F82" s="287">
        <f>data!T68</f>
        <v>0</v>
      </c>
      <c r="G82" s="287">
        <f>data!U68</f>
        <v>68087.08</v>
      </c>
      <c r="H82" s="287">
        <f>data!V68</f>
        <v>0</v>
      </c>
      <c r="I82" s="287">
        <f>data!W68</f>
        <v>1036.49</v>
      </c>
    </row>
    <row r="83" ht="20.1" customHeight="1">
      <c r="A83" s="279">
        <v>14</v>
      </c>
      <c r="B83" s="287" t="s">
        <v>1011</v>
      </c>
      <c r="C83" s="287">
        <f>data!Q69</f>
        <v>16965.780000000002</v>
      </c>
      <c r="D83" s="287">
        <f>data!R69</f>
        <v>3284.9</v>
      </c>
      <c r="E83" s="287">
        <f>data!S69</f>
        <v>190495.05</v>
      </c>
      <c r="F83" s="287">
        <f>data!T69</f>
        <v>0</v>
      </c>
      <c r="G83" s="287">
        <f>data!U69</f>
        <v>8391.9699999999957</v>
      </c>
      <c r="H83" s="287">
        <f>data!V69</f>
        <v>730</v>
      </c>
      <c r="I83" s="287">
        <f>data!W69</f>
        <v>0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116159.82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11411115.409999998</v>
      </c>
      <c r="D85" s="287">
        <f>data!R85</f>
        <v>2654341.53</v>
      </c>
      <c r="E85" s="287">
        <f>data!S85</f>
        <v>2330389.73</v>
      </c>
      <c r="F85" s="287">
        <f>data!T85</f>
        <v>0</v>
      </c>
      <c r="G85" s="287">
        <f>data!U85</f>
        <v>16901696.429999996</v>
      </c>
      <c r="H85" s="287">
        <f>data!V85</f>
        <v>1256469.42</v>
      </c>
      <c r="I85" s="287">
        <f>data!W85</f>
        <v>1899341.3599999999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3183858</v>
      </c>
      <c r="D87" s="295">
        <f>+data!M683</f>
        <v>1048262</v>
      </c>
      <c r="E87" s="295">
        <f>+data!M684</f>
        <v>1729156</v>
      </c>
      <c r="F87" s="295">
        <f>+data!M685</f>
        <v>0</v>
      </c>
      <c r="G87" s="295">
        <f>+data!M686</f>
        <v>4829909</v>
      </c>
      <c r="H87" s="295">
        <f>+data!M687</f>
        <v>582067</v>
      </c>
      <c r="I87" s="295">
        <f>+data!M688</f>
        <v>771257</v>
      </c>
    </row>
    <row r="88" ht="20.1" customHeight="1">
      <c r="A88" s="279">
        <v>19</v>
      </c>
      <c r="B88" s="295" t="s">
        <v>1014</v>
      </c>
      <c r="C88" s="287">
        <f>data!Q87</f>
        <v>19730314.859999996</v>
      </c>
      <c r="D88" s="287">
        <f>data!R87</f>
        <v>25410114.11</v>
      </c>
      <c r="E88" s="287">
        <f>data!S87</f>
        <v>0</v>
      </c>
      <c r="F88" s="287">
        <f>data!T87</f>
        <v>0</v>
      </c>
      <c r="G88" s="287">
        <f>data!U87</f>
        <v>80669316.9</v>
      </c>
      <c r="H88" s="287">
        <f>data!V87</f>
        <v>25338166.79</v>
      </c>
      <c r="I88" s="287">
        <f>data!W87</f>
        <v>8750551.2800000012</v>
      </c>
    </row>
    <row r="89" ht="20.1" customHeight="1">
      <c r="A89" s="279">
        <v>20</v>
      </c>
      <c r="B89" s="295" t="s">
        <v>1015</v>
      </c>
      <c r="C89" s="287">
        <f>data!Q88</f>
        <v>47987745.780000009</v>
      </c>
      <c r="D89" s="287">
        <f>data!R88</f>
        <v>32982589.95</v>
      </c>
      <c r="E89" s="287">
        <f>data!S88</f>
        <v>0</v>
      </c>
      <c r="F89" s="287">
        <f>data!T88</f>
        <v>0</v>
      </c>
      <c r="G89" s="287">
        <f>data!U88</f>
        <v>43588572.89</v>
      </c>
      <c r="H89" s="287">
        <f>data!V88</f>
        <v>11140926.11</v>
      </c>
      <c r="I89" s="287">
        <f>data!W88</f>
        <v>22305419.62</v>
      </c>
    </row>
    <row r="90" ht="20.1" customHeight="1">
      <c r="A90" s="279">
        <v>21</v>
      </c>
      <c r="B90" s="295" t="s">
        <v>1016</v>
      </c>
      <c r="C90" s="287">
        <f>data!Q89</f>
        <v>67718060.64</v>
      </c>
      <c r="D90" s="287">
        <f>data!R89</f>
        <v>58392704.06</v>
      </c>
      <c r="E90" s="287">
        <f>data!S89</f>
        <v>0</v>
      </c>
      <c r="F90" s="287">
        <f>data!T89</f>
        <v>0</v>
      </c>
      <c r="G90" s="287">
        <f>data!U89</f>
        <v>124257889.79</v>
      </c>
      <c r="H90" s="287">
        <f>data!V89</f>
        <v>36479092.9</v>
      </c>
      <c r="I90" s="287">
        <f>data!W89</f>
        <v>31055970.900000002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0</v>
      </c>
      <c r="D92" s="287">
        <f>data!R90</f>
        <v>0</v>
      </c>
      <c r="E92" s="287">
        <f>data!S90</f>
        <v>16747</v>
      </c>
      <c r="F92" s="287">
        <f>data!T90</f>
        <v>0</v>
      </c>
      <c r="G92" s="287">
        <f>data!U90</f>
        <v>9388</v>
      </c>
      <c r="H92" s="287">
        <f>data!V90</f>
        <v>0</v>
      </c>
      <c r="I92" s="287">
        <f>data!W90</f>
        <v>1920</v>
      </c>
    </row>
    <row r="93" ht="20.1" customHeight="1">
      <c r="A93" s="279">
        <v>23</v>
      </c>
      <c r="B93" s="287" t="s">
        <v>1019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0</v>
      </c>
      <c r="D94" s="287">
        <f>data!R92</f>
        <v>0</v>
      </c>
      <c r="E94" s="287">
        <f>data!S92</f>
        <v>4648.4476738982348</v>
      </c>
      <c r="F94" s="287">
        <f>data!T92</f>
        <v>0</v>
      </c>
      <c r="G94" s="287">
        <f>data!U92</f>
        <v>2605.8175650896651</v>
      </c>
      <c r="H94" s="287">
        <f>data!V92</f>
        <v>0</v>
      </c>
      <c r="I94" s="287">
        <f>data!W92</f>
        <v>532.93243768344246</v>
      </c>
    </row>
    <row r="95" ht="20.1" customHeight="1">
      <c r="A95" s="279">
        <v>25</v>
      </c>
      <c r="B95" s="287" t="s">
        <v>1021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49.20056249999999</v>
      </c>
      <c r="D96" s="294">
        <f>data!R94</f>
        <v>1.2616971153846155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St Michael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0</v>
      </c>
      <c r="D105" s="287">
        <f>data!Y59</f>
        <v>369773.0084</v>
      </c>
      <c r="E105" s="287">
        <f>data!Z59</f>
        <v>0</v>
      </c>
      <c r="F105" s="287">
        <f>data!AA59</f>
        <v>46831.7834</v>
      </c>
      <c r="G105" s="299"/>
      <c r="H105" s="287">
        <f>data!AC59</f>
        <v>171876.889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0</v>
      </c>
      <c r="D106" s="294">
        <f>data!Y60</f>
        <v>115.66258173076925</v>
      </c>
      <c r="E106" s="294">
        <f>data!Z60</f>
        <v>22.828740384615383</v>
      </c>
      <c r="F106" s="294">
        <f>data!AA60</f>
        <v>4.5781201923076926</v>
      </c>
      <c r="G106" s="294">
        <f>data!AB60</f>
        <v>54.028596153846152</v>
      </c>
      <c r="H106" s="294">
        <f>data!AC60</f>
        <v>42.974798076923086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0</v>
      </c>
      <c r="D107" s="287">
        <f>data!Y61</f>
        <v>11342036.189999998</v>
      </c>
      <c r="E107" s="287">
        <f>data!Z61</f>
        <v>2415683.48</v>
      </c>
      <c r="F107" s="287">
        <f>data!AA61</f>
        <v>612601.22000000009</v>
      </c>
      <c r="G107" s="287">
        <f>data!AB61</f>
        <v>6549531.88</v>
      </c>
      <c r="H107" s="287">
        <f>data!AC61</f>
        <v>4669741.4799999995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0</v>
      </c>
      <c r="D108" s="287">
        <f>data!Y62</f>
        <v>1912489</v>
      </c>
      <c r="E108" s="287">
        <f>data!Z62</f>
        <v>407203</v>
      </c>
      <c r="F108" s="287">
        <f>data!AA62</f>
        <v>103229</v>
      </c>
      <c r="G108" s="287">
        <f>data!AB62</f>
        <v>1103654</v>
      </c>
      <c r="H108" s="287">
        <f>data!AC62</f>
        <v>786893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13200</v>
      </c>
      <c r="E109" s="287">
        <f>data!Z63</f>
        <v>56975</v>
      </c>
      <c r="F109" s="287">
        <f>data!AA63</f>
        <v>0</v>
      </c>
      <c r="G109" s="287">
        <f>data!AB63</f>
        <v>0</v>
      </c>
      <c r="H109" s="287">
        <f>data!AC63</f>
        <v>35687.009999999995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0</v>
      </c>
      <c r="D110" s="287">
        <f>data!Y64</f>
        <v>1312114.8</v>
      </c>
      <c r="E110" s="287">
        <f>data!Z64</f>
        <v>92787.199999999983</v>
      </c>
      <c r="F110" s="287">
        <f>data!AA64</f>
        <v>662923.68</v>
      </c>
      <c r="G110" s="287">
        <f>data!AB64</f>
        <v>18052526.410000011</v>
      </c>
      <c r="H110" s="287">
        <f>data!AC64</f>
        <v>807624.76000000024</v>
      </c>
      <c r="I110" s="287">
        <f>data!AD64</f>
        <v>23158.84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295140.58999999997</v>
      </c>
      <c r="E111" s="287">
        <f>data!Z65</f>
        <v>0</v>
      </c>
      <c r="F111" s="287">
        <f>data!AA65</f>
        <v>0</v>
      </c>
      <c r="G111" s="287">
        <f>data!AB65</f>
        <v>2047.4900000000002</v>
      </c>
      <c r="H111" s="287">
        <f>data!AC65</f>
        <v>3619.8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0</v>
      </c>
      <c r="D112" s="287">
        <f>data!Y66</f>
        <v>2024461.5</v>
      </c>
      <c r="E112" s="287">
        <f>data!Z66</f>
        <v>1667707.2699999996</v>
      </c>
      <c r="F112" s="287">
        <f>data!AA66</f>
        <v>100842.13</v>
      </c>
      <c r="G112" s="287">
        <f>data!AB66</f>
        <v>562712.08</v>
      </c>
      <c r="H112" s="287">
        <f>data!AC66</f>
        <v>560786.84000000008</v>
      </c>
      <c r="I112" s="287">
        <f>data!AD66</f>
        <v>1254103.29</v>
      </c>
    </row>
    <row r="113" ht="20.1" customHeight="1">
      <c r="A113" s="279">
        <v>12</v>
      </c>
      <c r="B113" s="287" t="s">
        <v>16</v>
      </c>
      <c r="C113" s="287">
        <f>data!X67</f>
        <v>0</v>
      </c>
      <c r="D113" s="287">
        <f>data!Y67</f>
        <v>3336527</v>
      </c>
      <c r="E113" s="287">
        <f>data!Z67</f>
        <v>31754</v>
      </c>
      <c r="F113" s="287">
        <f>data!AA67</f>
        <v>1390631</v>
      </c>
      <c r="G113" s="287">
        <f>data!AB67</f>
        <v>698571</v>
      </c>
      <c r="H113" s="287">
        <f>data!AC67</f>
        <v>994714</v>
      </c>
      <c r="I113" s="287">
        <f>data!AD67</f>
        <v>44504</v>
      </c>
    </row>
    <row r="114" ht="20.1" customHeight="1">
      <c r="A114" s="279">
        <v>13</v>
      </c>
      <c r="B114" s="287" t="s">
        <v>1010</v>
      </c>
      <c r="C114" s="287">
        <f>data!X68</f>
        <v>0</v>
      </c>
      <c r="D114" s="287">
        <f>data!Y68</f>
        <v>1097884.9500000002</v>
      </c>
      <c r="E114" s="287">
        <f>data!Z68</f>
        <v>1100.9299999999998</v>
      </c>
      <c r="F114" s="287">
        <f>data!AA68</f>
        <v>33.05</v>
      </c>
      <c r="G114" s="287">
        <f>data!AB68</f>
        <v>38665.51</v>
      </c>
      <c r="H114" s="287">
        <f>data!AC68</f>
        <v>210732.84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0</v>
      </c>
      <c r="D115" s="287">
        <f>data!Y69</f>
        <v>27395.009999999987</v>
      </c>
      <c r="E115" s="287">
        <f>data!Z69</f>
        <v>1852.62</v>
      </c>
      <c r="F115" s="287">
        <f>data!AA69</f>
        <v>37.46</v>
      </c>
      <c r="G115" s="287">
        <f>data!AB69</f>
        <v>209383.22</v>
      </c>
      <c r="H115" s="287">
        <f>data!AC69</f>
        <v>12732.539999999999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-62226.16</v>
      </c>
      <c r="E116" s="287">
        <f>-data!Z84</f>
        <v>0</v>
      </c>
      <c r="F116" s="287">
        <f>-data!AA84</f>
        <v>0</v>
      </c>
      <c r="G116" s="287">
        <f>-data!AB84</f>
        <v>-328768.43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0</v>
      </c>
      <c r="D117" s="287">
        <f>data!Y85</f>
        <v>21299022.88</v>
      </c>
      <c r="E117" s="287">
        <f>data!Z85</f>
        <v>4675063.4999999991</v>
      </c>
      <c r="F117" s="287">
        <f>data!AA85</f>
        <v>2870297.54</v>
      </c>
      <c r="G117" s="287">
        <f>data!AB85</f>
        <v>26888323.160000008</v>
      </c>
      <c r="H117" s="287">
        <f>data!AC85</f>
        <v>8082532.27</v>
      </c>
      <c r="I117" s="287">
        <f>data!AD85</f>
        <v>1321766.1300000001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0</v>
      </c>
      <c r="D119" s="295">
        <f>+data!M690</f>
        <v>8706907</v>
      </c>
      <c r="E119" s="295">
        <f>+data!M691</f>
        <v>2658312</v>
      </c>
      <c r="F119" s="295">
        <f>+data!M692</f>
        <v>776316</v>
      </c>
      <c r="G119" s="295">
        <f>+data!M693</f>
        <v>8633390</v>
      </c>
      <c r="H119" s="295">
        <f>+data!M694</f>
        <v>2495533</v>
      </c>
      <c r="I119" s="295">
        <f>+data!M695</f>
        <v>256623</v>
      </c>
    </row>
    <row r="120" ht="20.1" customHeight="1">
      <c r="A120" s="279">
        <v>19</v>
      </c>
      <c r="B120" s="295" t="s">
        <v>1014</v>
      </c>
      <c r="C120" s="287">
        <f>data!X87</f>
        <v>0</v>
      </c>
      <c r="D120" s="287">
        <f>data!Y87</f>
        <v>92365849.679999948</v>
      </c>
      <c r="E120" s="287">
        <f>data!Z87</f>
        <v>2410139.69</v>
      </c>
      <c r="F120" s="287">
        <f>data!AA87</f>
        <v>5326430.81</v>
      </c>
      <c r="G120" s="287">
        <f>data!AB87</f>
        <v>187680092.64000002</v>
      </c>
      <c r="H120" s="287">
        <f>data!AC87</f>
        <v>58444959.400000006</v>
      </c>
      <c r="I120" s="287">
        <f>data!AD87</f>
        <v>4939748.66</v>
      </c>
    </row>
    <row r="121" ht="20.1" customHeight="1">
      <c r="A121" s="279">
        <v>20</v>
      </c>
      <c r="B121" s="295" t="s">
        <v>1015</v>
      </c>
      <c r="C121" s="287">
        <f>data!X88</f>
        <v>0</v>
      </c>
      <c r="D121" s="287">
        <f>data!Y88</f>
        <v>211086097.12999994</v>
      </c>
      <c r="E121" s="287">
        <f>data!Z88</f>
        <v>57934823.91</v>
      </c>
      <c r="F121" s="287">
        <f>data!AA88</f>
        <v>24565434.6</v>
      </c>
      <c r="G121" s="287">
        <f>data!AB88</f>
        <v>131051642.97000001</v>
      </c>
      <c r="H121" s="287">
        <f>data!AC88</f>
        <v>21046926.739999995</v>
      </c>
      <c r="I121" s="287">
        <f>data!AD88</f>
        <v>284135.19</v>
      </c>
    </row>
    <row r="122" ht="20.1" customHeight="1">
      <c r="A122" s="279">
        <v>21</v>
      </c>
      <c r="B122" s="295" t="s">
        <v>1016</v>
      </c>
      <c r="C122" s="287">
        <f>data!X89</f>
        <v>0</v>
      </c>
      <c r="D122" s="287">
        <f>data!Y89</f>
        <v>303451946.80999988</v>
      </c>
      <c r="E122" s="287">
        <f>data!Z89</f>
        <v>60344963.599999994</v>
      </c>
      <c r="F122" s="287">
        <f>data!AA89</f>
        <v>29891865.41</v>
      </c>
      <c r="G122" s="287">
        <f>data!AB89</f>
        <v>318731735.61</v>
      </c>
      <c r="H122" s="287">
        <f>data!AC89</f>
        <v>79491886.14</v>
      </c>
      <c r="I122" s="287">
        <f>data!AD89</f>
        <v>5223883.8500000006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0</v>
      </c>
      <c r="D124" s="287">
        <f>data!Y90</f>
        <v>26723</v>
      </c>
      <c r="E124" s="287">
        <f>data!Z90</f>
        <v>15700</v>
      </c>
      <c r="F124" s="287">
        <f>data!AA90</f>
        <v>0</v>
      </c>
      <c r="G124" s="287">
        <f>data!AB90</f>
        <v>6182</v>
      </c>
      <c r="H124" s="287">
        <f>data!AC90</f>
        <v>4586</v>
      </c>
      <c r="I124" s="287">
        <f>data!AD90</f>
        <v>0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0</v>
      </c>
      <c r="D126" s="287">
        <f>data!Y92</f>
        <v>7417.4757980284539</v>
      </c>
      <c r="E126" s="287">
        <f>data!Z92</f>
        <v>4357.8329539739816</v>
      </c>
      <c r="F126" s="287">
        <f>data!AA92</f>
        <v>0</v>
      </c>
      <c r="G126" s="287">
        <f>data!AB92</f>
        <v>1715.9314217495005</v>
      </c>
      <c r="H126" s="287">
        <f>data!AC92</f>
        <v>1272.931332925139</v>
      </c>
      <c r="I126" s="287">
        <f>data!AD92</f>
        <v>0</v>
      </c>
    </row>
    <row r="127" ht="20.1" customHeight="1">
      <c r="A127" s="279">
        <v>25</v>
      </c>
      <c r="B127" s="287" t="s">
        <v>1021</v>
      </c>
      <c r="C127" s="287">
        <f>data!X93</f>
        <v>0</v>
      </c>
      <c r="D127" s="287">
        <f>data!Y93</f>
        <v>181106.94999999998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3.4130961538461535</v>
      </c>
      <c r="E128" s="294">
        <f>data!Z94</f>
        <v>2.7187259615384614</v>
      </c>
      <c r="F128" s="294">
        <f>data!AA94</f>
        <v>0.017548076923076923</v>
      </c>
      <c r="G128" s="294">
        <f>data!AB94</f>
        <v>0.0039663461538461536</v>
      </c>
      <c r="H128" s="294">
        <f>data!AC94</f>
        <v>1.7402644230769231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St Michael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108726.2721</v>
      </c>
      <c r="D137" s="287">
        <f>data!AF59</f>
        <v>0</v>
      </c>
      <c r="E137" s="287">
        <f>data!AG59</f>
        <v>70124</v>
      </c>
      <c r="F137" s="287">
        <f>data!AH59</f>
        <v>0</v>
      </c>
      <c r="G137" s="287">
        <f>data!AI59</f>
        <v>0</v>
      </c>
      <c r="H137" s="287">
        <f>data!AJ59</f>
        <v>495885.54</v>
      </c>
      <c r="I137" s="287">
        <f>data!AK59</f>
        <v>33178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26.732317307692313</v>
      </c>
      <c r="D138" s="294">
        <f>data!AF60</f>
        <v>0</v>
      </c>
      <c r="E138" s="294">
        <f>data!AG60</f>
        <v>102.91116346153845</v>
      </c>
      <c r="F138" s="294">
        <f>data!AH60</f>
        <v>0</v>
      </c>
      <c r="G138" s="294">
        <f>data!AI60</f>
        <v>0</v>
      </c>
      <c r="H138" s="294">
        <f>data!AJ60</f>
        <v>518.16773076923084</v>
      </c>
      <c r="I138" s="294">
        <f>data!AK60</f>
        <v>8.5575384615384618</v>
      </c>
    </row>
    <row r="139" ht="20.1" customHeight="1">
      <c r="A139" s="279">
        <v>6</v>
      </c>
      <c r="B139" s="287" t="s">
        <v>263</v>
      </c>
      <c r="C139" s="287">
        <f>data!AE61</f>
        <v>2641320.1499999985</v>
      </c>
      <c r="D139" s="287">
        <f>data!AF61</f>
        <v>0</v>
      </c>
      <c r="E139" s="287">
        <f>data!AG61</f>
        <v>20602697.310000006</v>
      </c>
      <c r="F139" s="287">
        <f>data!AH61</f>
        <v>0</v>
      </c>
      <c r="G139" s="287">
        <f>data!AI61</f>
        <v>0</v>
      </c>
      <c r="H139" s="287">
        <f>data!AJ61</f>
        <v>68953752.389999971</v>
      </c>
      <c r="I139" s="287">
        <f>data!AK61</f>
        <v>894382.65</v>
      </c>
    </row>
    <row r="140" ht="20.1" customHeight="1">
      <c r="A140" s="279">
        <v>7</v>
      </c>
      <c r="B140" s="287" t="s">
        <v>11</v>
      </c>
      <c r="C140" s="287">
        <f>data!AE62</f>
        <v>445086</v>
      </c>
      <c r="D140" s="287">
        <f>data!AF62</f>
        <v>0</v>
      </c>
      <c r="E140" s="287">
        <f>data!AG62</f>
        <v>3491572</v>
      </c>
      <c r="F140" s="287">
        <f>data!AH62</f>
        <v>0</v>
      </c>
      <c r="G140" s="287">
        <f>data!AI62</f>
        <v>0</v>
      </c>
      <c r="H140" s="287">
        <f>data!AJ62</f>
        <v>11619475</v>
      </c>
      <c r="I140" s="287">
        <f>data!AK62</f>
        <v>150711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3903209.84</v>
      </c>
      <c r="F141" s="287">
        <f>data!AH63</f>
        <v>0</v>
      </c>
      <c r="G141" s="287">
        <f>data!AI63</f>
        <v>0</v>
      </c>
      <c r="H141" s="287">
        <f>data!AJ63</f>
        <v>24616567.53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27306.2</v>
      </c>
      <c r="D142" s="287">
        <f>data!AF64</f>
        <v>0</v>
      </c>
      <c r="E142" s="287">
        <f>data!AG64</f>
        <v>2104058.6300000008</v>
      </c>
      <c r="F142" s="287">
        <f>data!AH64</f>
        <v>0</v>
      </c>
      <c r="G142" s="287">
        <f>data!AI64</f>
        <v>0</v>
      </c>
      <c r="H142" s="287">
        <f>data!AJ64</f>
        <v>3717281.4800000004</v>
      </c>
      <c r="I142" s="287">
        <f>data!AK64</f>
        <v>4990.5</v>
      </c>
    </row>
    <row r="143" ht="20.1" customHeight="1">
      <c r="A143" s="279">
        <v>10</v>
      </c>
      <c r="B143" s="287" t="s">
        <v>525</v>
      </c>
      <c r="C143" s="287">
        <f>data!AE65</f>
        <v>7112.74</v>
      </c>
      <c r="D143" s="287">
        <f>data!AF65</f>
        <v>0</v>
      </c>
      <c r="E143" s="287">
        <f>data!AG65</f>
        <v>25319.089999999997</v>
      </c>
      <c r="F143" s="287">
        <f>data!AH65</f>
        <v>0</v>
      </c>
      <c r="G143" s="287">
        <f>data!AI65</f>
        <v>0</v>
      </c>
      <c r="H143" s="287">
        <f>data!AJ65</f>
        <v>849121.51</v>
      </c>
      <c r="I143" s="287">
        <f>data!AK65</f>
        <v>757.66</v>
      </c>
    </row>
    <row r="144" ht="20.1" customHeight="1">
      <c r="A144" s="279">
        <v>11</v>
      </c>
      <c r="B144" s="287" t="s">
        <v>526</v>
      </c>
      <c r="C144" s="287">
        <f>data!AE66</f>
        <v>559219.01</v>
      </c>
      <c r="D144" s="287">
        <f>data!AF66</f>
        <v>0</v>
      </c>
      <c r="E144" s="287">
        <f>data!AG66</f>
        <v>385946.03</v>
      </c>
      <c r="F144" s="287">
        <f>data!AH66</f>
        <v>0</v>
      </c>
      <c r="G144" s="287">
        <f>data!AI66</f>
        <v>0</v>
      </c>
      <c r="H144" s="287">
        <f>data!AJ66</f>
        <v>47397894.670000009</v>
      </c>
      <c r="I144" s="287">
        <f>data!AK66</f>
        <v>171267.83000000002</v>
      </c>
    </row>
    <row r="145" ht="20.1" customHeight="1">
      <c r="A145" s="279">
        <v>12</v>
      </c>
      <c r="B145" s="287" t="s">
        <v>16</v>
      </c>
      <c r="C145" s="287">
        <f>data!AE67</f>
        <v>-230574</v>
      </c>
      <c r="D145" s="287">
        <f>data!AF67</f>
        <v>0</v>
      </c>
      <c r="E145" s="287">
        <f>data!AG67</f>
        <v>-807309</v>
      </c>
      <c r="F145" s="287">
        <f>data!AH67</f>
        <v>0</v>
      </c>
      <c r="G145" s="287">
        <f>data!AI67</f>
        <v>0</v>
      </c>
      <c r="H145" s="287">
        <f>data!AJ67</f>
        <v>3886927</v>
      </c>
      <c r="I145" s="287">
        <f>data!AK67</f>
        <v>-115214</v>
      </c>
    </row>
    <row r="146" ht="20.1" customHeight="1">
      <c r="A146" s="279">
        <v>13</v>
      </c>
      <c r="B146" s="287" t="s">
        <v>1010</v>
      </c>
      <c r="C146" s="287">
        <f>data!AE68</f>
        <v>295309.10999999993</v>
      </c>
      <c r="D146" s="287">
        <f>data!AF68</f>
        <v>0</v>
      </c>
      <c r="E146" s="287">
        <f>data!AG68</f>
        <v>8459.73</v>
      </c>
      <c r="F146" s="287">
        <f>data!AH68</f>
        <v>0</v>
      </c>
      <c r="G146" s="287">
        <f>data!AI68</f>
        <v>0</v>
      </c>
      <c r="H146" s="287">
        <f>data!AJ68</f>
        <v>9794669.6199999973</v>
      </c>
      <c r="I146" s="287">
        <f>data!AK68</f>
        <v>170403.78</v>
      </c>
    </row>
    <row r="147" ht="20.1" customHeight="1">
      <c r="A147" s="279">
        <v>14</v>
      </c>
      <c r="B147" s="287" t="s">
        <v>1011</v>
      </c>
      <c r="C147" s="287">
        <f>data!AE69</f>
        <v>9760.369999999999</v>
      </c>
      <c r="D147" s="287">
        <f>data!AF69</f>
        <v>0</v>
      </c>
      <c r="E147" s="287">
        <f>data!AG69</f>
        <v>75041.720000000016</v>
      </c>
      <c r="F147" s="287">
        <f>data!AH69</f>
        <v>0</v>
      </c>
      <c r="G147" s="287">
        <f>data!AI69</f>
        <v>0</v>
      </c>
      <c r="H147" s="287">
        <f>data!AJ69</f>
        <v>-423091.74999999977</v>
      </c>
      <c r="I147" s="287">
        <f>data!AK69</f>
        <v>1646.4199999999999</v>
      </c>
    </row>
    <row r="148" ht="20.1" customHeight="1">
      <c r="A148" s="279">
        <v>15</v>
      </c>
      <c r="B148" s="287" t="s">
        <v>284</v>
      </c>
      <c r="C148" s="287">
        <f>-data!AE84</f>
        <v>-1229.32</v>
      </c>
      <c r="D148" s="287">
        <f>-data!AF84</f>
        <v>0</v>
      </c>
      <c r="E148" s="287">
        <f>-data!AG84</f>
        <v>-78220.8</v>
      </c>
      <c r="F148" s="287">
        <f>-data!AH84</f>
        <v>0</v>
      </c>
      <c r="G148" s="287">
        <f>-data!AI84</f>
        <v>0</v>
      </c>
      <c r="H148" s="287">
        <f>-data!AJ84</f>
        <v>-3713220.0100000007</v>
      </c>
      <c r="I148" s="287">
        <f>-data!AK84</f>
        <v>-389</v>
      </c>
    </row>
    <row r="149" ht="20.1" customHeight="1">
      <c r="A149" s="279">
        <v>16</v>
      </c>
      <c r="B149" s="295" t="s">
        <v>1012</v>
      </c>
      <c r="C149" s="287">
        <f>data!AE85</f>
        <v>3753310.2599999988</v>
      </c>
      <c r="D149" s="287">
        <f>data!AF85</f>
        <v>0</v>
      </c>
      <c r="E149" s="287">
        <f>data!AG85</f>
        <v>29710774.550000008</v>
      </c>
      <c r="F149" s="287">
        <f>data!AH85</f>
        <v>0</v>
      </c>
      <c r="G149" s="287">
        <f>data!AI85</f>
        <v>0</v>
      </c>
      <c r="H149" s="287">
        <f>data!AJ85</f>
        <v>166699377.44</v>
      </c>
      <c r="I149" s="287">
        <f>data!AK85</f>
        <v>1278556.8399999999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1539489</v>
      </c>
      <c r="D151" s="295">
        <f>+data!M697</f>
        <v>0</v>
      </c>
      <c r="E151" s="295">
        <f>+data!M698</f>
        <v>14065067</v>
      </c>
      <c r="F151" s="295">
        <f>+data!M699</f>
        <v>0</v>
      </c>
      <c r="G151" s="295">
        <f>+data!M700</f>
        <v>0</v>
      </c>
      <c r="H151" s="295">
        <f>+data!M701</f>
        <v>33391724</v>
      </c>
      <c r="I151" s="295">
        <f>+data!M702</f>
        <v>660097</v>
      </c>
    </row>
    <row r="152" ht="20.1" customHeight="1">
      <c r="A152" s="279">
        <v>19</v>
      </c>
      <c r="B152" s="295" t="s">
        <v>1014</v>
      </c>
      <c r="C152" s="287">
        <f>data!AE87</f>
        <v>6338119.02</v>
      </c>
      <c r="D152" s="287">
        <f>data!AF87</f>
        <v>0</v>
      </c>
      <c r="E152" s="287">
        <f>data!AG87</f>
        <v>63979916.83</v>
      </c>
      <c r="F152" s="287">
        <f>data!AH87</f>
        <v>0</v>
      </c>
      <c r="G152" s="287">
        <f>data!AI87</f>
        <v>0</v>
      </c>
      <c r="H152" s="287">
        <f>data!AJ87</f>
        <v>1286161.6399999997</v>
      </c>
      <c r="I152" s="287">
        <f>data!AK87</f>
        <v>4571626.7</v>
      </c>
    </row>
    <row r="153" ht="20.1" customHeight="1">
      <c r="A153" s="279">
        <v>20</v>
      </c>
      <c r="B153" s="295" t="s">
        <v>1015</v>
      </c>
      <c r="C153" s="287">
        <f>data!AE88</f>
        <v>10656845.149999997</v>
      </c>
      <c r="D153" s="287">
        <f>data!AF88</f>
        <v>0</v>
      </c>
      <c r="E153" s="287">
        <f>data!AG88</f>
        <v>213511691.14</v>
      </c>
      <c r="F153" s="287">
        <f>data!AH88</f>
        <v>0</v>
      </c>
      <c r="G153" s="287">
        <f>data!AI88</f>
        <v>0</v>
      </c>
      <c r="H153" s="287">
        <f>data!AJ88</f>
        <v>290028861.33</v>
      </c>
      <c r="I153" s="287">
        <f>data!AK88</f>
        <v>3634195.8</v>
      </c>
    </row>
    <row r="154" ht="20.1" customHeight="1">
      <c r="A154" s="279">
        <v>21</v>
      </c>
      <c r="B154" s="295" t="s">
        <v>1016</v>
      </c>
      <c r="C154" s="287">
        <f>data!AE89</f>
        <v>16994964.169999994</v>
      </c>
      <c r="D154" s="287">
        <f>data!AF89</f>
        <v>0</v>
      </c>
      <c r="E154" s="287">
        <f>data!AG89</f>
        <v>277491607.96999997</v>
      </c>
      <c r="F154" s="287">
        <f>data!AH89</f>
        <v>0</v>
      </c>
      <c r="G154" s="287">
        <f>data!AI89</f>
        <v>0</v>
      </c>
      <c r="H154" s="287">
        <f>data!AJ89</f>
        <v>291315022.96999997</v>
      </c>
      <c r="I154" s="287">
        <f>data!AK89</f>
        <v>8205822.5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9720</v>
      </c>
      <c r="D156" s="287">
        <f>data!AF90</f>
        <v>0</v>
      </c>
      <c r="E156" s="287">
        <f>data!AG90</f>
        <v>60759</v>
      </c>
      <c r="F156" s="287">
        <f>data!AH90</f>
        <v>0</v>
      </c>
      <c r="G156" s="287">
        <f>data!AI90</f>
        <v>0</v>
      </c>
      <c r="H156" s="287">
        <f>data!AJ90</f>
        <v>47083.541168638265</v>
      </c>
      <c r="I156" s="287">
        <f>data!AK90</f>
        <v>4680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21969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2697.9704657724269</v>
      </c>
      <c r="D158" s="287">
        <f>data!AF92</f>
        <v>0</v>
      </c>
      <c r="E158" s="287">
        <f>data!AG92</f>
        <v>16864.81353187931</v>
      </c>
      <c r="F158" s="287">
        <f>data!AH92</f>
        <v>0</v>
      </c>
      <c r="G158" s="287">
        <f>data!AI92</f>
        <v>0</v>
      </c>
      <c r="H158" s="287">
        <f>data!AJ92</f>
        <v>13068.930400922453</v>
      </c>
      <c r="I158" s="287">
        <f>data!AK92</f>
        <v>1299.0228168533909</v>
      </c>
    </row>
    <row r="159" ht="20.1" customHeight="1">
      <c r="A159" s="279">
        <v>25</v>
      </c>
      <c r="B159" s="287" t="s">
        <v>1021</v>
      </c>
      <c r="C159" s="287">
        <f>data!AE93</f>
        <v>2079.65</v>
      </c>
      <c r="D159" s="287">
        <f>data!AF93</f>
        <v>0</v>
      </c>
      <c r="E159" s="287">
        <f>data!AG93</f>
        <v>559204.88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68.74650961538461</v>
      </c>
      <c r="F160" s="294">
        <f>data!AH94</f>
        <v>0</v>
      </c>
      <c r="G160" s="294">
        <f>data!AI94</f>
        <v>0</v>
      </c>
      <c r="H160" s="294">
        <f>data!AJ94</f>
        <v>67.4109951923077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St Michael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7896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703518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4.66808173076923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91.051552884615376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529547.77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7354737.9399999995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89234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1240134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12750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9747.21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39030897.360000022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9978.19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112941.77000000002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2118360.42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-37912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-1677851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176223.13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399762.51999999996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798.2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17282.170000000002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873346.49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48151632.840000026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303591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20398422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2044996.91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1596887.4100000004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2274112.3099999996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434749631.43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4319109.22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436346518.84000003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1540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80386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427.45622605859444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22312.659862302709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34.067826923076929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St Michael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256436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42.554298076923075</v>
      </c>
      <c r="G202" s="294">
        <f>data!AW60</f>
        <v>0</v>
      </c>
      <c r="H202" s="294">
        <f>data!AX60</f>
        <v>0</v>
      </c>
      <c r="I202" s="294">
        <f>data!AY60</f>
        <v>85.406288461538466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3456782.2600000007</v>
      </c>
      <c r="G203" s="287">
        <f>data!AW61</f>
        <v>0</v>
      </c>
      <c r="H203" s="287">
        <f>data!AX61</f>
        <v>0</v>
      </c>
      <c r="I203" s="287">
        <f>data!AY61</f>
        <v>4115540.7999999989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582499</v>
      </c>
      <c r="G204" s="287">
        <f>data!AW62</f>
        <v>0</v>
      </c>
      <c r="H204" s="287">
        <f>data!AX62</f>
        <v>0</v>
      </c>
      <c r="I204" s="287">
        <f>data!AY62</f>
        <v>696892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-37259.21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277650.77</v>
      </c>
      <c r="G206" s="287">
        <f>data!AW64</f>
        <v>0</v>
      </c>
      <c r="H206" s="287">
        <f>data!AX64</f>
        <v>0</v>
      </c>
      <c r="I206" s="287">
        <f>data!AY64</f>
        <v>1537489.6200000003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202.95</v>
      </c>
      <c r="G207" s="287">
        <f>data!AW65</f>
        <v>0</v>
      </c>
      <c r="H207" s="287">
        <f>data!AX65</f>
        <v>0</v>
      </c>
      <c r="I207" s="287">
        <f>data!AY65</f>
        <v>179.36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1038267.57</v>
      </c>
      <c r="G208" s="287">
        <f>data!AW66</f>
        <v>0</v>
      </c>
      <c r="H208" s="287">
        <f>data!AX66</f>
        <v>0</v>
      </c>
      <c r="I208" s="287">
        <f>data!AY66</f>
        <v>337086.40999999992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96402</v>
      </c>
      <c r="G209" s="287">
        <f>data!AW67</f>
        <v>0</v>
      </c>
      <c r="H209" s="287">
        <f>data!AX67</f>
        <v>0</v>
      </c>
      <c r="I209" s="287">
        <f>data!AY67</f>
        <v>-327948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20.6</v>
      </c>
      <c r="G210" s="287">
        <f>data!AW68</f>
        <v>0</v>
      </c>
      <c r="H210" s="287">
        <f>data!AX68</f>
        <v>0</v>
      </c>
      <c r="I210" s="287">
        <f>data!AY68</f>
        <v>35761.86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12562.309999999998</v>
      </c>
      <c r="G211" s="287">
        <f>data!AW69</f>
        <v>0</v>
      </c>
      <c r="H211" s="287">
        <f>data!AX69</f>
        <v>0</v>
      </c>
      <c r="I211" s="287">
        <f>data!AY69</f>
        <v>76637.060000000027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-2340333.07</v>
      </c>
      <c r="G212" s="287">
        <f>-data!AW84</f>
        <v>0</v>
      </c>
      <c r="H212" s="287">
        <f>-data!AX84</f>
        <v>0</v>
      </c>
      <c r="I212" s="287">
        <f>-data!AY84</f>
        <v>-1352542.96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3086795.18</v>
      </c>
      <c r="G213" s="287">
        <f>data!AW85</f>
        <v>0</v>
      </c>
      <c r="H213" s="287">
        <f>data!AX85</f>
        <v>0</v>
      </c>
      <c r="I213" s="287">
        <f>data!AY85</f>
        <v>5119096.1499999994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766129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493</v>
      </c>
      <c r="G220" s="287">
        <f>data!AW90</f>
        <v>0</v>
      </c>
      <c r="H220" s="287">
        <f>data!AX90</f>
        <v>0</v>
      </c>
      <c r="I220" s="287">
        <f>data!AY90</f>
        <v>17311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5307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136.84150613434227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63771.68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6.1413509615384614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St Michael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81597</v>
      </c>
      <c r="D233" s="287">
        <f>data!BA59</f>
        <v>0</v>
      </c>
      <c r="E233" s="299"/>
      <c r="F233" s="299"/>
      <c r="G233" s="299"/>
      <c r="H233" s="287">
        <f>data!BE59</f>
        <v>622529.54116863827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2.0333942307692308</v>
      </c>
      <c r="E234" s="294">
        <f>data!BB60</f>
        <v>0</v>
      </c>
      <c r="F234" s="294">
        <f>data!BC60</f>
        <v>13.332490384615383</v>
      </c>
      <c r="G234" s="294">
        <f>data!BD60</f>
        <v>0</v>
      </c>
      <c r="H234" s="294">
        <f>data!BE60</f>
        <v>21.836249999999996</v>
      </c>
      <c r="I234" s="294">
        <f>data!BF60</f>
        <v>66.345307692307685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95834.680000000008</v>
      </c>
      <c r="E235" s="287">
        <f>data!BB61</f>
        <v>0</v>
      </c>
      <c r="F235" s="287">
        <f>data!BC61</f>
        <v>550436.28999999992</v>
      </c>
      <c r="G235" s="287">
        <f>data!BD61</f>
        <v>0</v>
      </c>
      <c r="H235" s="287">
        <f>data!BE61</f>
        <v>1563279.0499999998</v>
      </c>
      <c r="I235" s="287">
        <f>data!BF61</f>
        <v>3487544.0199999996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16149</v>
      </c>
      <c r="E236" s="287">
        <f>data!BB62</f>
        <v>0</v>
      </c>
      <c r="F236" s="287">
        <f>data!BC62</f>
        <v>92774</v>
      </c>
      <c r="G236" s="287">
        <f>data!BD62</f>
        <v>0</v>
      </c>
      <c r="H236" s="287">
        <f>data!BE62</f>
        <v>266925</v>
      </c>
      <c r="I236" s="287">
        <f>data!BF62</f>
        <v>588197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18969.700000000004</v>
      </c>
      <c r="G238" s="287">
        <f>data!BD64</f>
        <v>0</v>
      </c>
      <c r="H238" s="287">
        <f>data!BE64</f>
        <v>200295.86999999997</v>
      </c>
      <c r="I238" s="287">
        <f>data!BF64</f>
        <v>197578.29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2931.04</v>
      </c>
      <c r="G239" s="287">
        <f>data!BD65</f>
        <v>0</v>
      </c>
      <c r="H239" s="287">
        <f>data!BE65</f>
        <v>4685961.7000000011</v>
      </c>
      <c r="I239" s="287">
        <f>data!BF65</f>
        <v>7036.6399999999994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-36.67</v>
      </c>
      <c r="E240" s="287">
        <f>data!BB66</f>
        <v>0</v>
      </c>
      <c r="F240" s="287">
        <f>data!BC66</f>
        <v>258454.59</v>
      </c>
      <c r="G240" s="287">
        <f>data!BD66</f>
        <v>0</v>
      </c>
      <c r="H240" s="287">
        <f>data!BE66</f>
        <v>11489902.670000002</v>
      </c>
      <c r="I240" s="287">
        <f>data!BF66</f>
        <v>138181.24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42690</v>
      </c>
      <c r="G241" s="287">
        <f>data!BD67</f>
        <v>-2504590</v>
      </c>
      <c r="H241" s="287">
        <f>data!BE67</f>
        <v>608919</v>
      </c>
      <c r="I241" s="287">
        <f>data!BF67</f>
        <v>-81203</v>
      </c>
    </row>
    <row r="242" ht="20.1" customHeight="1">
      <c r="A242" s="279">
        <v>13</v>
      </c>
      <c r="B242" s="287" t="s">
        <v>1010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1158.19</v>
      </c>
      <c r="G242" s="287">
        <f>data!BD68</f>
        <v>605929.01</v>
      </c>
      <c r="H242" s="287">
        <f>data!BE68</f>
        <v>691068.61</v>
      </c>
      <c r="I242" s="287">
        <f>data!BF68</f>
        <v>1132.9299999999998</v>
      </c>
    </row>
    <row r="243" ht="20.1" customHeight="1">
      <c r="A243" s="279">
        <v>14</v>
      </c>
      <c r="B243" s="287" t="s">
        <v>1011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164194.64</v>
      </c>
      <c r="I243" s="287">
        <f>data!BF69</f>
        <v>11837.82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-2395532.53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0</v>
      </c>
      <c r="D245" s="287">
        <f>data!BA85</f>
        <v>111947.01000000001</v>
      </c>
      <c r="E245" s="287">
        <f>data!BB85</f>
        <v>0</v>
      </c>
      <c r="F245" s="287">
        <f>data!BC85</f>
        <v>967413.80999999982</v>
      </c>
      <c r="G245" s="287">
        <f>data!BD85</f>
        <v>-1898660.99</v>
      </c>
      <c r="H245" s="287">
        <f>data!BE85</f>
        <v>17275014.01</v>
      </c>
      <c r="I245" s="287">
        <f>data!BF85</f>
        <v>4350304.9399999995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101737.00000000002</v>
      </c>
      <c r="H252" s="303">
        <f>data!BE90</f>
        <v>1108</v>
      </c>
      <c r="I252" s="303">
        <f>data!BF90</f>
        <v>4860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St Michael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26309.989999999998</v>
      </c>
      <c r="F270" s="287">
        <f>data!BJ64</f>
        <v>0</v>
      </c>
      <c r="G270" s="287">
        <f>data!BK64</f>
        <v>1278.24</v>
      </c>
      <c r="H270" s="287">
        <f>data!BL64</f>
        <v>19775.34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300231.49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113.55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16130276.02</v>
      </c>
      <c r="H272" s="287">
        <f>data!BL66</f>
        <v>5225273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183099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939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345.28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4748.13</v>
      </c>
      <c r="H274" s="287">
        <f>data!BL68</f>
        <v>8397.69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0</v>
      </c>
      <c r="D275" s="287">
        <f>data!BH69</f>
        <v>0</v>
      </c>
      <c r="E275" s="287">
        <f>data!BI69</f>
        <v>-377.59</v>
      </c>
      <c r="F275" s="287">
        <f>data!BJ69</f>
        <v>0</v>
      </c>
      <c r="G275" s="287">
        <f>data!BK69</f>
        <v>0</v>
      </c>
      <c r="H275" s="287">
        <f>data!BL69</f>
        <v>-0.4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-60771.68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483675.77</v>
      </c>
      <c r="D277" s="287">
        <f>data!BH85</f>
        <v>0</v>
      </c>
      <c r="E277" s="287">
        <f>data!BI85</f>
        <v>-34839.28</v>
      </c>
      <c r="F277" s="287">
        <f>data!BJ85</f>
        <v>0</v>
      </c>
      <c r="G277" s="287">
        <f>data!BK85</f>
        <v>16136302.39</v>
      </c>
      <c r="H277" s="287">
        <f>data!BL85</f>
        <v>5254498.18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0</v>
      </c>
      <c r="E286" s="303">
        <f>data!BI92</f>
        <v>0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2069.08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St Michael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76.047581730769252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7957336.3500000006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1446064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113631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240452.13999999999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21195.73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69911.84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332269.18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5388927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-89734</v>
      </c>
      <c r="I305" s="287">
        <f>data!BT67</f>
        <v>0</v>
      </c>
    </row>
    <row r="306" ht="20.1" customHeight="1">
      <c r="A306" s="279">
        <v>13</v>
      </c>
      <c r="B306" s="287" t="s">
        <v>1010</v>
      </c>
      <c r="C306" s="287">
        <f>data!BN68</f>
        <v>1087876.3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692574.81000000029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140651.43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-523184.31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16692227.31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275478.16000000003</v>
      </c>
      <c r="H309" s="287">
        <f>data!BS85</f>
        <v>-89734</v>
      </c>
      <c r="I309" s="287">
        <f>data!BT85</f>
        <v>0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22618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3645</v>
      </c>
      <c r="I316" s="303">
        <f>data!BT90</f>
        <v>0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1011.7389246646602</v>
      </c>
      <c r="I318" s="303">
        <f>data!BT92</f>
        <v>0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St Michael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30.324110576923076</v>
      </c>
      <c r="H330" s="294">
        <f>data!BZ60</f>
        <v>24.557807692307691</v>
      </c>
      <c r="I330" s="294">
        <f>data!CA60</f>
        <v>7.0576875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144.66</v>
      </c>
      <c r="E331" s="306">
        <f>data!BW61</f>
        <v>0</v>
      </c>
      <c r="F331" s="306">
        <f>data!BX61</f>
        <v>0</v>
      </c>
      <c r="G331" s="306">
        <f>data!BY61</f>
        <v>3047200.0700000012</v>
      </c>
      <c r="H331" s="306">
        <f>data!BZ61</f>
        <v>2744773.8000000003</v>
      </c>
      <c r="I331" s="306">
        <f>data!CA61</f>
        <v>830510.9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24</v>
      </c>
      <c r="E332" s="306">
        <f>data!BW62</f>
        <v>0</v>
      </c>
      <c r="F332" s="306">
        <f>data!BX62</f>
        <v>0</v>
      </c>
      <c r="G332" s="306">
        <f>data!BY62</f>
        <v>540988</v>
      </c>
      <c r="H332" s="306">
        <f>data!BZ62</f>
        <v>462944</v>
      </c>
      <c r="I332" s="306">
        <f>data!CA62</f>
        <v>140769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65884.83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969.64</v>
      </c>
      <c r="E334" s="306">
        <f>data!BW64</f>
        <v>0</v>
      </c>
      <c r="F334" s="306">
        <f>data!BX64</f>
        <v>0</v>
      </c>
      <c r="G334" s="306">
        <f>data!BY64</f>
        <v>171789.68999999997</v>
      </c>
      <c r="H334" s="306">
        <f>data!BZ64</f>
        <v>930.96000000000015</v>
      </c>
      <c r="I334" s="306">
        <f>data!CA64</f>
        <v>700.99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3073.58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8362733.64</v>
      </c>
      <c r="E336" s="306">
        <f>data!BW66</f>
        <v>262.39</v>
      </c>
      <c r="F336" s="306">
        <f>data!BX66</f>
        <v>0</v>
      </c>
      <c r="G336" s="306">
        <f>data!BY66</f>
        <v>946719.34000000008</v>
      </c>
      <c r="H336" s="306">
        <f>data!BZ66</f>
        <v>0</v>
      </c>
      <c r="I336" s="306">
        <f>data!CA66</f>
        <v>375.79999999999995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1068166</v>
      </c>
      <c r="H337" s="306">
        <f>data!BZ67</f>
        <v>0</v>
      </c>
      <c r="I337" s="306">
        <f>data!CA67</f>
        <v>741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8082.67</v>
      </c>
      <c r="E338" s="306">
        <f>data!BW68</f>
        <v>0</v>
      </c>
      <c r="F338" s="306">
        <f>data!BX68</f>
        <v>0</v>
      </c>
      <c r="G338" s="306">
        <f>data!BY68</f>
        <v>8172.07</v>
      </c>
      <c r="H338" s="306">
        <f>data!BZ68</f>
        <v>0</v>
      </c>
      <c r="I338" s="306">
        <f>data!CA68</f>
        <v>31792.359999999997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0</v>
      </c>
      <c r="E339" s="306">
        <f>data!BW69</f>
        <v>14087</v>
      </c>
      <c r="F339" s="306">
        <f>data!BX69</f>
        <v>0</v>
      </c>
      <c r="G339" s="306">
        <f>data!BY69</f>
        <v>73753.549999999988</v>
      </c>
      <c r="H339" s="306">
        <f>data!BZ69</f>
        <v>4403.3</v>
      </c>
      <c r="I339" s="306">
        <f>data!CA69</f>
        <v>1035.34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-107475</v>
      </c>
      <c r="F340" s="287">
        <f>-data!BX84</f>
        <v>0</v>
      </c>
      <c r="G340" s="287">
        <f>-data!BY84</f>
        <v>-115994.37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8371954.6099999994</v>
      </c>
      <c r="E341" s="287">
        <f>data!BW85</f>
        <v>-27240.78</v>
      </c>
      <c r="F341" s="287">
        <f>data!BX85</f>
        <v>0</v>
      </c>
      <c r="G341" s="287">
        <f>data!BY85</f>
        <v>5743867.9300000016</v>
      </c>
      <c r="H341" s="287">
        <f>data!BZ85</f>
        <v>3213052.06</v>
      </c>
      <c r="I341" s="287">
        <f>data!CA85</f>
        <v>1005925.39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St Michael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-0.46438942307692305</v>
      </c>
      <c r="E362" s="309"/>
      <c r="F362" s="297"/>
      <c r="G362" s="297"/>
      <c r="H362" s="297"/>
      <c r="I362" s="310">
        <f>data!CE60</f>
        <v>2304.4251730769233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3105092.55</v>
      </c>
      <c r="E363" s="311"/>
      <c r="F363" s="311"/>
      <c r="G363" s="311"/>
      <c r="H363" s="311"/>
      <c r="I363" s="306">
        <f>data!CE61</f>
        <v>285200871.67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523236</v>
      </c>
      <c r="E364" s="311"/>
      <c r="F364" s="311"/>
      <c r="G364" s="311"/>
      <c r="H364" s="311"/>
      <c r="I364" s="306">
        <f>data!CE62</f>
        <v>48398686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1885450.49</v>
      </c>
      <c r="E365" s="311"/>
      <c r="F365" s="311"/>
      <c r="G365" s="311"/>
      <c r="H365" s="311"/>
      <c r="I365" s="306">
        <f>data!CE63</f>
        <v>43404880.01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-65402.520000000011</v>
      </c>
      <c r="E366" s="311"/>
      <c r="F366" s="311"/>
      <c r="G366" s="311"/>
      <c r="H366" s="311"/>
      <c r="I366" s="306">
        <f>data!CE64</f>
        <v>127179622.56000005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9895.54</v>
      </c>
      <c r="E367" s="311"/>
      <c r="F367" s="311"/>
      <c r="G367" s="311"/>
      <c r="H367" s="311"/>
      <c r="I367" s="306">
        <f>data!CE65</f>
        <v>6311997.3500000006</v>
      </c>
    </row>
    <row r="368" ht="20.1" customHeight="1">
      <c r="A368" s="279">
        <v>11</v>
      </c>
      <c r="B368" s="287" t="s">
        <v>526</v>
      </c>
      <c r="C368" s="306">
        <f>data!CB66</f>
        <v>112299</v>
      </c>
      <c r="D368" s="306">
        <f>data!CC66</f>
        <v>71850352.48</v>
      </c>
      <c r="E368" s="311"/>
      <c r="F368" s="311"/>
      <c r="G368" s="311"/>
      <c r="H368" s="311"/>
      <c r="I368" s="306">
        <f>data!CE66</f>
        <v>186576257.95999998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638247</v>
      </c>
      <c r="E369" s="311"/>
      <c r="F369" s="311"/>
      <c r="G369" s="311"/>
      <c r="H369" s="311"/>
      <c r="I369" s="306">
        <f>data!CE67</f>
        <v>15154727</v>
      </c>
    </row>
    <row r="370" ht="20.1" customHeight="1">
      <c r="A370" s="279">
        <v>13</v>
      </c>
      <c r="B370" s="287" t="s">
        <v>1010</v>
      </c>
      <c r="C370" s="306">
        <f>data!CB68</f>
        <v>0</v>
      </c>
      <c r="D370" s="306">
        <f>data!CC68</f>
        <v>-260604.26999999973</v>
      </c>
      <c r="E370" s="311"/>
      <c r="F370" s="311"/>
      <c r="G370" s="311"/>
      <c r="H370" s="311"/>
      <c r="I370" s="306">
        <f>data!CE68</f>
        <v>16313870.489999995</v>
      </c>
    </row>
    <row r="371" ht="20.1" customHeight="1">
      <c r="A371" s="279">
        <v>14</v>
      </c>
      <c r="B371" s="287" t="s">
        <v>1011</v>
      </c>
      <c r="C371" s="306">
        <f>data!CB69</f>
        <v>0</v>
      </c>
      <c r="D371" s="306">
        <f>data!CC69</f>
        <v>1341254.6700000018</v>
      </c>
      <c r="E371" s="306">
        <f>data!CD69</f>
        <v>22914024.089999996</v>
      </c>
      <c r="F371" s="311"/>
      <c r="G371" s="311"/>
      <c r="H371" s="311"/>
      <c r="I371" s="306">
        <f>data!CE69</f>
        <v>40149740.64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-2695411.21</v>
      </c>
      <c r="F372" s="297"/>
      <c r="G372" s="297"/>
      <c r="H372" s="297"/>
      <c r="I372" s="287">
        <f>-data!CE84</f>
        <v>-14253111.02</v>
      </c>
    </row>
    <row r="373" ht="20.1" customHeight="1">
      <c r="A373" s="279">
        <v>16</v>
      </c>
      <c r="B373" s="295" t="s">
        <v>1012</v>
      </c>
      <c r="C373" s="306">
        <f>data!CB85</f>
        <v>112299</v>
      </c>
      <c r="D373" s="306">
        <f>data!CC85</f>
        <v>79027521.940000013</v>
      </c>
      <c r="E373" s="306">
        <f>data!CD85</f>
        <v>20218612.879999995</v>
      </c>
      <c r="F373" s="311"/>
      <c r="G373" s="311"/>
      <c r="H373" s="311"/>
      <c r="I373" s="287">
        <f>data!CE85</f>
        <v>740184431.63999963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1344465065.0400002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2043274238.6800003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3387739303.72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622529.54116863827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256436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131816.27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2292160.7088251542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800.69761538461569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142</v>
      </c>
      <c r="C2" s="12" t="str">
        <f>SUBSTITUTE(LEFT(data!C98,49),",","")</f>
        <v>St Michael Medical Center</v>
      </c>
      <c r="D2" s="12" t="str">
        <f>LEFT(data!C99,49)</f>
        <v>1800 Northwest Myhre Road</v>
      </c>
      <c r="E2" s="12" t="str">
        <f>RIGHT(data!C100,100)</f>
        <v>Silverdale</v>
      </c>
      <c r="F2" s="12" t="str">
        <f>RIGHT(data!C101,100)</f>
        <v>WA</v>
      </c>
      <c r="G2" s="12" t="str">
        <f>RIGHT(data!C102,100)</f>
        <v>98383</v>
      </c>
      <c r="H2" s="12" t="str">
        <f>RIGHT(data!C103,100)</f>
        <v>Kitsap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253-588-1711</v>
      </c>
      <c r="L2" s="12" t="str">
        <f>LEFT(data!C107,49)</f>
        <v>253-588-1711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142</v>
      </c>
      <c r="B2" s="224" t="str">
        <f>RIGHT(data!C96,4)</f>
        <v>2022</v>
      </c>
      <c r="C2" s="16" t="s">
        <v>1170</v>
      </c>
      <c r="D2" s="223">
        <f>ROUND(data!C181,0)</f>
        <v>14405484</v>
      </c>
      <c r="E2" s="223">
        <f>ROUND(data!C182,0)</f>
        <v>-11949</v>
      </c>
      <c r="F2" s="223">
        <f>ROUND(data!C183,0)</f>
        <v>1706353</v>
      </c>
      <c r="G2" s="223">
        <f>ROUND(data!C184,0)</f>
        <v>15860731</v>
      </c>
      <c r="H2" s="223">
        <f>ROUND(data!C185,0)</f>
        <v>305873</v>
      </c>
      <c r="I2" s="223">
        <f>ROUND(data!C186,0)</f>
        <v>15288258</v>
      </c>
      <c r="J2" s="223">
        <f>ROUND(data!C187+data!C188,0)</f>
        <v>843935</v>
      </c>
      <c r="K2" s="223">
        <f>ROUND(data!C191,0)</f>
        <v>13368091</v>
      </c>
      <c r="L2" s="223">
        <f>ROUND(data!C192,0)</f>
        <v>2945779</v>
      </c>
      <c r="M2" s="223">
        <f>ROUND(data!C195,0)</f>
        <v>5331336</v>
      </c>
      <c r="N2" s="223">
        <f>ROUND(data!C196,0)</f>
        <v>-2573479</v>
      </c>
      <c r="O2" s="223">
        <f>ROUND(data!C199,0)</f>
        <v>293657</v>
      </c>
      <c r="P2" s="223">
        <f>ROUND(data!C200,0)</f>
        <v>16097417</v>
      </c>
      <c r="Q2" s="223">
        <f>ROUND(data!C201,0)</f>
        <v>0</v>
      </c>
      <c r="R2" s="223">
        <f>ROUND(data!C204,0)</f>
        <v>0</v>
      </c>
      <c r="S2" s="223">
        <f>ROUND(data!C205,0)</f>
        <v>3765094</v>
      </c>
      <c r="T2" s="223">
        <f>ROUND(data!B211,0)</f>
        <v>6695719</v>
      </c>
      <c r="U2" s="223">
        <f>ROUND(data!C211,0)</f>
        <v>27089799</v>
      </c>
      <c r="V2" s="223">
        <f>ROUND(data!D211,0)</f>
        <v>0</v>
      </c>
      <c r="W2" s="223">
        <f>ROUND(data!B212,0)</f>
        <v>2153149</v>
      </c>
      <c r="X2" s="223">
        <f>ROUND(data!C212,0)</f>
        <v>0</v>
      </c>
      <c r="Y2" s="223">
        <f>ROUND(data!D212,0)</f>
        <v>0</v>
      </c>
      <c r="Z2" s="223">
        <f>ROUND(data!B213,0)</f>
        <v>99727204</v>
      </c>
      <c r="AA2" s="223">
        <f>ROUND(data!C213,0)</f>
        <v>488620661</v>
      </c>
      <c r="AB2" s="223">
        <f>ROUND(data!D213,0)</f>
        <v>0</v>
      </c>
      <c r="AC2" s="223">
        <f>ROUND(data!B214,0)</f>
        <v>8861911</v>
      </c>
      <c r="AD2" s="223">
        <f>ROUND(data!C214,0)</f>
        <v>-49344</v>
      </c>
      <c r="AE2" s="223">
        <f>ROUND(data!D214,0)</f>
        <v>0</v>
      </c>
      <c r="AF2" s="223">
        <f>ROUND(data!B215,0)</f>
        <v>4769441</v>
      </c>
      <c r="AG2" s="223">
        <f>ROUND(data!C215,0)</f>
        <v>3478372</v>
      </c>
      <c r="AH2" s="223">
        <f>ROUND(data!D215,0)</f>
        <v>0</v>
      </c>
      <c r="AI2" s="223">
        <f>ROUND(data!B216,0)</f>
        <v>149076690</v>
      </c>
      <c r="AJ2" s="223">
        <f>ROUND(data!C216,0)</f>
        <v>87514812</v>
      </c>
      <c r="AK2" s="223">
        <f>ROUND(data!D216,0)</f>
        <v>2580410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34205828</v>
      </c>
      <c r="AP2" s="223">
        <f>ROUND(data!C218,0)</f>
        <v>-953687</v>
      </c>
      <c r="AQ2" s="223">
        <f>ROUND(data!D218,0)</f>
        <v>3902</v>
      </c>
      <c r="AR2" s="223">
        <f>ROUND(data!B219,0)</f>
        <v>605271627</v>
      </c>
      <c r="AS2" s="223">
        <f>ROUND(data!C219,0)</f>
        <v>-602887878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1197155</v>
      </c>
      <c r="AY2" s="223">
        <f>ROUND(data!C225,0)</f>
        <v>30117</v>
      </c>
      <c r="AZ2" s="223">
        <f>ROUND(data!D225,0)</f>
        <v>0</v>
      </c>
      <c r="BA2" s="223">
        <f>ROUND(data!B226,0)</f>
        <v>77633662</v>
      </c>
      <c r="BB2" s="223">
        <f>ROUND(data!C226,0)</f>
        <v>9716669</v>
      </c>
      <c r="BC2" s="223">
        <f>ROUND(data!D226,0)</f>
        <v>0</v>
      </c>
      <c r="BD2" s="223">
        <f>ROUND(data!B227,0)</f>
        <v>7674327</v>
      </c>
      <c r="BE2" s="223">
        <f>ROUND(data!C227,0)</f>
        <v>-763814</v>
      </c>
      <c r="BF2" s="223">
        <f>ROUND(data!D227,0)</f>
        <v>15847</v>
      </c>
      <c r="BG2" s="223">
        <f>ROUND(data!B228,0)</f>
        <v>4244575</v>
      </c>
      <c r="BH2" s="223">
        <f>ROUND(data!C228,0)</f>
        <v>420568</v>
      </c>
      <c r="BI2" s="223">
        <f>ROUND(data!D228,0)</f>
        <v>23112</v>
      </c>
      <c r="BJ2" s="223">
        <f>ROUND(data!B229,0)</f>
        <v>155858684</v>
      </c>
      <c r="BK2" s="223">
        <f>ROUND(data!C229,0)</f>
        <v>3843487</v>
      </c>
      <c r="BL2" s="223">
        <f>ROUND(data!D229,0)</f>
        <v>12000880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22640554</v>
      </c>
      <c r="BQ2" s="223">
        <f>ROUND(data!C231,0)</f>
        <v>1907699</v>
      </c>
      <c r="BR2" s="223">
        <f>ROUND(data!D231,0)</f>
        <v>647996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1514056537</v>
      </c>
      <c r="BW2" s="223">
        <f>ROUND(data!C240,0)</f>
        <v>428728521</v>
      </c>
      <c r="BX2" s="223">
        <f>ROUND(data!C241,0)</f>
        <v>0</v>
      </c>
      <c r="BY2" s="223">
        <f>ROUND(data!C242,0)</f>
        <v>232867138</v>
      </c>
      <c r="BZ2" s="223">
        <f>ROUND(data!C243,0)</f>
        <v>376184262</v>
      </c>
      <c r="CA2" s="223">
        <f>ROUND(data!C244,0)</f>
        <v>31778503</v>
      </c>
      <c r="CB2" s="223">
        <f>ROUND(data!C247,0)</f>
        <v>10682</v>
      </c>
      <c r="CC2" s="223">
        <f>ROUND(data!C249,0)</f>
        <v>4534159</v>
      </c>
      <c r="CD2" s="223">
        <f>ROUND(data!C250,0)</f>
        <v>10130408</v>
      </c>
      <c r="CE2" s="223">
        <f>ROUND(data!C254+data!C255,0)</f>
        <v>16369392</v>
      </c>
      <c r="CF2" s="223">
        <f>data!D237</f>
        <v>14316457.84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142</v>
      </c>
      <c r="B2" s="16" t="str">
        <f>RIGHT(data!C96,4)</f>
        <v>2022</v>
      </c>
      <c r="C2" s="16" t="s">
        <v>1170</v>
      </c>
      <c r="D2" s="222">
        <f>ROUND(data!C127,0)</f>
        <v>12590</v>
      </c>
      <c r="E2" s="222">
        <f>ROUND(data!C128,0)</f>
        <v>0</v>
      </c>
      <c r="F2" s="222">
        <f>ROUND(data!C129,0)</f>
        <v>0</v>
      </c>
      <c r="G2" s="222">
        <f>ROUND(data!C130,0)</f>
        <v>1925</v>
      </c>
      <c r="H2" s="222">
        <f>ROUND(data!D127,0)</f>
        <v>73795</v>
      </c>
      <c r="I2" s="222">
        <f>ROUND(data!D128,0)</f>
        <v>0</v>
      </c>
      <c r="J2" s="222">
        <f>ROUND(data!D129,0)</f>
        <v>0</v>
      </c>
      <c r="K2" s="222">
        <f>ROUND(data!D130,0)</f>
        <v>2978</v>
      </c>
      <c r="L2" s="222">
        <f>ROUND(data!C132,0)</f>
        <v>24</v>
      </c>
      <c r="M2" s="222">
        <f>ROUND(data!C133,0)</f>
        <v>24</v>
      </c>
      <c r="N2" s="222">
        <f>ROUND(data!C134,0)</f>
        <v>156</v>
      </c>
      <c r="O2" s="222">
        <f>ROUND(data!C135,0)</f>
        <v>0</v>
      </c>
      <c r="P2" s="222">
        <f>ROUND(data!C136,0)</f>
        <v>34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10</v>
      </c>
      <c r="W2" s="222">
        <f>ROUND(data!C144,0)</f>
        <v>336</v>
      </c>
      <c r="X2" s="222">
        <f>ROUND(data!C145,0)</f>
        <v>22</v>
      </c>
      <c r="Y2" s="222">
        <f>ROUND(data!B154,0)</f>
        <v>6473</v>
      </c>
      <c r="Z2" s="222">
        <f>ROUND(data!B155,0)</f>
        <v>45257</v>
      </c>
      <c r="AA2" s="222">
        <f>ROUND(data!B156,0)</f>
        <v>0</v>
      </c>
      <c r="AB2" s="222">
        <f>ROUND(data!B157,0)</f>
        <v>813455506</v>
      </c>
      <c r="AC2" s="222">
        <f>ROUND(data!B158,0)</f>
        <v>992592733</v>
      </c>
      <c r="AD2" s="222">
        <f>ROUND(data!C154,0)</f>
        <v>2271</v>
      </c>
      <c r="AE2" s="222">
        <f>ROUND(data!C155,0)</f>
        <v>12346</v>
      </c>
      <c r="AF2" s="222">
        <f>ROUND(data!C156,0)</f>
        <v>0</v>
      </c>
      <c r="AG2" s="222">
        <f>ROUND(data!C157,0)</f>
        <v>206416479</v>
      </c>
      <c r="AH2" s="222">
        <f>ROUND(data!C158,0)</f>
        <v>291255419</v>
      </c>
      <c r="AI2" s="222">
        <f>ROUND(data!D154,0)</f>
        <v>3846</v>
      </c>
      <c r="AJ2" s="222">
        <f>ROUND(data!D155,0)</f>
        <v>16192</v>
      </c>
      <c r="AK2" s="222">
        <f>ROUND(data!D156,0)</f>
        <v>0</v>
      </c>
      <c r="AL2" s="222">
        <f>ROUND(data!D157,0)</f>
        <v>324593080</v>
      </c>
      <c r="AM2" s="222">
        <f>ROUND(data!D158,0)</f>
        <v>759426086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142</v>
      </c>
      <c r="B2" s="224" t="str">
        <f>RIGHT(data!C96,4)</f>
        <v>2022</v>
      </c>
      <c r="C2" s="16" t="s">
        <v>1170</v>
      </c>
      <c r="D2" s="222">
        <f>ROUND(data!C266,0)</f>
        <v>17405430</v>
      </c>
      <c r="E2" s="222">
        <f>ROUND(data!C267,0)</f>
        <v>0</v>
      </c>
      <c r="F2" s="222">
        <f>ROUND(data!C268,0)</f>
        <v>439828134</v>
      </c>
      <c r="G2" s="222">
        <f>ROUND(data!C269,0)</f>
        <v>349725240</v>
      </c>
      <c r="H2" s="222">
        <f>ROUND(data!C270,0)</f>
        <v>0</v>
      </c>
      <c r="I2" s="222">
        <f>ROUND(data!C271,0)</f>
        <v>5285544</v>
      </c>
      <c r="J2" s="222">
        <f>ROUND(data!C272,0)</f>
        <v>0</v>
      </c>
      <c r="K2" s="222">
        <f>ROUND(data!C273,0)</f>
        <v>15548022</v>
      </c>
      <c r="L2" s="222">
        <f>ROUND(data!C274,0)</f>
        <v>1294392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33785518</v>
      </c>
      <c r="R2" s="222">
        <f>ROUND(data!C284,0)</f>
        <v>2153149</v>
      </c>
      <c r="S2" s="222">
        <f>ROUND(data!C285,0)</f>
        <v>588347865</v>
      </c>
      <c r="T2" s="222">
        <f>ROUND(data!C286,0)</f>
        <v>8812567</v>
      </c>
      <c r="U2" s="222">
        <f>ROUND(data!C287,0)</f>
        <v>8247813</v>
      </c>
      <c r="V2" s="222">
        <f>ROUND(data!C288,0)</f>
        <v>234011092</v>
      </c>
      <c r="W2" s="222">
        <f>ROUND(data!C289,0)</f>
        <v>33248239</v>
      </c>
      <c r="X2" s="222">
        <f>ROUND(data!C290,0)</f>
        <v>2383748</v>
      </c>
      <c r="Y2" s="222">
        <f>ROUND(data!C291,0)</f>
        <v>0</v>
      </c>
      <c r="Z2" s="222">
        <f>ROUND(data!C292,0)</f>
        <v>271715849</v>
      </c>
      <c r="AA2" s="222">
        <f>ROUND(data!C295,0)</f>
        <v>0</v>
      </c>
      <c r="AB2" s="222">
        <f>ROUND(data!C296,0)</f>
        <v>0</v>
      </c>
      <c r="AC2" s="222">
        <f>ROUND(data!C297,0)</f>
        <v>236833950</v>
      </c>
      <c r="AD2" s="222">
        <f>ROUND(data!C298,0)</f>
        <v>65565287</v>
      </c>
      <c r="AE2" s="222">
        <f>ROUND(data!C302,0)</f>
        <v>8135463</v>
      </c>
      <c r="AF2" s="222">
        <f>ROUND(data!C303,0)</f>
        <v>0</v>
      </c>
      <c r="AG2" s="222">
        <f>ROUND(data!C304,0)</f>
        <v>0</v>
      </c>
      <c r="AH2" s="222">
        <f>ROUND(data!C305,0)</f>
        <v>22211431</v>
      </c>
      <c r="AI2" s="222">
        <f>ROUND(data!C314,0)</f>
        <v>0</v>
      </c>
      <c r="AJ2" s="222">
        <f>ROUND(data!C315,0)</f>
        <v>3336877</v>
      </c>
      <c r="AK2" s="222">
        <f>ROUND(data!C316,0)</f>
        <v>29132568</v>
      </c>
      <c r="AL2" s="222">
        <f>ROUND(data!C317,0)</f>
        <v>4664399</v>
      </c>
      <c r="AM2" s="222">
        <f>ROUND(data!C318,0)</f>
        <v>0</v>
      </c>
      <c r="AN2" s="222">
        <f>ROUND(data!C319,0)</f>
        <v>20342456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5616440</v>
      </c>
      <c r="AS2" s="222">
        <f>ROUND(data!C326,0)</f>
        <v>0</v>
      </c>
      <c r="AT2" s="222">
        <f>ROUND(data!C327,0)</f>
        <v>0</v>
      </c>
      <c r="AU2" s="222">
        <f>ROUND(data!C328,0)</f>
        <v>65988191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1662827</v>
      </c>
      <c r="AZ2" s="222">
        <f>ROUND(data!C335,0)</f>
        <v>0</v>
      </c>
      <c r="BA2" s="222">
        <f>ROUND(data!C336,0)</f>
        <v>68837675</v>
      </c>
      <c r="BB2" s="222">
        <f>ROUND(data!C337,0)</f>
        <v>0</v>
      </c>
      <c r="BC2" s="222">
        <f>ROUND(data!C338,0)</f>
        <v>578079</v>
      </c>
      <c r="BD2" s="222">
        <f>ROUND(data!C339,0)</f>
        <v>0</v>
      </c>
      <c r="BE2" s="222">
        <f>ROUND(data!C343,0)</f>
        <v>907113482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2304.43</v>
      </c>
      <c r="BL2" s="222">
        <f>ROUND(data!C358,0)</f>
        <v>1344465065</v>
      </c>
      <c r="BM2" s="222">
        <f>ROUND(data!C359,0)</f>
        <v>2043274239</v>
      </c>
      <c r="BN2" s="222">
        <f>ROUND(data!C363,0)</f>
        <v>2583614961</v>
      </c>
      <c r="BO2" s="222">
        <f>ROUND(data!C364,0)</f>
        <v>14664567</v>
      </c>
      <c r="BP2" s="222">
        <f>ROUND(data!C365,0)</f>
        <v>16369392</v>
      </c>
      <c r="BQ2" s="222">
        <f>ROUND(data!D381,0)</f>
        <v>14253111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14253111</v>
      </c>
      <c r="CC2" s="222">
        <f>ROUND(data!C382,0)</f>
        <v>0</v>
      </c>
      <c r="CD2" s="222">
        <f>ROUND(data!C389,0)</f>
        <v>285200872</v>
      </c>
      <c r="CE2" s="222">
        <f>ROUND(data!C390,0)</f>
        <v>48398685</v>
      </c>
      <c r="CF2" s="222">
        <f>ROUND(data!C391,0)</f>
        <v>43404880</v>
      </c>
      <c r="CG2" s="222">
        <f>ROUND(data!C392,0)</f>
        <v>127179623</v>
      </c>
      <c r="CH2" s="222">
        <f>ROUND(data!C393,0)</f>
        <v>6311997</v>
      </c>
      <c r="CI2" s="222">
        <f>ROUND(data!C394,0)</f>
        <v>186576258</v>
      </c>
      <c r="CJ2" s="222">
        <f>ROUND(data!C395,0)</f>
        <v>15154726</v>
      </c>
      <c r="CK2" s="222">
        <f>ROUND(data!C396,0)</f>
        <v>16313870</v>
      </c>
      <c r="CL2" s="222">
        <f>ROUND(data!C397,0)</f>
        <v>2757857</v>
      </c>
      <c r="CM2" s="222">
        <f>ROUND(data!C398,0)</f>
        <v>16391073</v>
      </c>
      <c r="CN2" s="222">
        <f>ROUND(data!C399,0)</f>
        <v>3765094</v>
      </c>
      <c r="CO2" s="222">
        <f>ROUND(data!C362,0)</f>
        <v>14316458</v>
      </c>
      <c r="CP2" s="222">
        <f>ROUND(data!D415,0)</f>
        <v>2982606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2982606</v>
      </c>
      <c r="DE2" s="65">
        <f>ROUND(data!C419,0)</f>
        <v>0</v>
      </c>
      <c r="DF2" s="222">
        <f>ROUND(data!D420,0)</f>
        <v>-8484083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142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7780</v>
      </c>
      <c r="F2" s="212">
        <f>ROUND(data!C60,2)</f>
        <v>155.95</v>
      </c>
      <c r="G2" s="222">
        <f>ROUND(data!C61,0)</f>
        <v>26737835</v>
      </c>
      <c r="H2" s="222">
        <f>ROUND(data!C62,0)</f>
        <v>4511358</v>
      </c>
      <c r="I2" s="222">
        <f>ROUND(data!C63,0)</f>
        <v>1771603</v>
      </c>
      <c r="J2" s="222">
        <f>ROUND(data!C64,0)</f>
        <v>1733413</v>
      </c>
      <c r="K2" s="222">
        <f>ROUND(data!C65,0)</f>
        <v>1095</v>
      </c>
      <c r="L2" s="222">
        <f>ROUND(data!C66,0)</f>
        <v>117231</v>
      </c>
      <c r="M2" s="66">
        <f>ROUND(data!C67,0)</f>
        <v>-396800</v>
      </c>
      <c r="N2" s="222">
        <f>ROUND(data!C68,0)</f>
        <v>1293</v>
      </c>
      <c r="O2" s="222">
        <f>ROUND(data!C69,0)</f>
        <v>18820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18820</v>
      </c>
      <c r="AD2" s="222">
        <f>ROUND(data!C84,0)</f>
        <v>0</v>
      </c>
      <c r="AE2" s="222">
        <f>ROUND(data!C89,0)</f>
        <v>102912982</v>
      </c>
      <c r="AF2" s="222">
        <f>ROUND(data!C87,0)</f>
        <v>101890680</v>
      </c>
      <c r="AG2" s="222">
        <f>IF(data!C90&gt;0,ROUND(data!C90,0),0)</f>
        <v>41400</v>
      </c>
      <c r="AH2" s="222">
        <f>IF(data!C91&gt;0,ROUND(data!C91,0),0)</f>
        <v>34655</v>
      </c>
      <c r="AI2" s="222">
        <f>IF(data!C92&gt;0,ROUND(data!C92,0),0)</f>
        <v>11491</v>
      </c>
      <c r="AJ2" s="222">
        <f>IF(data!C93&gt;0,ROUND(data!C93,0),0)</f>
        <v>275082</v>
      </c>
      <c r="AK2" s="212">
        <f>IF(data!C94&gt;0,ROUND(data!C94,2),0)</f>
        <v>117.96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142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142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66015</v>
      </c>
      <c r="F4" s="212">
        <f>ROUND(data!E60,2)</f>
        <v>395.11</v>
      </c>
      <c r="G4" s="222">
        <f>ROUND(data!E61,0)</f>
        <v>54065216</v>
      </c>
      <c r="H4" s="222">
        <f>ROUND(data!E62,0)</f>
        <v>9133041</v>
      </c>
      <c r="I4" s="222">
        <f>ROUND(data!E63,0)</f>
        <v>4297395</v>
      </c>
      <c r="J4" s="222">
        <f>ROUND(data!E64,0)</f>
        <v>2300007</v>
      </c>
      <c r="K4" s="222">
        <f>ROUND(data!E65,0)</f>
        <v>12372</v>
      </c>
      <c r="L4" s="222">
        <f>ROUND(data!E66,0)</f>
        <v>1230818</v>
      </c>
      <c r="M4" s="66">
        <f>ROUND(data!E67,0)</f>
        <v>-1742690</v>
      </c>
      <c r="N4" s="222">
        <f>ROUND(data!E68,0)</f>
        <v>15719</v>
      </c>
      <c r="O4" s="222">
        <f>ROUND(data!E69,0)</f>
        <v>67671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67671</v>
      </c>
      <c r="AD4" s="222">
        <f>ROUND(data!E84,0)</f>
        <v>0</v>
      </c>
      <c r="AE4" s="222">
        <f>ROUND(data!E89,0)</f>
        <v>263689701</v>
      </c>
      <c r="AF4" s="222">
        <f>ROUND(data!E87,0)</f>
        <v>234705181</v>
      </c>
      <c r="AG4" s="222">
        <f>IF(data!E90&gt;0,ROUND(data!E90,0),0)</f>
        <v>74943</v>
      </c>
      <c r="AH4" s="222">
        <f>IF(data!E91&gt;0,ROUND(data!E91,0),0)</f>
        <v>165009</v>
      </c>
      <c r="AI4" s="222">
        <f>IF(data!E92&gt;0,ROUND(data!E92,0),0)</f>
        <v>20802</v>
      </c>
      <c r="AJ4" s="222">
        <f>IF(data!E93&gt;0,ROUND(data!E93,0),0)</f>
        <v>484519</v>
      </c>
      <c r="AK4" s="212">
        <f>IF(data!E94&gt;0,ROUND(data!E94,2),0)</f>
        <v>301.41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142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142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142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266</v>
      </c>
      <c r="K7" s="222">
        <f>ROUND(data!H65,0)</f>
        <v>420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142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142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142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142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142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142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142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7639</v>
      </c>
      <c r="F14" s="212">
        <f>ROUND(data!O60,2)</f>
        <v>83.13</v>
      </c>
      <c r="G14" s="222">
        <f>ROUND(data!O61,0)</f>
        <v>10835169</v>
      </c>
      <c r="H14" s="222">
        <f>ROUND(data!O62,0)</f>
        <v>1836519</v>
      </c>
      <c r="I14" s="222">
        <f>ROUND(data!O63,0)</f>
        <v>2492564</v>
      </c>
      <c r="J14" s="222">
        <f>ROUND(data!O64,0)</f>
        <v>1070103</v>
      </c>
      <c r="K14" s="222">
        <f>ROUND(data!O65,0)</f>
        <v>2657</v>
      </c>
      <c r="L14" s="222">
        <f>ROUND(data!O66,0)</f>
        <v>380619</v>
      </c>
      <c r="M14" s="66">
        <f>ROUND(data!O67,0)</f>
        <v>-308871</v>
      </c>
      <c r="N14" s="222">
        <f>ROUND(data!O68,0)</f>
        <v>10989</v>
      </c>
      <c r="O14" s="222">
        <f>ROUND(data!O69,0)</f>
        <v>39614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39614</v>
      </c>
      <c r="AD14" s="222">
        <f>ROUND(data!O84,0)</f>
        <v>0</v>
      </c>
      <c r="AE14" s="222">
        <f>ROUND(data!O89,0)</f>
        <v>92286782</v>
      </c>
      <c r="AF14" s="222">
        <f>ROUND(data!O87,0)</f>
        <v>85112939</v>
      </c>
      <c r="AG14" s="222">
        <f>IF(data!O90&gt;0,ROUND(data!O90,0),0)</f>
        <v>16352</v>
      </c>
      <c r="AH14" s="222">
        <f>IF(data!O91&gt;0,ROUND(data!O91,0),0)</f>
        <v>29021</v>
      </c>
      <c r="AI14" s="222">
        <f>IF(data!O92&gt;0,ROUND(data!O92,0),0)</f>
        <v>4539</v>
      </c>
      <c r="AJ14" s="222">
        <f>IF(data!O93&gt;0,ROUND(data!O93,0),0)</f>
        <v>190187</v>
      </c>
      <c r="AK14" s="212">
        <f>IF(data!O94&gt;0,ROUND(data!O94,2),0)</f>
        <v>68.37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142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1069692</v>
      </c>
      <c r="F15" s="212">
        <f>ROUND(data!P60,2)</f>
        <v>144.32</v>
      </c>
      <c r="G15" s="222">
        <f>ROUND(data!P61,0)</f>
        <v>17820591</v>
      </c>
      <c r="H15" s="222">
        <f>ROUND(data!P62,0)</f>
        <v>3023497</v>
      </c>
      <c r="I15" s="222">
        <f>ROUND(data!P63,0)</f>
        <v>4222282</v>
      </c>
      <c r="J15" s="222">
        <f>ROUND(data!P64,0)</f>
        <v>47024439</v>
      </c>
      <c r="K15" s="222">
        <f>ROUND(data!P65,0)</f>
        <v>15925</v>
      </c>
      <c r="L15" s="222">
        <f>ROUND(data!P66,0)</f>
        <v>4197094</v>
      </c>
      <c r="M15" s="66">
        <f>ROUND(data!P67,0)</f>
        <v>4340239</v>
      </c>
      <c r="N15" s="222">
        <f>ROUND(data!P68,0)</f>
        <v>1680870</v>
      </c>
      <c r="O15" s="222">
        <f>ROUND(data!P69,0)</f>
        <v>171181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171181</v>
      </c>
      <c r="AD15" s="222">
        <f>ROUND(data!P84,0)</f>
        <v>0</v>
      </c>
      <c r="AE15" s="222">
        <f>ROUND(data!P89,0)</f>
        <v>779136793</v>
      </c>
      <c r="AF15" s="222">
        <f>ROUND(data!P87,0)</f>
        <v>331872871</v>
      </c>
      <c r="AG15" s="222">
        <f>IF(data!P90&gt;0,ROUND(data!P90,0),0)</f>
        <v>52648</v>
      </c>
      <c r="AH15" s="222">
        <f>IF(data!P91&gt;0,ROUND(data!P91,0),0)</f>
        <v>475</v>
      </c>
      <c r="AI15" s="222">
        <f>IF(data!P92&gt;0,ROUND(data!P92,0),0)</f>
        <v>14613</v>
      </c>
      <c r="AJ15" s="222">
        <f>IF(data!P93&gt;0,ROUND(data!P93,0),0)</f>
        <v>534140</v>
      </c>
      <c r="AK15" s="212">
        <f>IF(data!P94&gt;0,ROUND(data!P94,2),0)</f>
        <v>78.24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142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798795</v>
      </c>
      <c r="F16" s="212">
        <f>ROUND(data!Q60,2)</f>
        <v>59.21</v>
      </c>
      <c r="G16" s="222">
        <f>ROUND(data!Q61,0)</f>
        <v>9159321</v>
      </c>
      <c r="H16" s="222">
        <f>ROUND(data!Q62,0)</f>
        <v>1545451</v>
      </c>
      <c r="I16" s="222">
        <f>ROUND(data!Q63,0)</f>
        <v>0</v>
      </c>
      <c r="J16" s="222">
        <f>ROUND(data!Q64,0)</f>
        <v>616671</v>
      </c>
      <c r="K16" s="222">
        <f>ROUND(data!Q65,0)</f>
        <v>6087</v>
      </c>
      <c r="L16" s="222">
        <f>ROUND(data!Q66,0)</f>
        <v>39481</v>
      </c>
      <c r="M16" s="66">
        <f>ROUND(data!Q67,0)</f>
        <v>26532</v>
      </c>
      <c r="N16" s="222">
        <f>ROUND(data!Q68,0)</f>
        <v>606</v>
      </c>
      <c r="O16" s="222">
        <f>ROUND(data!Q69,0)</f>
        <v>16966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16966</v>
      </c>
      <c r="AD16" s="222">
        <f>ROUND(data!Q84,0)</f>
        <v>0</v>
      </c>
      <c r="AE16" s="222">
        <f>ROUND(data!Q89,0)</f>
        <v>67718061</v>
      </c>
      <c r="AF16" s="222">
        <f>ROUND(data!Q87,0)</f>
        <v>19730315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49.2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142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1181670</v>
      </c>
      <c r="F17" s="212">
        <f>ROUND(data!R60,2)</f>
        <v>5.58</v>
      </c>
      <c r="G17" s="222">
        <f>ROUND(data!R61,0)</f>
        <v>498545</v>
      </c>
      <c r="H17" s="222">
        <f>ROUND(data!R62,0)</f>
        <v>84009</v>
      </c>
      <c r="I17" s="222">
        <f>ROUND(data!R63,0)</f>
        <v>0</v>
      </c>
      <c r="J17" s="222">
        <f>ROUND(data!R64,0)</f>
        <v>348438</v>
      </c>
      <c r="K17" s="222">
        <f>ROUND(data!R65,0)</f>
        <v>0</v>
      </c>
      <c r="L17" s="222">
        <f>ROUND(data!R66,0)</f>
        <v>1573788</v>
      </c>
      <c r="M17" s="66">
        <f>ROUND(data!R67,0)</f>
        <v>144254</v>
      </c>
      <c r="N17" s="222">
        <f>ROUND(data!R68,0)</f>
        <v>2023</v>
      </c>
      <c r="O17" s="222">
        <f>ROUND(data!R69,0)</f>
        <v>3285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3285</v>
      </c>
      <c r="AD17" s="222">
        <f>ROUND(data!R84,0)</f>
        <v>0</v>
      </c>
      <c r="AE17" s="222">
        <f>ROUND(data!R89,0)</f>
        <v>58392704</v>
      </c>
      <c r="AF17" s="222">
        <f>ROUND(data!R87,0)</f>
        <v>25410114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1.26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142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24.7</v>
      </c>
      <c r="G18" s="222">
        <f>ROUND(data!S61,0)</f>
        <v>1347080</v>
      </c>
      <c r="H18" s="222">
        <f>ROUND(data!S62,0)</f>
        <v>226995</v>
      </c>
      <c r="I18" s="222">
        <f>ROUND(data!S63,0)</f>
        <v>0</v>
      </c>
      <c r="J18" s="222">
        <f>ROUND(data!S64,0)</f>
        <v>463212</v>
      </c>
      <c r="K18" s="222">
        <f>ROUND(data!S65,0)</f>
        <v>0</v>
      </c>
      <c r="L18" s="222">
        <f>ROUND(data!S66,0)</f>
        <v>383101</v>
      </c>
      <c r="M18" s="66">
        <f>ROUND(data!S67,0)</f>
        <v>-396614</v>
      </c>
      <c r="N18" s="222">
        <f>ROUND(data!S68,0)</f>
        <v>116120</v>
      </c>
      <c r="O18" s="222">
        <f>ROUND(data!S69,0)</f>
        <v>190495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190495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16747</v>
      </c>
      <c r="AH18" s="222">
        <f>IF(data!S91&gt;0,ROUND(data!S91,0),0)</f>
        <v>0</v>
      </c>
      <c r="AI18" s="222">
        <f>IF(data!S92&gt;0,ROUND(data!S92,0),0)</f>
        <v>4648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142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142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1496104</v>
      </c>
      <c r="F20" s="212">
        <f>ROUND(data!U60,2)</f>
        <v>61.97</v>
      </c>
      <c r="G20" s="222">
        <f>ROUND(data!U61,0)</f>
        <v>5608099</v>
      </c>
      <c r="H20" s="222">
        <f>ROUND(data!U62,0)</f>
        <v>945996</v>
      </c>
      <c r="I20" s="222">
        <f>ROUND(data!U63,0)</f>
        <v>68571</v>
      </c>
      <c r="J20" s="222">
        <f>ROUND(data!U64,0)</f>
        <v>4915454</v>
      </c>
      <c r="K20" s="222">
        <f>ROUND(data!U65,0)</f>
        <v>792</v>
      </c>
      <c r="L20" s="222">
        <f>ROUND(data!U66,0)</f>
        <v>5340998</v>
      </c>
      <c r="M20" s="66">
        <f>ROUND(data!U67,0)</f>
        <v>61467</v>
      </c>
      <c r="N20" s="222">
        <f>ROUND(data!U68,0)</f>
        <v>68087</v>
      </c>
      <c r="O20" s="222">
        <f>ROUND(data!U69,0)</f>
        <v>8392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8392</v>
      </c>
      <c r="AD20" s="222">
        <f>ROUND(data!U84,0)</f>
        <v>116160</v>
      </c>
      <c r="AE20" s="222">
        <f>ROUND(data!U89,0)</f>
        <v>124257890</v>
      </c>
      <c r="AF20" s="222">
        <f>ROUND(data!U87,0)</f>
        <v>80669317</v>
      </c>
      <c r="AG20" s="222">
        <f>IF(data!U90&gt;0,ROUND(data!U90,0),0)</f>
        <v>9388</v>
      </c>
      <c r="AH20" s="222">
        <f>IF(data!U91&gt;0,ROUND(data!U91,0),0)</f>
        <v>0</v>
      </c>
      <c r="AI20" s="222">
        <f>IF(data!U92&gt;0,ROUND(data!U92,0),0)</f>
        <v>2606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142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44891</v>
      </c>
      <c r="F21" s="212">
        <f>ROUND(data!V60,2)</f>
        <v>5.93</v>
      </c>
      <c r="G21" s="222">
        <f>ROUND(data!V61,0)</f>
        <v>746508</v>
      </c>
      <c r="H21" s="222">
        <f>ROUND(data!V62,0)</f>
        <v>125793</v>
      </c>
      <c r="I21" s="222">
        <f>ROUND(data!V63,0)</f>
        <v>0</v>
      </c>
      <c r="J21" s="222">
        <f>ROUND(data!V64,0)</f>
        <v>197522</v>
      </c>
      <c r="K21" s="222">
        <f>ROUND(data!V65,0)</f>
        <v>15</v>
      </c>
      <c r="L21" s="222">
        <f>ROUND(data!V66,0)</f>
        <v>54134</v>
      </c>
      <c r="M21" s="66">
        <f>ROUND(data!V67,0)</f>
        <v>131767</v>
      </c>
      <c r="N21" s="222">
        <f>ROUND(data!V68,0)</f>
        <v>0</v>
      </c>
      <c r="O21" s="222">
        <f>ROUND(data!V69,0)</f>
        <v>730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730</v>
      </c>
      <c r="AD21" s="222">
        <f>ROUND(data!V84,0)</f>
        <v>0</v>
      </c>
      <c r="AE21" s="222">
        <f>ROUND(data!V89,0)</f>
        <v>36479093</v>
      </c>
      <c r="AF21" s="222">
        <f>ROUND(data!V87,0)</f>
        <v>25338167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142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29714</v>
      </c>
      <c r="F22" s="212">
        <f>ROUND(data!W60,2)</f>
        <v>7.34</v>
      </c>
      <c r="G22" s="222">
        <f>ROUND(data!W61,0)</f>
        <v>861999</v>
      </c>
      <c r="H22" s="222">
        <f>ROUND(data!W62,0)</f>
        <v>145255</v>
      </c>
      <c r="I22" s="222">
        <f>ROUND(data!W63,0)</f>
        <v>0</v>
      </c>
      <c r="J22" s="222">
        <f>ROUND(data!W64,0)</f>
        <v>14696</v>
      </c>
      <c r="K22" s="222">
        <f>ROUND(data!W65,0)</f>
        <v>0</v>
      </c>
      <c r="L22" s="222">
        <f>ROUND(data!W66,0)</f>
        <v>120335</v>
      </c>
      <c r="M22" s="66">
        <f>ROUND(data!W67,0)</f>
        <v>756020</v>
      </c>
      <c r="N22" s="222">
        <f>ROUND(data!W68,0)</f>
        <v>1036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31055971</v>
      </c>
      <c r="AF22" s="222">
        <f>ROUND(data!W87,0)</f>
        <v>8750551</v>
      </c>
      <c r="AG22" s="222">
        <f>IF(data!W90&gt;0,ROUND(data!W90,0),0)</f>
        <v>1920</v>
      </c>
      <c r="AH22" s="222">
        <f>IF(data!W91&gt;0,ROUND(data!W91,0),0)</f>
        <v>0</v>
      </c>
      <c r="AI22" s="222">
        <f>IF(data!W92&gt;0,ROUND(data!W92,0),0)</f>
        <v>533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142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142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369773</v>
      </c>
      <c r="F24" s="212">
        <f>ROUND(data!Y60,2)</f>
        <v>115.66</v>
      </c>
      <c r="G24" s="222">
        <f>ROUND(data!Y61,0)</f>
        <v>11342036</v>
      </c>
      <c r="H24" s="222">
        <f>ROUND(data!Y62,0)</f>
        <v>1912489</v>
      </c>
      <c r="I24" s="222">
        <f>ROUND(data!Y63,0)</f>
        <v>13200</v>
      </c>
      <c r="J24" s="222">
        <f>ROUND(data!Y64,0)</f>
        <v>1312115</v>
      </c>
      <c r="K24" s="222">
        <f>ROUND(data!Y65,0)</f>
        <v>295141</v>
      </c>
      <c r="L24" s="222">
        <f>ROUND(data!Y66,0)</f>
        <v>2024462</v>
      </c>
      <c r="M24" s="66">
        <f>ROUND(data!Y67,0)</f>
        <v>3336527</v>
      </c>
      <c r="N24" s="222">
        <f>ROUND(data!Y68,0)</f>
        <v>1097885</v>
      </c>
      <c r="O24" s="222">
        <f>ROUND(data!Y69,0)</f>
        <v>27395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27395</v>
      </c>
      <c r="AD24" s="222">
        <f>ROUND(data!Y84,0)</f>
        <v>62226</v>
      </c>
      <c r="AE24" s="222">
        <f>ROUND(data!Y89,0)</f>
        <v>303451947</v>
      </c>
      <c r="AF24" s="222">
        <f>ROUND(data!Y87,0)</f>
        <v>92365850</v>
      </c>
      <c r="AG24" s="222">
        <f>IF(data!Y90&gt;0,ROUND(data!Y90,0),0)</f>
        <v>26723</v>
      </c>
      <c r="AH24" s="222">
        <f>IF(data!Y91&gt;0,ROUND(data!Y91,0),0)</f>
        <v>0</v>
      </c>
      <c r="AI24" s="222">
        <f>IF(data!Y92&gt;0,ROUND(data!Y92,0),0)</f>
        <v>7417</v>
      </c>
      <c r="AJ24" s="222">
        <f>IF(data!Y93&gt;0,ROUND(data!Y93,0),0)</f>
        <v>181107</v>
      </c>
      <c r="AK24" s="212">
        <f>IF(data!Y94&gt;0,ROUND(data!Y94,2),0)</f>
        <v>3.41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142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0</v>
      </c>
      <c r="F25" s="212">
        <f>ROUND(data!Z60,2)</f>
        <v>22.83</v>
      </c>
      <c r="G25" s="222">
        <f>ROUND(data!Z61,0)</f>
        <v>2415683</v>
      </c>
      <c r="H25" s="222">
        <f>ROUND(data!Z62,0)</f>
        <v>407203</v>
      </c>
      <c r="I25" s="222">
        <f>ROUND(data!Z63,0)</f>
        <v>56975</v>
      </c>
      <c r="J25" s="222">
        <f>ROUND(data!Z64,0)</f>
        <v>92787</v>
      </c>
      <c r="K25" s="222">
        <f>ROUND(data!Z65,0)</f>
        <v>0</v>
      </c>
      <c r="L25" s="222">
        <f>ROUND(data!Z66,0)</f>
        <v>1667707</v>
      </c>
      <c r="M25" s="66">
        <f>ROUND(data!Z67,0)</f>
        <v>31754</v>
      </c>
      <c r="N25" s="222">
        <f>ROUND(data!Z68,0)</f>
        <v>1101</v>
      </c>
      <c r="O25" s="222">
        <f>ROUND(data!Z69,0)</f>
        <v>1853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1853</v>
      </c>
      <c r="AD25" s="222">
        <f>ROUND(data!Z84,0)</f>
        <v>0</v>
      </c>
      <c r="AE25" s="222">
        <f>ROUND(data!Z89,0)</f>
        <v>60344964</v>
      </c>
      <c r="AF25" s="222">
        <f>ROUND(data!Z87,0)</f>
        <v>2410140</v>
      </c>
      <c r="AG25" s="222">
        <f>IF(data!Z90&gt;0,ROUND(data!Z90,0),0)</f>
        <v>15700</v>
      </c>
      <c r="AH25" s="222">
        <f>IF(data!Z91&gt;0,ROUND(data!Z91,0),0)</f>
        <v>0</v>
      </c>
      <c r="AI25" s="222">
        <f>IF(data!Z92&gt;0,ROUND(data!Z92,0),0)</f>
        <v>4358</v>
      </c>
      <c r="AJ25" s="222">
        <f>IF(data!Z93&gt;0,ROUND(data!Z93,0),0)</f>
        <v>0</v>
      </c>
      <c r="AK25" s="212">
        <f>IF(data!Z94&gt;0,ROUND(data!Z94,2),0)</f>
        <v>2.72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142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46832</v>
      </c>
      <c r="F26" s="212">
        <f>ROUND(data!AA60,2)</f>
        <v>4.58</v>
      </c>
      <c r="G26" s="222">
        <f>ROUND(data!AA61,0)</f>
        <v>612601</v>
      </c>
      <c r="H26" s="222">
        <f>ROUND(data!AA62,0)</f>
        <v>103229</v>
      </c>
      <c r="I26" s="222">
        <f>ROUND(data!AA63,0)</f>
        <v>0</v>
      </c>
      <c r="J26" s="222">
        <f>ROUND(data!AA64,0)</f>
        <v>662924</v>
      </c>
      <c r="K26" s="222">
        <f>ROUND(data!AA65,0)</f>
        <v>0</v>
      </c>
      <c r="L26" s="222">
        <f>ROUND(data!AA66,0)</f>
        <v>100842</v>
      </c>
      <c r="M26" s="66">
        <f>ROUND(data!AA67,0)</f>
        <v>1390631</v>
      </c>
      <c r="N26" s="222">
        <f>ROUND(data!AA68,0)</f>
        <v>33</v>
      </c>
      <c r="O26" s="222">
        <f>ROUND(data!AA69,0)</f>
        <v>37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37</v>
      </c>
      <c r="AD26" s="222">
        <f>ROUND(data!AA84,0)</f>
        <v>0</v>
      </c>
      <c r="AE26" s="222">
        <f>ROUND(data!AA89,0)</f>
        <v>29891865</v>
      </c>
      <c r="AF26" s="222">
        <f>ROUND(data!AA87,0)</f>
        <v>5326431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0.02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142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54.03</v>
      </c>
      <c r="G27" s="222">
        <f>ROUND(data!AB61,0)</f>
        <v>6549532</v>
      </c>
      <c r="H27" s="222">
        <f>ROUND(data!AB62,0)</f>
        <v>1103654</v>
      </c>
      <c r="I27" s="222">
        <f>ROUND(data!AB63,0)</f>
        <v>0</v>
      </c>
      <c r="J27" s="222">
        <f>ROUND(data!AB64,0)</f>
        <v>18052526</v>
      </c>
      <c r="K27" s="222">
        <f>ROUND(data!AB65,0)</f>
        <v>2047</v>
      </c>
      <c r="L27" s="222">
        <f>ROUND(data!AB66,0)</f>
        <v>562712</v>
      </c>
      <c r="M27" s="66">
        <f>ROUND(data!AB67,0)</f>
        <v>698571</v>
      </c>
      <c r="N27" s="222">
        <f>ROUND(data!AB68,0)</f>
        <v>38666</v>
      </c>
      <c r="O27" s="222">
        <f>ROUND(data!AB69,0)</f>
        <v>209383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209383</v>
      </c>
      <c r="AD27" s="222">
        <f>ROUND(data!AB84,0)</f>
        <v>328768</v>
      </c>
      <c r="AE27" s="222">
        <f>ROUND(data!AB89,0)</f>
        <v>318731736</v>
      </c>
      <c r="AF27" s="222">
        <f>ROUND(data!AB87,0)</f>
        <v>187680093</v>
      </c>
      <c r="AG27" s="222">
        <f>IF(data!AB90&gt;0,ROUND(data!AB90,0),0)</f>
        <v>6182</v>
      </c>
      <c r="AH27" s="222">
        <f>IF(data!AB91&gt;0,ROUND(data!AB91,0),0)</f>
        <v>0</v>
      </c>
      <c r="AI27" s="222">
        <f>IF(data!AB92&gt;0,ROUND(data!AB92,0),0)</f>
        <v>1716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142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171877</v>
      </c>
      <c r="F28" s="212">
        <f>ROUND(data!AC60,2)</f>
        <v>42.97</v>
      </c>
      <c r="G28" s="222">
        <f>ROUND(data!AC61,0)</f>
        <v>4669741</v>
      </c>
      <c r="H28" s="222">
        <f>ROUND(data!AC62,0)</f>
        <v>786893</v>
      </c>
      <c r="I28" s="222">
        <f>ROUND(data!AC63,0)</f>
        <v>35687</v>
      </c>
      <c r="J28" s="222">
        <f>ROUND(data!AC64,0)</f>
        <v>807625</v>
      </c>
      <c r="K28" s="222">
        <f>ROUND(data!AC65,0)</f>
        <v>3620</v>
      </c>
      <c r="L28" s="222">
        <f>ROUND(data!AC66,0)</f>
        <v>560787</v>
      </c>
      <c r="M28" s="66">
        <f>ROUND(data!AC67,0)</f>
        <v>994714</v>
      </c>
      <c r="N28" s="222">
        <f>ROUND(data!AC68,0)</f>
        <v>210733</v>
      </c>
      <c r="O28" s="222">
        <f>ROUND(data!AC69,0)</f>
        <v>12733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12733</v>
      </c>
      <c r="AD28" s="222">
        <f>ROUND(data!AC84,0)</f>
        <v>0</v>
      </c>
      <c r="AE28" s="222">
        <f>ROUND(data!AC89,0)</f>
        <v>79491886</v>
      </c>
      <c r="AF28" s="222">
        <f>ROUND(data!AC87,0)</f>
        <v>58444959</v>
      </c>
      <c r="AG28" s="222">
        <f>IF(data!AC90&gt;0,ROUND(data!AC90,0),0)</f>
        <v>4586</v>
      </c>
      <c r="AH28" s="222">
        <f>IF(data!AC91&gt;0,ROUND(data!AC91,0),0)</f>
        <v>0</v>
      </c>
      <c r="AI28" s="222">
        <f>IF(data!AC92&gt;0,ROUND(data!AC92,0),0)</f>
        <v>1273</v>
      </c>
      <c r="AJ28" s="222">
        <f>IF(data!AC93&gt;0,ROUND(data!AC93,0),0)</f>
        <v>0</v>
      </c>
      <c r="AK28" s="212">
        <f>IF(data!AC94&gt;0,ROUND(data!AC94,2),0)</f>
        <v>1.74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142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23159</v>
      </c>
      <c r="K29" s="222">
        <f>ROUND(data!AD65,0)</f>
        <v>0</v>
      </c>
      <c r="L29" s="222">
        <f>ROUND(data!AD66,0)</f>
        <v>1254103</v>
      </c>
      <c r="M29" s="66">
        <f>ROUND(data!AD67,0)</f>
        <v>44504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5223884</v>
      </c>
      <c r="AF29" s="222">
        <f>ROUND(data!AD87,0)</f>
        <v>4939749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142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108726</v>
      </c>
      <c r="F30" s="212">
        <f>ROUND(data!AE60,2)</f>
        <v>26.73</v>
      </c>
      <c r="G30" s="222">
        <f>ROUND(data!AE61,0)</f>
        <v>2641320</v>
      </c>
      <c r="H30" s="222">
        <f>ROUND(data!AE62,0)</f>
        <v>445086</v>
      </c>
      <c r="I30" s="222">
        <f>ROUND(data!AE63,0)</f>
        <v>0</v>
      </c>
      <c r="J30" s="222">
        <f>ROUND(data!AE64,0)</f>
        <v>27306</v>
      </c>
      <c r="K30" s="222">
        <f>ROUND(data!AE65,0)</f>
        <v>7113</v>
      </c>
      <c r="L30" s="222">
        <f>ROUND(data!AE66,0)</f>
        <v>559219</v>
      </c>
      <c r="M30" s="66">
        <f>ROUND(data!AE67,0)</f>
        <v>-230574</v>
      </c>
      <c r="N30" s="222">
        <f>ROUND(data!AE68,0)</f>
        <v>295309</v>
      </c>
      <c r="O30" s="222">
        <f>ROUND(data!AE69,0)</f>
        <v>9760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9760</v>
      </c>
      <c r="AD30" s="222">
        <f>ROUND(data!AE84,0)</f>
        <v>1229</v>
      </c>
      <c r="AE30" s="222">
        <f>ROUND(data!AE89,0)</f>
        <v>16994964</v>
      </c>
      <c r="AF30" s="222">
        <f>ROUND(data!AE87,0)</f>
        <v>6338119</v>
      </c>
      <c r="AG30" s="222">
        <f>IF(data!AE90&gt;0,ROUND(data!AE90,0),0)</f>
        <v>9720</v>
      </c>
      <c r="AH30" s="222">
        <f>IF(data!AE91&gt;0,ROUND(data!AE91,0),0)</f>
        <v>0</v>
      </c>
      <c r="AI30" s="222">
        <f>IF(data!AE92&gt;0,ROUND(data!AE92,0),0)</f>
        <v>2698</v>
      </c>
      <c r="AJ30" s="222">
        <f>IF(data!AE93&gt;0,ROUND(data!AE93,0),0)</f>
        <v>2080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142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142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70124</v>
      </c>
      <c r="F32" s="212">
        <f>ROUND(data!AG60,2)</f>
        <v>102.91</v>
      </c>
      <c r="G32" s="222">
        <f>ROUND(data!AG61,0)</f>
        <v>20602697</v>
      </c>
      <c r="H32" s="222">
        <f>ROUND(data!AG62,0)</f>
        <v>3491572</v>
      </c>
      <c r="I32" s="222">
        <f>ROUND(data!AG63,0)</f>
        <v>3903210</v>
      </c>
      <c r="J32" s="222">
        <f>ROUND(data!AG64,0)</f>
        <v>2104059</v>
      </c>
      <c r="K32" s="222">
        <f>ROUND(data!AG65,0)</f>
        <v>25319</v>
      </c>
      <c r="L32" s="222">
        <f>ROUND(data!AG66,0)</f>
        <v>385946</v>
      </c>
      <c r="M32" s="66">
        <f>ROUND(data!AG67,0)</f>
        <v>-807309</v>
      </c>
      <c r="N32" s="222">
        <f>ROUND(data!AG68,0)</f>
        <v>8460</v>
      </c>
      <c r="O32" s="222">
        <f>ROUND(data!AG69,0)</f>
        <v>75042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75042</v>
      </c>
      <c r="AD32" s="222">
        <f>ROUND(data!AG84,0)</f>
        <v>78221</v>
      </c>
      <c r="AE32" s="222">
        <f>ROUND(data!AG89,0)</f>
        <v>277491608</v>
      </c>
      <c r="AF32" s="222">
        <f>ROUND(data!AG87,0)</f>
        <v>63979917</v>
      </c>
      <c r="AG32" s="222">
        <f>IF(data!AG90&gt;0,ROUND(data!AG90,0),0)</f>
        <v>60759</v>
      </c>
      <c r="AH32" s="222">
        <f>IF(data!AG91&gt;0,ROUND(data!AG91,0),0)</f>
        <v>21969</v>
      </c>
      <c r="AI32" s="222">
        <f>IF(data!AG92&gt;0,ROUND(data!AG92,0),0)</f>
        <v>16865</v>
      </c>
      <c r="AJ32" s="222">
        <f>IF(data!AG93&gt;0,ROUND(data!AG93,0),0)</f>
        <v>559205</v>
      </c>
      <c r="AK32" s="212">
        <f>IF(data!AG94&gt;0,ROUND(data!AG94,2),0)</f>
        <v>68.75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142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142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142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495886</v>
      </c>
      <c r="F35" s="212">
        <f>ROUND(data!AJ60,2)</f>
        <v>518.17</v>
      </c>
      <c r="G35" s="222">
        <f>ROUND(data!AJ61,0)</f>
        <v>68953752</v>
      </c>
      <c r="H35" s="222">
        <f>ROUND(data!AJ62,0)</f>
        <v>11619475</v>
      </c>
      <c r="I35" s="222">
        <f>ROUND(data!AJ63,0)</f>
        <v>24616568</v>
      </c>
      <c r="J35" s="222">
        <f>ROUND(data!AJ64,0)</f>
        <v>3717281</v>
      </c>
      <c r="K35" s="222">
        <f>ROUND(data!AJ65,0)</f>
        <v>849122</v>
      </c>
      <c r="L35" s="222">
        <f>ROUND(data!AJ66,0)</f>
        <v>47397895</v>
      </c>
      <c r="M35" s="66">
        <f>ROUND(data!AJ67,0)</f>
        <v>3886927</v>
      </c>
      <c r="N35" s="222">
        <f>ROUND(data!AJ68,0)</f>
        <v>9794670</v>
      </c>
      <c r="O35" s="222">
        <f>ROUND(data!AJ69,0)</f>
        <v>-423092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-423092</v>
      </c>
      <c r="AD35" s="222">
        <f>ROUND(data!AJ84,0)</f>
        <v>3713220</v>
      </c>
      <c r="AE35" s="222">
        <f>ROUND(data!AJ89,0)</f>
        <v>291315023</v>
      </c>
      <c r="AF35" s="222">
        <f>ROUND(data!AJ87,0)</f>
        <v>1286162</v>
      </c>
      <c r="AG35" s="222">
        <f>IF(data!AJ90&gt;0,ROUND(data!AJ90,0),0)</f>
        <v>47084</v>
      </c>
      <c r="AH35" s="222">
        <f>IF(data!AJ91&gt;0,ROUND(data!AJ91,0),0)</f>
        <v>0</v>
      </c>
      <c r="AI35" s="222">
        <f>IF(data!AJ92&gt;0,ROUND(data!AJ92,0),0)</f>
        <v>13069</v>
      </c>
      <c r="AJ35" s="222">
        <f>IF(data!AJ93&gt;0,ROUND(data!AJ93,0),0)</f>
        <v>0</v>
      </c>
      <c r="AK35" s="212">
        <f>IF(data!AJ94&gt;0,ROUND(data!AJ94,2),0)</f>
        <v>67.41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142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33178</v>
      </c>
      <c r="F36" s="212">
        <f>ROUND(data!AK60,2)</f>
        <v>8.56</v>
      </c>
      <c r="G36" s="222">
        <f>ROUND(data!AK61,0)</f>
        <v>894383</v>
      </c>
      <c r="H36" s="222">
        <f>ROUND(data!AK62,0)</f>
        <v>150711</v>
      </c>
      <c r="I36" s="222">
        <f>ROUND(data!AK63,0)</f>
        <v>0</v>
      </c>
      <c r="J36" s="222">
        <f>ROUND(data!AK64,0)</f>
        <v>4991</v>
      </c>
      <c r="K36" s="222">
        <f>ROUND(data!AK65,0)</f>
        <v>758</v>
      </c>
      <c r="L36" s="222">
        <f>ROUND(data!AK66,0)</f>
        <v>171268</v>
      </c>
      <c r="M36" s="66">
        <f>ROUND(data!AK67,0)</f>
        <v>-115214</v>
      </c>
      <c r="N36" s="222">
        <f>ROUND(data!AK68,0)</f>
        <v>170404</v>
      </c>
      <c r="O36" s="222">
        <f>ROUND(data!AK69,0)</f>
        <v>1646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1646</v>
      </c>
      <c r="AD36" s="222">
        <f>ROUND(data!AK84,0)</f>
        <v>389</v>
      </c>
      <c r="AE36" s="222">
        <f>ROUND(data!AK89,0)</f>
        <v>8205823</v>
      </c>
      <c r="AF36" s="222">
        <f>ROUND(data!AK87,0)</f>
        <v>4571627</v>
      </c>
      <c r="AG36" s="222">
        <f>IF(data!AK90&gt;0,ROUND(data!AK90,0),0)</f>
        <v>4680</v>
      </c>
      <c r="AH36" s="222">
        <f>IF(data!AK91&gt;0,ROUND(data!AK91,0),0)</f>
        <v>0</v>
      </c>
      <c r="AI36" s="222">
        <f>IF(data!AK92&gt;0,ROUND(data!AK92,0),0)</f>
        <v>1299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142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7896</v>
      </c>
      <c r="F37" s="212">
        <f>ROUND(data!AL60,2)</f>
        <v>4.67</v>
      </c>
      <c r="G37" s="222">
        <f>ROUND(data!AL61,0)</f>
        <v>529548</v>
      </c>
      <c r="H37" s="222">
        <f>ROUND(data!AL62,0)</f>
        <v>89234</v>
      </c>
      <c r="I37" s="222">
        <f>ROUND(data!AL63,0)</f>
        <v>0</v>
      </c>
      <c r="J37" s="222">
        <f>ROUND(data!AL64,0)</f>
        <v>9747</v>
      </c>
      <c r="K37" s="222">
        <f>ROUND(data!AL65,0)</f>
        <v>0</v>
      </c>
      <c r="L37" s="222">
        <f>ROUND(data!AL66,0)</f>
        <v>112942</v>
      </c>
      <c r="M37" s="66">
        <f>ROUND(data!AL67,0)</f>
        <v>-37912</v>
      </c>
      <c r="N37" s="222">
        <f>ROUND(data!AL68,0)</f>
        <v>176223</v>
      </c>
      <c r="O37" s="222">
        <f>ROUND(data!AL69,0)</f>
        <v>798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798</v>
      </c>
      <c r="AD37" s="222">
        <f>ROUND(data!AL84,0)</f>
        <v>7234</v>
      </c>
      <c r="AE37" s="222">
        <f>ROUND(data!AL89,0)</f>
        <v>4319109</v>
      </c>
      <c r="AF37" s="222">
        <f>ROUND(data!AL87,0)</f>
        <v>2044997</v>
      </c>
      <c r="AG37" s="222">
        <f>IF(data!AL90&gt;0,ROUND(data!AL90,0),0)</f>
        <v>1540</v>
      </c>
      <c r="AH37" s="222">
        <f>IF(data!AL91&gt;0,ROUND(data!AL91,0),0)</f>
        <v>0</v>
      </c>
      <c r="AI37" s="222">
        <f>IF(data!AL92&gt;0,ROUND(data!AL92,0),0)</f>
        <v>427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142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142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142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142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703518</v>
      </c>
      <c r="F41" s="212">
        <f>ROUND(data!AP60,2)</f>
        <v>91.05</v>
      </c>
      <c r="G41" s="222">
        <f>ROUND(data!AP61,0)</f>
        <v>7354738</v>
      </c>
      <c r="H41" s="222">
        <f>ROUND(data!AP62,0)</f>
        <v>1240134</v>
      </c>
      <c r="I41" s="222">
        <f>ROUND(data!AP63,0)</f>
        <v>12750</v>
      </c>
      <c r="J41" s="222">
        <f>ROUND(data!AP64,0)</f>
        <v>39030897</v>
      </c>
      <c r="K41" s="222">
        <f>ROUND(data!AP65,0)</f>
        <v>9978</v>
      </c>
      <c r="L41" s="222">
        <f>ROUND(data!AP66,0)</f>
        <v>2118360</v>
      </c>
      <c r="M41" s="66">
        <f>ROUND(data!AP67,0)</f>
        <v>-1677851</v>
      </c>
      <c r="N41" s="222">
        <f>ROUND(data!AP68,0)</f>
        <v>399763</v>
      </c>
      <c r="O41" s="222">
        <f>ROUND(data!AP69,0)</f>
        <v>17282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17282</v>
      </c>
      <c r="AD41" s="222">
        <f>ROUND(data!AP84,0)</f>
        <v>354419</v>
      </c>
      <c r="AE41" s="222">
        <f>ROUND(data!AP89,0)</f>
        <v>436346519</v>
      </c>
      <c r="AF41" s="222">
        <f>ROUND(data!AP87,0)</f>
        <v>1596887</v>
      </c>
      <c r="AG41" s="222">
        <f>IF(data!AP90&gt;0,ROUND(data!AP90,0),0)</f>
        <v>80386</v>
      </c>
      <c r="AH41" s="222">
        <f>IF(data!AP91&gt;0,ROUND(data!AP91,0),0)</f>
        <v>0</v>
      </c>
      <c r="AI41" s="222">
        <f>IF(data!AP92&gt;0,ROUND(data!AP92,0),0)</f>
        <v>22313</v>
      </c>
      <c r="AJ41" s="222">
        <f>IF(data!AP93&gt;0,ROUND(data!AP93,0),0)</f>
        <v>0</v>
      </c>
      <c r="AK41" s="212">
        <f>IF(data!AP94&gt;0,ROUND(data!AP94,2),0)</f>
        <v>34.07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142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142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142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142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142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142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42.55</v>
      </c>
      <c r="G47" s="222">
        <f>ROUND(data!AV61,0)</f>
        <v>3456782</v>
      </c>
      <c r="H47" s="222">
        <f>ROUND(data!AV62,0)</f>
        <v>582499</v>
      </c>
      <c r="I47" s="222">
        <f>ROUND(data!AV63,0)</f>
        <v>-37259</v>
      </c>
      <c r="J47" s="222">
        <f>ROUND(data!AV64,0)</f>
        <v>277651</v>
      </c>
      <c r="K47" s="222">
        <f>ROUND(data!AV65,0)</f>
        <v>203</v>
      </c>
      <c r="L47" s="222">
        <f>ROUND(data!AV66,0)</f>
        <v>1038268</v>
      </c>
      <c r="M47" s="66">
        <f>ROUND(data!AV67,0)</f>
        <v>96402</v>
      </c>
      <c r="N47" s="222">
        <f>ROUND(data!AV68,0)</f>
        <v>21</v>
      </c>
      <c r="O47" s="222">
        <f>ROUND(data!AV69,0)</f>
        <v>12562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12562</v>
      </c>
      <c r="AD47" s="222">
        <f>ROUND(data!AV84,0)</f>
        <v>2340333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493</v>
      </c>
      <c r="AH47" s="222">
        <f>IF(data!AV91&gt;0,ROUND(data!AV91,0),0)</f>
        <v>5307</v>
      </c>
      <c r="AI47" s="222">
        <f>IF(data!AV92&gt;0,ROUND(data!AV92,0),0)</f>
        <v>137</v>
      </c>
      <c r="AJ47" s="222">
        <f>IF(data!AV93&gt;0,ROUND(data!AV93,0),0)</f>
        <v>63772</v>
      </c>
      <c r="AK47" s="212">
        <f>IF(data!AV94&gt;0,ROUND(data!AV94,2),0)</f>
        <v>6.14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142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142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142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256436</v>
      </c>
      <c r="F50" s="212">
        <f>ROUND(data!AY60,2)</f>
        <v>85.41</v>
      </c>
      <c r="G50" s="222">
        <f>ROUND(data!AY61,0)</f>
        <v>4115541</v>
      </c>
      <c r="H50" s="222">
        <f>ROUND(data!AY62,0)</f>
        <v>696892</v>
      </c>
      <c r="I50" s="222">
        <f>ROUND(data!AY63,0)</f>
        <v>0</v>
      </c>
      <c r="J50" s="222">
        <f>ROUND(data!AY64,0)</f>
        <v>1537490</v>
      </c>
      <c r="K50" s="222">
        <f>ROUND(data!AY65,0)</f>
        <v>179</v>
      </c>
      <c r="L50" s="222">
        <f>ROUND(data!AY66,0)</f>
        <v>337086</v>
      </c>
      <c r="M50" s="66">
        <f>ROUND(data!AY67,0)</f>
        <v>-327948</v>
      </c>
      <c r="N50" s="222">
        <f>ROUND(data!AY68,0)</f>
        <v>35762</v>
      </c>
      <c r="O50" s="222">
        <f>ROUND(data!AY69,0)</f>
        <v>76637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76637</v>
      </c>
      <c r="AD50" s="222">
        <f>ROUND(data!AY84,0)</f>
        <v>1352543</v>
      </c>
      <c r="AE50" s="222"/>
      <c r="AF50" s="222"/>
      <c r="AG50" s="222">
        <f>IF(data!AY90&gt;0,ROUND(data!AY90,0),0)</f>
        <v>17311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142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81597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142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2.03</v>
      </c>
      <c r="G52" s="222">
        <f>ROUND(data!BA61,0)</f>
        <v>95835</v>
      </c>
      <c r="H52" s="222">
        <f>ROUND(data!BA62,0)</f>
        <v>16149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-37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142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142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13.33</v>
      </c>
      <c r="G54" s="222">
        <f>ROUND(data!BC61,0)</f>
        <v>550436</v>
      </c>
      <c r="H54" s="222">
        <f>ROUND(data!BC62,0)</f>
        <v>92774</v>
      </c>
      <c r="I54" s="222">
        <f>ROUND(data!BC63,0)</f>
        <v>0</v>
      </c>
      <c r="J54" s="222">
        <f>ROUND(data!BC64,0)</f>
        <v>18970</v>
      </c>
      <c r="K54" s="222">
        <f>ROUND(data!BC65,0)</f>
        <v>2931</v>
      </c>
      <c r="L54" s="222">
        <f>ROUND(data!BC66,0)</f>
        <v>258455</v>
      </c>
      <c r="M54" s="66">
        <f>ROUND(data!BC67,0)</f>
        <v>42690</v>
      </c>
      <c r="N54" s="222">
        <f>ROUND(data!BC68,0)</f>
        <v>1158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142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-2504590</v>
      </c>
      <c r="N55" s="222">
        <f>ROUND(data!BD68,0)</f>
        <v>605929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101737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142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622530</v>
      </c>
      <c r="F56" s="212">
        <f>ROUND(data!BE60,2)</f>
        <v>21.84</v>
      </c>
      <c r="G56" s="222">
        <f>ROUND(data!BE61,0)</f>
        <v>1563279</v>
      </c>
      <c r="H56" s="222">
        <f>ROUND(data!BE62,0)</f>
        <v>266925</v>
      </c>
      <c r="I56" s="222">
        <f>ROUND(data!BE63,0)</f>
        <v>0</v>
      </c>
      <c r="J56" s="222">
        <f>ROUND(data!BE64,0)</f>
        <v>200296</v>
      </c>
      <c r="K56" s="222">
        <f>ROUND(data!BE65,0)</f>
        <v>4685962</v>
      </c>
      <c r="L56" s="222">
        <f>ROUND(data!BE66,0)</f>
        <v>11489903</v>
      </c>
      <c r="M56" s="66">
        <f>ROUND(data!BE67,0)</f>
        <v>608919</v>
      </c>
      <c r="N56" s="222">
        <f>ROUND(data!BE68,0)</f>
        <v>691069</v>
      </c>
      <c r="O56" s="222">
        <f>ROUND(data!BE69,0)</f>
        <v>164195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164195</v>
      </c>
      <c r="AD56" s="222">
        <f>ROUND(data!BE84,0)</f>
        <v>2395533</v>
      </c>
      <c r="AE56" s="222"/>
      <c r="AF56" s="222"/>
      <c r="AG56" s="222">
        <f>IF(data!BE90&gt;0,ROUND(data!BE90,0),0)</f>
        <v>1108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142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66.35</v>
      </c>
      <c r="G57" s="222">
        <f>ROUND(data!BF61,0)</f>
        <v>3487544</v>
      </c>
      <c r="H57" s="222">
        <f>ROUND(data!BF62,0)</f>
        <v>588197</v>
      </c>
      <c r="I57" s="222">
        <f>ROUND(data!BF63,0)</f>
        <v>0</v>
      </c>
      <c r="J57" s="222">
        <f>ROUND(data!BF64,0)</f>
        <v>197578</v>
      </c>
      <c r="K57" s="222">
        <f>ROUND(data!BF65,0)</f>
        <v>7037</v>
      </c>
      <c r="L57" s="222">
        <f>ROUND(data!BF66,0)</f>
        <v>138181</v>
      </c>
      <c r="M57" s="66">
        <f>ROUND(data!BF67,0)</f>
        <v>-81203</v>
      </c>
      <c r="N57" s="222">
        <f>ROUND(data!BF68,0)</f>
        <v>1133</v>
      </c>
      <c r="O57" s="222">
        <f>ROUND(data!BF69,0)</f>
        <v>11838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11838</v>
      </c>
      <c r="AD57" s="222">
        <f>ROUND(data!BF84,0)</f>
        <v>0</v>
      </c>
      <c r="AE57" s="222"/>
      <c r="AF57" s="222"/>
      <c r="AG57" s="222">
        <f>IF(data!BF90&gt;0,ROUND(data!BF90,0),0)</f>
        <v>4860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142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300231</v>
      </c>
      <c r="L58" s="222">
        <f>ROUND(data!BG66,0)</f>
        <v>0</v>
      </c>
      <c r="M58" s="66">
        <f>ROUND(data!BG67,0)</f>
        <v>183099</v>
      </c>
      <c r="N58" s="222">
        <f>ROUND(data!BG68,0)</f>
        <v>345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142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142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26310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-378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-378</v>
      </c>
      <c r="AD60" s="222">
        <f>ROUND(data!BI84,0)</f>
        <v>60772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2069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142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142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1278</v>
      </c>
      <c r="K62" s="222">
        <f>ROUND(data!BK65,0)</f>
        <v>0</v>
      </c>
      <c r="L62" s="222">
        <f>ROUND(data!BK66,0)</f>
        <v>16130276</v>
      </c>
      <c r="M62" s="66">
        <f>ROUND(data!BK67,0)</f>
        <v>0</v>
      </c>
      <c r="N62" s="222">
        <f>ROUND(data!BK68,0)</f>
        <v>4748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142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19775</v>
      </c>
      <c r="K63" s="222">
        <f>ROUND(data!BL65,0)</f>
        <v>114</v>
      </c>
      <c r="L63" s="222">
        <f>ROUND(data!BL66,0)</f>
        <v>5225273</v>
      </c>
      <c r="M63" s="66">
        <f>ROUND(data!BL67,0)</f>
        <v>939</v>
      </c>
      <c r="N63" s="222">
        <f>ROUND(data!BL68,0)</f>
        <v>8398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142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142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76.05</v>
      </c>
      <c r="G65" s="222">
        <f>ROUND(data!BN61,0)</f>
        <v>7957336</v>
      </c>
      <c r="H65" s="222">
        <f>ROUND(data!BN62,0)</f>
        <v>1446064</v>
      </c>
      <c r="I65" s="222">
        <f>ROUND(data!BN63,0)</f>
        <v>0</v>
      </c>
      <c r="J65" s="222">
        <f>ROUND(data!BN64,0)</f>
        <v>240452</v>
      </c>
      <c r="K65" s="222">
        <f>ROUND(data!BN65,0)</f>
        <v>69912</v>
      </c>
      <c r="L65" s="222">
        <f>ROUND(data!BN66,0)</f>
        <v>332269</v>
      </c>
      <c r="M65" s="66">
        <f>ROUND(data!BN67,0)</f>
        <v>5388927</v>
      </c>
      <c r="N65" s="222">
        <f>ROUND(data!BN68,0)</f>
        <v>1087876</v>
      </c>
      <c r="O65" s="222">
        <f>ROUND(data!BN69,0)</f>
        <v>692575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692575</v>
      </c>
      <c r="AD65" s="222">
        <f>ROUND(data!BN84,0)</f>
        <v>523184</v>
      </c>
      <c r="AE65" s="222"/>
      <c r="AF65" s="222"/>
      <c r="AG65" s="222">
        <f>IF(data!BN90&gt;0,ROUND(data!BN90,0),0)</f>
        <v>22618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142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142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142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142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113631</v>
      </c>
      <c r="I69" s="222">
        <f>ROUND(data!BR63,0)</f>
        <v>0</v>
      </c>
      <c r="J69" s="222">
        <f>ROUND(data!BR64,0)</f>
        <v>21196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140651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140651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142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-89734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3645</v>
      </c>
      <c r="AH70" s="222">
        <f>IFERROR(IF(data!BS$91&gt;0,ROUND(data!BS$91,0),0),0)</f>
        <v>0</v>
      </c>
      <c r="AI70" s="222">
        <f>IFERROR(IF(data!BS$92&gt;0,ROUND(data!BS$92,0),0),0)</f>
        <v>1012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142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142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142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0</v>
      </c>
      <c r="G73" s="222">
        <f>ROUND(data!BV61,0)</f>
        <v>145</v>
      </c>
      <c r="H73" s="222">
        <f>ROUND(data!BV62,0)</f>
        <v>24</v>
      </c>
      <c r="I73" s="222">
        <f>ROUND(data!BV63,0)</f>
        <v>0</v>
      </c>
      <c r="J73" s="222">
        <f>ROUND(data!BV64,0)</f>
        <v>970</v>
      </c>
      <c r="K73" s="222">
        <f>ROUND(data!BV65,0)</f>
        <v>0</v>
      </c>
      <c r="L73" s="222">
        <f>ROUND(data!BV66,0)</f>
        <v>8362734</v>
      </c>
      <c r="M73" s="66">
        <f>ROUND(data!BV67,0)</f>
        <v>0</v>
      </c>
      <c r="N73" s="222">
        <f>ROUND(data!BV68,0)</f>
        <v>8083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142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65885</v>
      </c>
      <c r="J74" s="222">
        <f>ROUND(data!BW64,0)</f>
        <v>0</v>
      </c>
      <c r="K74" s="222">
        <f>ROUND(data!BW65,0)</f>
        <v>0</v>
      </c>
      <c r="L74" s="222">
        <f>ROUND(data!BW66,0)</f>
        <v>262</v>
      </c>
      <c r="M74" s="66">
        <f>ROUND(data!BW67,0)</f>
        <v>0</v>
      </c>
      <c r="N74" s="222">
        <f>ROUND(data!BW68,0)</f>
        <v>0</v>
      </c>
      <c r="O74" s="222">
        <f>ROUND(data!BW69,0)</f>
        <v>14087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14087</v>
      </c>
      <c r="AD74" s="222">
        <f>ROUND(data!BW84,0)</f>
        <v>107475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142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142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30.32</v>
      </c>
      <c r="G76" s="222">
        <f>ROUND(data!BY61,0)</f>
        <v>3047200</v>
      </c>
      <c r="H76" s="222">
        <f>ROUND(data!BY62,0)</f>
        <v>540988</v>
      </c>
      <c r="I76" s="222">
        <f>ROUND(data!BY63,0)</f>
        <v>0</v>
      </c>
      <c r="J76" s="222">
        <f>ROUND(data!BY64,0)</f>
        <v>171790</v>
      </c>
      <c r="K76" s="222">
        <f>ROUND(data!BY65,0)</f>
        <v>3074</v>
      </c>
      <c r="L76" s="222">
        <f>ROUND(data!BY66,0)</f>
        <v>946719</v>
      </c>
      <c r="M76" s="66">
        <f>ROUND(data!BY67,0)</f>
        <v>1068166</v>
      </c>
      <c r="N76" s="222">
        <f>ROUND(data!BY68,0)</f>
        <v>8172</v>
      </c>
      <c r="O76" s="222">
        <f>ROUND(data!BY69,0)</f>
        <v>73754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73754</v>
      </c>
      <c r="AD76" s="222">
        <f>ROUND(data!BY84,0)</f>
        <v>115994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142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24.56</v>
      </c>
      <c r="G77" s="222">
        <f>ROUND(data!BZ61,0)</f>
        <v>2744774</v>
      </c>
      <c r="H77" s="222">
        <f>ROUND(data!BZ62,0)</f>
        <v>462944</v>
      </c>
      <c r="I77" s="222">
        <f>ROUND(data!BZ63,0)</f>
        <v>0</v>
      </c>
      <c r="J77" s="222">
        <f>ROUND(data!BZ64,0)</f>
        <v>931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4403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4403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142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7.06</v>
      </c>
      <c r="G78" s="222">
        <f>ROUND(data!CA61,0)</f>
        <v>830511</v>
      </c>
      <c r="H78" s="222">
        <f>ROUND(data!CA62,0)</f>
        <v>140769</v>
      </c>
      <c r="I78" s="222">
        <f>ROUND(data!CA63,0)</f>
        <v>0</v>
      </c>
      <c r="J78" s="222">
        <f>ROUND(data!CA64,0)</f>
        <v>701</v>
      </c>
      <c r="K78" s="222">
        <f>ROUND(data!CA65,0)</f>
        <v>0</v>
      </c>
      <c r="L78" s="222">
        <f>ROUND(data!CA66,0)</f>
        <v>376</v>
      </c>
      <c r="M78" s="66">
        <f>ROUND(data!CA67,0)</f>
        <v>741</v>
      </c>
      <c r="N78" s="222">
        <f>ROUND(data!CA68,0)</f>
        <v>31792</v>
      </c>
      <c r="O78" s="222">
        <f>ROUND(data!CA69,0)</f>
        <v>1035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1035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142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112299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142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-0.46</v>
      </c>
      <c r="G80" s="222">
        <f>ROUND(data!CC61,0)</f>
        <v>3105093</v>
      </c>
      <c r="H80" s="222">
        <f>ROUND(data!CC62,0)</f>
        <v>523236</v>
      </c>
      <c r="I80" s="222">
        <f>ROUND(data!CC63,0)</f>
        <v>1885450</v>
      </c>
      <c r="J80" s="222">
        <f>ROUND(data!CC64,0)</f>
        <v>-65403</v>
      </c>
      <c r="K80" s="222">
        <f>ROUND(data!CC65,0)</f>
        <v>9896</v>
      </c>
      <c r="L80" s="222">
        <f>ROUND(data!CC66,0)</f>
        <v>71850352</v>
      </c>
      <c r="M80" s="66">
        <f>ROUND(data!CC67,0)</f>
        <v>638247</v>
      </c>
      <c r="N80" s="222">
        <f>ROUND(data!CC68,0)</f>
        <v>-260604</v>
      </c>
      <c r="O80" s="222">
        <f>ROUND(data!CC69,0)</f>
        <v>1341255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1341255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St Michael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H-142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1800 Northwest Myhre Road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Silverdale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142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34495848.1</v>
      </c>
      <c r="D15" s="275">
        <f>'Prior Year'!C60</f>
        <v>0</v>
      </c>
      <c r="E15" s="1">
        <f>data!C59</f>
        <v>7780</v>
      </c>
      <c r="F15" s="238" t="str">
        <f ref="F15:F59" t="shared" si="0">IF(B15=0,"",IF(D15=0,"",B15/D15))</f>
      </c>
      <c r="G15" s="238">
        <f ref="G15:G29" t="shared" si="1">IF(C15=0,"",IF(E15=0,"",C15/E15))</f>
        <v>4433.9136375321341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69379548.089999989</v>
      </c>
      <c r="D17" s="275">
        <f>'Prior Year'!E60</f>
        <v>0</v>
      </c>
      <c r="E17" s="1">
        <f>data!E59</f>
        <v>66015</v>
      </c>
      <c r="F17" s="238" t="str">
        <f t="shared" si="0"/>
      </c>
      <c r="G17" s="238">
        <f t="shared" si="1"/>
        <v>1050.9664180867983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685.78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16359361.550000005</v>
      </c>
      <c r="D27" s="275">
        <f>'Prior Year'!O60</f>
        <v>0</v>
      </c>
      <c r="E27" s="1">
        <f>data!O59</f>
        <v>7639</v>
      </c>
      <c r="F27" s="238" t="str">
        <f t="shared" si="0"/>
      </c>
      <c r="G27" s="238">
        <f t="shared" si="1"/>
        <v>2141.5579984291144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82496118.669999987</v>
      </c>
      <c r="D28" s="275">
        <f>'Prior Year'!P60</f>
        <v>0</v>
      </c>
      <c r="E28" s="1">
        <f>data!P59</f>
        <v>1069692</v>
      </c>
      <c r="F28" s="238" t="str">
        <f t="shared" si="0"/>
      </c>
      <c r="G28" s="238">
        <f t="shared" si="1"/>
        <v>77.121375751150779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11411115.409999998</v>
      </c>
      <c r="D29" s="275">
        <f>'Prior Year'!Q60</f>
        <v>0</v>
      </c>
      <c r="E29" s="1">
        <f>data!Q59</f>
        <v>798795</v>
      </c>
      <c r="F29" s="238" t="str">
        <f t="shared" si="0"/>
      </c>
      <c r="G29" s="238">
        <f t="shared" si="1"/>
        <v>14.285411663818625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2654341.53</v>
      </c>
      <c r="D30" s="275">
        <f>'Prior Year'!R60</f>
        <v>0</v>
      </c>
      <c r="E30" s="1">
        <f>data!R59</f>
        <v>1181670</v>
      </c>
      <c r="F30" s="238" t="str">
        <f t="shared" si="0"/>
      </c>
      <c r="G30" s="238">
        <f>IFERROR(IF(C30=0,"",IF(E30=0,"",C30/E30)),"")</f>
        <v>2.2462629414303485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2330389.73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0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16901696.429999996</v>
      </c>
      <c r="D33" s="275">
        <f>'Prior Year'!U60</f>
        <v>0</v>
      </c>
      <c r="E33" s="1">
        <f>data!U59</f>
        <v>1496104</v>
      </c>
      <c r="F33" s="238" t="str">
        <f t="shared" si="0"/>
      </c>
      <c r="G33" s="238">
        <f ref="G33:G69" t="shared" si="5">IF(C33=0,"",IF(E33=0,"",C33/E33))</f>
        <v>11.297140058445132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1256469.42</v>
      </c>
      <c r="D34" s="275">
        <f>'Prior Year'!V60</f>
        <v>0</v>
      </c>
      <c r="E34" s="1">
        <f>data!V59</f>
        <v>44890.541000000005</v>
      </c>
      <c r="F34" s="238" t="str">
        <f t="shared" si="0"/>
      </c>
      <c r="G34" s="238">
        <f t="shared" si="5"/>
        <v>27.989625253124032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1899341.3599999999</v>
      </c>
      <c r="D35" s="275">
        <f>'Prior Year'!W60</f>
        <v>0</v>
      </c>
      <c r="E35" s="1">
        <f>data!W59</f>
        <v>29713.576499999988</v>
      </c>
      <c r="F35" s="238" t="str">
        <f t="shared" si="0"/>
      </c>
      <c r="G35" s="238">
        <f t="shared" si="5"/>
        <v>63.921667591917135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</c>
      <c r="G36" s="238" t="str">
        <f t="shared" si="5"/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21299022.88</v>
      </c>
      <c r="D37" s="275">
        <f>'Prior Year'!Y60</f>
        <v>0</v>
      </c>
      <c r="E37" s="1">
        <f>data!Y59</f>
        <v>369773.0084</v>
      </c>
      <c r="F37" s="238" t="str">
        <f t="shared" si="0"/>
      </c>
      <c r="G37" s="238">
        <f t="shared" si="5"/>
        <v>57.600263935327305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4675063.4999999991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2870297.54</v>
      </c>
      <c r="D39" s="275">
        <f>'Prior Year'!AA60</f>
        <v>0</v>
      </c>
      <c r="E39" s="1">
        <f>data!AA59</f>
        <v>46831.7834</v>
      </c>
      <c r="F39" s="238" t="str">
        <f t="shared" si="0"/>
      </c>
      <c r="G39" s="238">
        <f t="shared" si="5"/>
        <v>61.289520313249483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26888323.160000008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8082532.27</v>
      </c>
      <c r="D41" s="275">
        <f>'Prior Year'!AC60</f>
        <v>0</v>
      </c>
      <c r="E41" s="1">
        <f>data!AC59</f>
        <v>171876.889</v>
      </c>
      <c r="F41" s="238" t="str">
        <f t="shared" si="0"/>
      </c>
      <c r="G41" s="238">
        <f t="shared" si="5"/>
        <v>47.025125466402869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1321766.1300000001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3753310.2599999988</v>
      </c>
      <c r="D43" s="275">
        <f>'Prior Year'!AE60</f>
        <v>0</v>
      </c>
      <c r="E43" s="1">
        <f>data!AE59</f>
        <v>108726.2721</v>
      </c>
      <c r="F43" s="238" t="str">
        <f t="shared" si="0"/>
      </c>
      <c r="G43" s="238">
        <f t="shared" si="5"/>
        <v>34.520729787809941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29710774.550000008</v>
      </c>
      <c r="D45" s="275">
        <f>'Prior Year'!AG60</f>
        <v>0</v>
      </c>
      <c r="E45" s="1">
        <f>data!AG59</f>
        <v>70124</v>
      </c>
      <c r="F45" s="238" t="str">
        <f t="shared" si="0"/>
      </c>
      <c r="G45" s="238">
        <f t="shared" si="5"/>
        <v>423.68910144886212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166699377.44</v>
      </c>
      <c r="D48" s="275">
        <f>'Prior Year'!AJ60</f>
        <v>0</v>
      </c>
      <c r="E48" s="1">
        <f>data!AJ59</f>
        <v>495885.54</v>
      </c>
      <c r="F48" s="238" t="str">
        <f t="shared" si="0"/>
      </c>
      <c r="G48" s="238">
        <f t="shared" si="5"/>
        <v>336.16503001882251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1278556.8399999999</v>
      </c>
      <c r="D49" s="275">
        <f>'Prior Year'!AK60</f>
        <v>0</v>
      </c>
      <c r="E49" s="1">
        <f>data!AK59</f>
        <v>33178</v>
      </c>
      <c r="F49" s="238" t="str">
        <f t="shared" si="0"/>
      </c>
      <c r="G49" s="238">
        <f t="shared" si="5"/>
        <v>38.536284284767007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873346.49</v>
      </c>
      <c r="D50" s="275">
        <f>'Prior Year'!AL60</f>
        <v>0</v>
      </c>
      <c r="E50" s="1">
        <f>data!AL59</f>
        <v>7896</v>
      </c>
      <c r="F50" s="238" t="str">
        <f t="shared" si="0"/>
      </c>
      <c r="G50" s="238">
        <f t="shared" si="5"/>
        <v>110.6061917426545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48151632.840000026</v>
      </c>
      <c r="D54" s="275">
        <f>'Prior Year'!AP60</f>
        <v>0</v>
      </c>
      <c r="E54" s="1">
        <f>data!AP59</f>
        <v>703518</v>
      </c>
      <c r="F54" s="238" t="str">
        <f t="shared" si="0"/>
      </c>
      <c r="G54" s="238">
        <f t="shared" si="5"/>
        <v>68.444066591046749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3086795.18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0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5119096.1499999994</v>
      </c>
      <c r="D63" s="275">
        <f>'Prior Year'!AY60</f>
        <v>0</v>
      </c>
      <c r="E63" s="1">
        <f>data!AY59</f>
        <v>256436</v>
      </c>
      <c r="F63" s="238" t="str">
        <f>IF(B63=0,"",IF(D63=0,"",B63/D63))</f>
      </c>
      <c r="G63" s="238">
        <f t="shared" si="5"/>
        <v>19.962470752936404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81597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111947.01000000001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0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967413.80999999982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-1898660.99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17275014.01</v>
      </c>
      <c r="D69" s="275">
        <f>'Prior Year'!BE60</f>
        <v>0</v>
      </c>
      <c r="E69" s="1">
        <f>data!BE59</f>
        <v>622529.54116863827</v>
      </c>
      <c r="F69" s="238" t="str">
        <f>IF(B69=0,"",IF(D69=0,"",B69/D69))</f>
      </c>
      <c r="G69" s="238">
        <f t="shared" si="5"/>
        <v>27.749709640398155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4350304.9399999995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483675.77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0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-34839.28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0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16136302.39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5254498.18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0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16692227.31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0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0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275478.16000000003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-89734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0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8371954.6099999994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-27240.78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0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5743867.9300000016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3213052.06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1005925.39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112299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79027521.940000013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20218612.879999995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14253111.020000001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2982605.5299999714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H-142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 Michael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98383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Kitsap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253-588-1711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253-588-3001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12590</v>
      </c>
      <c r="G23" s="81">
        <f>data!D127</f>
        <v>73795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1925</v>
      </c>
      <c r="G26" s="81">
        <f>data!D130</f>
        <v>2978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24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24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156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10</v>
      </c>
    </row>
    <row r="34" ht="20.1" customHeight="1">
      <c r="A34" s="77"/>
      <c r="B34" s="97" t="s">
        <v>851</v>
      </c>
      <c r="C34" s="81"/>
      <c r="D34" s="81">
        <f>data!C136</f>
        <v>34</v>
      </c>
      <c r="E34" s="78" t="s">
        <v>352</v>
      </c>
      <c r="F34" s="81"/>
      <c r="G34" s="81">
        <f>data!E143</f>
        <v>248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336</v>
      </c>
    </row>
    <row r="37" ht="20.1" customHeight="1">
      <c r="A37" s="77"/>
      <c r="E37" s="78" t="s">
        <v>354</v>
      </c>
      <c r="F37" s="81"/>
      <c r="G37" s="81">
        <f>data!C145</f>
        <v>22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St Michael Medical Center</v>
      </c>
      <c r="G2" s="4" t="s">
        <v>857</v>
      </c>
    </row>
    <row r="3" ht="20.1" customHeight="1">
      <c r="G3" s="4" t="str">
        <f>"FYE: "&amp;data!C96</f>
        <v>FYE: 06/30/2022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6473</v>
      </c>
      <c r="C7" s="141">
        <f>data!B155</f>
        <v>45257</v>
      </c>
      <c r="D7" s="141">
        <f>data!B156</f>
        <v>0</v>
      </c>
      <c r="E7" s="141">
        <f>data!B157</f>
        <v>813455505.57</v>
      </c>
      <c r="F7" s="141">
        <f>data!B158</f>
        <v>992592733.15</v>
      </c>
      <c r="G7" s="141">
        <f>data!B157+data!B158</f>
        <v>1806048238.72</v>
      </c>
    </row>
    <row r="8" ht="20.1" customHeight="1">
      <c r="A8" s="77" t="s">
        <v>359</v>
      </c>
      <c r="B8" s="141">
        <f>data!C154</f>
        <v>2271</v>
      </c>
      <c r="C8" s="141">
        <f>data!C155</f>
        <v>12346</v>
      </c>
      <c r="D8" s="141">
        <f>data!C156</f>
        <v>0</v>
      </c>
      <c r="E8" s="141">
        <f>data!C157</f>
        <v>206416479.38</v>
      </c>
      <c r="F8" s="141">
        <f>data!C158</f>
        <v>291255419.13</v>
      </c>
      <c r="G8" s="141">
        <f>data!C157+data!C158</f>
        <v>497671898.51</v>
      </c>
    </row>
    <row r="9" ht="20.1" customHeight="1">
      <c r="A9" s="77" t="s">
        <v>862</v>
      </c>
      <c r="B9" s="141">
        <f>data!D154</f>
        <v>3846</v>
      </c>
      <c r="C9" s="141">
        <f>data!D155</f>
        <v>16192</v>
      </c>
      <c r="D9" s="141">
        <f>data!D156</f>
        <v>0</v>
      </c>
      <c r="E9" s="141">
        <f>data!D157</f>
        <v>324593080.08999979</v>
      </c>
      <c r="F9" s="141">
        <f>data!D158</f>
        <v>759426086.40000021</v>
      </c>
      <c r="G9" s="141">
        <f>data!D157+data!D158</f>
        <v>1084019166.49</v>
      </c>
    </row>
    <row r="10" ht="20.1" customHeight="1">
      <c r="A10" s="92" t="s">
        <v>230</v>
      </c>
      <c r="B10" s="141">
        <f>data!E154</f>
        <v>12590</v>
      </c>
      <c r="C10" s="141">
        <f>data!E155</f>
        <v>73795</v>
      </c>
      <c r="D10" s="141">
        <f>data!E156</f>
        <v>0</v>
      </c>
      <c r="E10" s="141">
        <f>data!E157</f>
        <v>1344465065.04</v>
      </c>
      <c r="F10" s="141">
        <f>data!E158</f>
        <v>2043274238.6800003</v>
      </c>
      <c r="G10" s="141">
        <f>E10+F10</f>
        <v>3387739303.7200003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St Michael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14405484.28</v>
      </c>
    </row>
    <row r="7" ht="20.1" customHeight="1">
      <c r="A7" s="158">
        <v>3</v>
      </c>
      <c r="B7" s="97" t="s">
        <v>370</v>
      </c>
      <c r="C7" s="77">
        <f>data!C182</f>
        <v>-11948.699299592037</v>
      </c>
    </row>
    <row r="8" ht="20.1" customHeight="1">
      <c r="A8" s="158">
        <v>4</v>
      </c>
      <c r="B8" s="78" t="s">
        <v>371</v>
      </c>
      <c r="C8" s="77">
        <f>data!C183</f>
        <v>1706352.63777623</v>
      </c>
    </row>
    <row r="9" ht="20.1" customHeight="1">
      <c r="A9" s="158">
        <v>5</v>
      </c>
      <c r="B9" s="78" t="s">
        <v>372</v>
      </c>
      <c r="C9" s="77">
        <f>data!C184</f>
        <v>15860730.690389706</v>
      </c>
    </row>
    <row r="10" ht="20.1" customHeight="1">
      <c r="A10" s="158">
        <v>6</v>
      </c>
      <c r="B10" s="78" t="s">
        <v>373</v>
      </c>
      <c r="C10" s="77">
        <f>data!C185</f>
        <v>305873.18941203516</v>
      </c>
    </row>
    <row r="11" ht="20.1" customHeight="1">
      <c r="A11" s="158">
        <v>7</v>
      </c>
      <c r="B11" s="78" t="s">
        <v>374</v>
      </c>
      <c r="C11" s="77">
        <f>data!C186</f>
        <v>15288257.895424742</v>
      </c>
    </row>
    <row r="12" ht="20.1" customHeight="1">
      <c r="A12" s="158">
        <v>8</v>
      </c>
      <c r="B12" s="78" t="s">
        <v>375</v>
      </c>
      <c r="C12" s="77">
        <f>data!C187</f>
        <v>0</v>
      </c>
    </row>
    <row r="13" ht="20.1" customHeight="1">
      <c r="A13" s="158">
        <v>9</v>
      </c>
      <c r="B13" s="78" t="s">
        <v>375</v>
      </c>
      <c r="C13" s="77">
        <f>data!C188</f>
        <v>843935.14629688114</v>
      </c>
    </row>
    <row r="14" ht="20.1" customHeight="1">
      <c r="A14" s="158">
        <v>10</v>
      </c>
      <c r="B14" s="78" t="s">
        <v>870</v>
      </c>
      <c r="C14" s="77">
        <f>data!D189</f>
        <v>48398685.14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13368091.04</v>
      </c>
    </row>
    <row r="19" ht="20.1" customHeight="1">
      <c r="A19" s="77">
        <v>13</v>
      </c>
      <c r="B19" s="78" t="s">
        <v>872</v>
      </c>
      <c r="C19" s="77">
        <f>data!C192</f>
        <v>2945779.4500000011</v>
      </c>
    </row>
    <row r="20" ht="20.1" customHeight="1">
      <c r="A20" s="77">
        <v>14</v>
      </c>
      <c r="B20" s="78" t="s">
        <v>873</v>
      </c>
      <c r="C20" s="77">
        <f>data!D193</f>
        <v>16313870.49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5331335.87</v>
      </c>
    </row>
    <row r="26" ht="20.1" customHeight="1">
      <c r="A26" s="77">
        <v>18</v>
      </c>
      <c r="B26" s="78" t="s">
        <v>381</v>
      </c>
      <c r="C26" s="77">
        <f>data!C196</f>
        <v>-2573478.97</v>
      </c>
    </row>
    <row r="27" ht="20.1" customHeight="1">
      <c r="A27" s="77">
        <v>19</v>
      </c>
      <c r="B27" s="78" t="s">
        <v>876</v>
      </c>
      <c r="C27" s="77">
        <f>data!D197</f>
        <v>2757856.9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293656.69</v>
      </c>
    </row>
    <row r="32" ht="20.1" customHeight="1">
      <c r="A32" s="77">
        <v>22</v>
      </c>
      <c r="B32" s="78" t="s">
        <v>878</v>
      </c>
      <c r="C32" s="77">
        <f>data!C200</f>
        <v>16097416.69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16391073.379999999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3765093.81</v>
      </c>
    </row>
    <row r="40" ht="20.1" customHeight="1">
      <c r="A40" s="77">
        <v>28</v>
      </c>
      <c r="B40" s="78" t="s">
        <v>881</v>
      </c>
      <c r="C40" s="77">
        <f>data!D206</f>
        <v>3765093.81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St Michael Medical Center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6695719.13</v>
      </c>
      <c r="D7" s="81">
        <f>data!C225</f>
        <v>30117.120000000003</v>
      </c>
      <c r="E7" s="81">
        <f>data!D225</f>
        <v>0</v>
      </c>
      <c r="F7" s="81">
        <f>data!E211</f>
        <v>33785517.86</v>
      </c>
    </row>
    <row r="8" ht="20.1" customHeight="1">
      <c r="A8" s="77">
        <v>2</v>
      </c>
      <c r="B8" s="81" t="s">
        <v>395</v>
      </c>
      <c r="C8" s="81">
        <f>data!B212</f>
        <v>2153149</v>
      </c>
      <c r="D8" s="81">
        <f>data!C226</f>
        <v>9716669.290000001</v>
      </c>
      <c r="E8" s="81">
        <f>data!D226</f>
        <v>0</v>
      </c>
      <c r="F8" s="81">
        <f>data!E212</f>
        <v>2153149</v>
      </c>
    </row>
    <row r="9" ht="20.1" customHeight="1">
      <c r="A9" s="77">
        <v>3</v>
      </c>
      <c r="B9" s="81" t="s">
        <v>396</v>
      </c>
      <c r="C9" s="81">
        <f>data!B213</f>
        <v>99727204.21</v>
      </c>
      <c r="D9" s="81">
        <f>data!C227</f>
        <v>-763813.67999999993</v>
      </c>
      <c r="E9" s="81">
        <f>data!D227</f>
        <v>15846.830000000016</v>
      </c>
      <c r="F9" s="81">
        <f>data!E213</f>
        <v>588347864.91</v>
      </c>
    </row>
    <row r="10" ht="20.1" customHeight="1">
      <c r="A10" s="77">
        <v>4</v>
      </c>
      <c r="B10" s="81" t="s">
        <v>887</v>
      </c>
      <c r="C10" s="81">
        <f>data!B214</f>
        <v>8861910.75</v>
      </c>
      <c r="D10" s="81">
        <f>data!C228</f>
        <v>420567.73000000004</v>
      </c>
      <c r="E10" s="81">
        <f>data!D228</f>
        <v>23111.5</v>
      </c>
      <c r="F10" s="81">
        <f>data!E214</f>
        <v>8812566.61</v>
      </c>
    </row>
    <row r="11" ht="20.1" customHeight="1">
      <c r="A11" s="77">
        <v>5</v>
      </c>
      <c r="B11" s="81" t="s">
        <v>888</v>
      </c>
      <c r="C11" s="81">
        <f>data!B215</f>
        <v>4769440.91</v>
      </c>
      <c r="D11" s="81">
        <f>data!C229</f>
        <v>3843486.8899999894</v>
      </c>
      <c r="E11" s="81">
        <f>data!D229</f>
        <v>12000880.019999985</v>
      </c>
      <c r="F11" s="81">
        <f>data!E215</f>
        <v>8247813</v>
      </c>
    </row>
    <row r="12" ht="20.1" customHeight="1">
      <c r="A12" s="77">
        <v>6</v>
      </c>
      <c r="B12" s="81" t="s">
        <v>889</v>
      </c>
      <c r="C12" s="81">
        <f>data!B216</f>
        <v>149076690.34999996</v>
      </c>
      <c r="D12" s="81">
        <f>data!C230</f>
        <v>0</v>
      </c>
      <c r="E12" s="81">
        <f>data!D230</f>
        <v>0</v>
      </c>
      <c r="F12" s="81">
        <f>data!E216</f>
        <v>234011092.05999994</v>
      </c>
    </row>
    <row r="13" ht="20.1" customHeight="1">
      <c r="A13" s="77">
        <v>7</v>
      </c>
      <c r="B13" s="81" t="s">
        <v>890</v>
      </c>
      <c r="C13" s="81">
        <f>data!B217</f>
        <v>0</v>
      </c>
      <c r="D13" s="81">
        <f>data!C231</f>
        <v>1907698.78</v>
      </c>
      <c r="E13" s="81">
        <f>data!D231</f>
        <v>647995.7200000002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34205827.95</v>
      </c>
      <c r="D14" s="81">
        <f>data!C232</f>
        <v>0</v>
      </c>
      <c r="E14" s="81">
        <f>data!D232</f>
        <v>0</v>
      </c>
      <c r="F14" s="81">
        <f>data!E218</f>
        <v>33248239.1</v>
      </c>
    </row>
    <row r="15" ht="20.1" customHeight="1">
      <c r="A15" s="77">
        <v>9</v>
      </c>
      <c r="B15" s="81" t="s">
        <v>891</v>
      </c>
      <c r="C15" s="81">
        <f>data!B219</f>
        <v>605271626.58</v>
      </c>
      <c r="D15" s="81">
        <f>data!C233</f>
        <v>15154726.12999999</v>
      </c>
      <c r="E15" s="81">
        <f>data!D233</f>
        <v>12687834.069999985</v>
      </c>
      <c r="F15" s="81">
        <f>data!E219</f>
        <v>2383748.1799999475</v>
      </c>
    </row>
    <row r="16" ht="20.1" customHeight="1">
      <c r="A16" s="77">
        <v>10</v>
      </c>
      <c r="B16" s="81" t="s">
        <v>615</v>
      </c>
      <c r="C16" s="81">
        <f>data!B220</f>
        <v>910761568.88</v>
      </c>
      <c r="D16" s="81">
        <f>data!C234</f>
        <v>0</v>
      </c>
      <c r="E16" s="81">
        <f>data!D234</f>
        <v>0</v>
      </c>
      <c r="F16" s="81">
        <f>data!E220</f>
        <v>910989990.71999991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1197155.3900000001</v>
      </c>
      <c r="D24" s="81">
        <f>data!C225</f>
        <v>30117.120000000003</v>
      </c>
      <c r="E24" s="81">
        <f>data!D225</f>
        <v>0</v>
      </c>
      <c r="F24" s="81">
        <f>data!E225</f>
        <v>1227272.5100000002</v>
      </c>
    </row>
    <row r="25" ht="20.1" customHeight="1">
      <c r="A25" s="77">
        <v>13</v>
      </c>
      <c r="B25" s="81" t="s">
        <v>396</v>
      </c>
      <c r="C25" s="81">
        <f>data!B226</f>
        <v>77633661.62</v>
      </c>
      <c r="D25" s="81">
        <f>data!C226</f>
        <v>9716669.290000001</v>
      </c>
      <c r="E25" s="81">
        <f>data!D226</f>
        <v>0</v>
      </c>
      <c r="F25" s="81">
        <f>data!E226</f>
        <v>87350330.910000011</v>
      </c>
    </row>
    <row r="26" ht="20.1" customHeight="1">
      <c r="A26" s="77">
        <v>14</v>
      </c>
      <c r="B26" s="81" t="s">
        <v>887</v>
      </c>
      <c r="C26" s="81">
        <f>data!B227</f>
        <v>7674327.15</v>
      </c>
      <c r="D26" s="81">
        <f>data!C227</f>
        <v>-763813.67999999993</v>
      </c>
      <c r="E26" s="81">
        <f>data!D227</f>
        <v>15846.830000000016</v>
      </c>
      <c r="F26" s="81">
        <f>data!E227</f>
        <v>6894666.6400000006</v>
      </c>
    </row>
    <row r="27" ht="20.1" customHeight="1">
      <c r="A27" s="77">
        <v>15</v>
      </c>
      <c r="B27" s="81" t="s">
        <v>888</v>
      </c>
      <c r="C27" s="81">
        <f>data!B228</f>
        <v>4244574.6000000006</v>
      </c>
      <c r="D27" s="81">
        <f>data!C228</f>
        <v>420567.73000000004</v>
      </c>
      <c r="E27" s="81">
        <f>data!D228</f>
        <v>23111.5</v>
      </c>
      <c r="F27" s="81">
        <f>data!E228</f>
        <v>4642030.830000001</v>
      </c>
    </row>
    <row r="28" ht="20.1" customHeight="1">
      <c r="A28" s="77">
        <v>16</v>
      </c>
      <c r="B28" s="81" t="s">
        <v>889</v>
      </c>
      <c r="C28" s="81">
        <f>data!B229</f>
        <v>155858683.92</v>
      </c>
      <c r="D28" s="81">
        <f>data!C229</f>
        <v>3843486.8899999894</v>
      </c>
      <c r="E28" s="81">
        <f>data!D229</f>
        <v>12000880.019999985</v>
      </c>
      <c r="F28" s="81">
        <f>data!E229</f>
        <v>147701290.79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22640553.71</v>
      </c>
      <c r="D30" s="81">
        <f>data!C231</f>
        <v>1907698.78</v>
      </c>
      <c r="E30" s="81">
        <f>data!D231</f>
        <v>647995.7200000002</v>
      </c>
      <c r="F30" s="81">
        <f>data!E231</f>
        <v>23900256.770000003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269248956.39</v>
      </c>
      <c r="D32" s="81">
        <f>data!C233</f>
        <v>15154726.12999999</v>
      </c>
      <c r="E32" s="81">
        <f>data!D233</f>
        <v>12687834.069999985</v>
      </c>
      <c r="F32" s="81">
        <f>data!E233</f>
        <v>271715848.45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St Michael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14316457.84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1514056536.92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428728521.17999995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232867137.81000003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376184262.01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31778503.43</v>
      </c>
    </row>
    <row r="13" ht="20.1" customHeight="1">
      <c r="A13" s="77">
        <v>9</v>
      </c>
      <c r="B13" s="81"/>
      <c r="C13" s="81" t="s">
        <v>898</v>
      </c>
      <c r="D13" s="81">
        <f>data!D245</f>
        <v>2583614961.35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10682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4534159.11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10130408.08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14664567.190000001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16369391.540000001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16369391.540000001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