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622577B1-E9B6-4572-A36C-3C8A8C14061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<sst xmlns="http://schemas.openxmlformats.org/spreadsheetml/2006/main" count="1376" uniqueCount="1376">
  <si>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</si>
  <si>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</si>
  <si>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</si>
  <si>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</si>
  <si>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</si>
  <si>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</si>
  <si>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</si>
  <si>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</si>
  <si>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</si>
  <si>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</si>
  <si>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</si>
  <si>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</si>
  <si>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</si>
  <si>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</si>
  <si>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</si>
  <si>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</si>
  <si>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</si>
  <si>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</si>
  <si>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</si>
  <si>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</si>
  <si>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</si>
  <si>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</si>
  <si>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</si>
  <si>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</si>
  <si>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</si>
  <si>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</si>
  <si>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</si>
  <si>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</si>
  <si>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</si>
  <si>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</si>
  <si>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</si>
  <si>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</si>
  <si>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</si>
  <si>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</si>
  <si>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</si>
  <si>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</si>
  <si>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</si>
  <si>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</si>
  <si>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</si>
  <si>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</si>
  <si>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</si>
  <si>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</si>
  <si>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</si>
  <si>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</si>
  <si>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</si>
  <si>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</si>
  <si>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</si>
  <si>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</si>
  <si>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</si>
  <si>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</si>
  <si>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</si>
  <si>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</si>
  <si>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</si>
  <si>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</si>
  <si>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</si>
  <si>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</si>
  <si>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</si>
  <si>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</si>
  <si>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</si>
  <si>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</si>
  <si>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</si>
  <si>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</si>
  <si>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</si>
  <si>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</si>
  <si>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</si>
  <si>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</si>
  <si>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</si>
  <si>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</si>
  <si>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</si>
  <si>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</si>
  <si>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</si>
  <si>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</si>
  <si>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</si>
  <si>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</si>
  <si>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</si>
  <si>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</si>
  <si>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</si>
  <si>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</si>
  <si>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</si>
  <si>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</si>
  <si>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</si>
  <si>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</si>
  <si>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</si>
  <si>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</si>
  <si>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</si>
  <si>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</si>
  <si>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</si>
  <si>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</si>
  <si>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</si>
  <si>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</si>
  <si>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</si>
  <si>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</si>
  <si>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</si>
  <si>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</si>
  <si>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</si>
  <si>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</si>
  <si>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</si>
  <si>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</si>
  <si>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</si>
  <si>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</si>
  <si>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</si>
  <si>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</si>
  <si>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</si>
  <si>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</si>
  <si>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</si>
  <si>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</si>
  <si>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</si>
  <si>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</si>
  <si>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</si>
  <si>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</si>
  <si>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</si>
  <si>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</si>
  <si>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</si>
  <si>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</si>
  <si>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</si>
  <si>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</si>
  <si>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</si>
  <si>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</si>
  <si>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</si>
  <si>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</si>
  <si>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</si>
  <si>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</si>
  <si>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</si>
  <si>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</si>
  <si>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</si>
  <si>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</si>
  <si>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</si>
  <si>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</si>
  <si>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</si>
  <si>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</si>
  <si>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</si>
  <si>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</si>
  <si>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</si>
  <si>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</si>
  <si>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</si>
  <si>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</si>
  <si>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</si>
  <si>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</si>
  <si>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</si>
  <si>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</si>
  <si>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</si>
  <si>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</si>
  <si>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</si>
  <si>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</si>
  <si>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</si>
  <si>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</si>
  <si>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</si>
  <si>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</si>
  <si>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</si>
  <si>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</si>
  <si>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</si>
  <si>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</si>
  <si>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</si>
  <si>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</si>
  <si>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</si>
  <si>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</si>
  <si>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</si>
  <si>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</si>
  <si>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</si>
  <si>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</si>
  <si>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</si>
  <si>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</si>
  <si>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</si>
  <si>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</si>
  <si>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</si>
  <si>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</si>
  <si>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</si>
  <si>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</si>
  <si>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</si>
  <si>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</si>
  <si>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</si>
  <si>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</si>
  <si>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</si>
  <si>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</si>
  <si>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</si>
  <si>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</si>
  <si>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</si>
  <si>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</si>
  <si>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</si>
  <si>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</si>
  <si>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</si>
  <si>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</si>
  <si>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</si>
  <si>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</si>
  <si>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</si>
  <si>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</si>
  <si>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</si>
  <si>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</si>
  <si>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</si>
  <si>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</si>
  <si>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</si>
  <si>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</si>
  <si>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</si>
  <si>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</si>
  <si>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</si>
  <si>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</si>
  <si>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</si>
  <si>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</si>
  <si>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</si>
  <si>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</si>
  <si>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</si>
  <si>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</si>
  <si>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</si>
  <si>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</si>
  <si>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</si>
  <si>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</si>
  <si>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</si>
  <si>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</si>
  <si>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</si>
  <si>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</si>
  <si>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</si>
  <si>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</si>
  <si>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</si>
  <si>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</si>
  <si>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</si>
  <si>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</si>
  <si>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</si>
  <si>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</si>
  <si>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</si>
  <si>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</si>
  <si>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</si>
  <si>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</si>
  <si>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</si>
  <si>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</si>
  <si>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</si>
  <si>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</si>
  <si>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</si>
  <si>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</si>
  <si>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</si>
  <si>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</si>
  <si>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</si>
  <si>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</si>
  <si>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</si>
  <si>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</si>
  <si>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</si>
  <si>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</si>
  <si>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</si>
  <si>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</si>
  <si>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</si>
  <si>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</si>
  <si>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</si>
  <si>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</si>
  <si>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</si>
  <si>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</si>
  <si>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</si>
  <si>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</si>
  <si>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</si>
  <si>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</si>
  <si>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</si>
  <si>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</si>
  <si>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</si>
  <si>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</si>
  <si>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</si>
  <si>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</si>
  <si>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</si>
  <si>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</si>
  <si>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</si>
  <si>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</si>
  <si>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</si>
  <si>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</si>
  <si>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</si>
  <si>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</si>
  <si>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</si>
  <si>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</si>
  <si>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</si>
  <si>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</si>
  <si>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</si>
  <si>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</si>
  <si>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</si>
  <si>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</si>
  <si>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</si>
  <si>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</si>
  <si>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</si>
  <si>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</si>
  <si>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</si>
  <si>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</si>
  <si>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</si>
  <si>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</si>
  <si>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</si>
  <si>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</si>
  <si>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</si>
  <si>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</si>
  <si>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</si>
  <si>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</si>
  <si>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</si>
  <si>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</si>
  <si>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</si>
  <si>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</si>
  <si>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</si>
  <si>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</si>
  <si>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</si>
  <si>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</si>
  <si>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</si>
  <si>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</si>
  <si>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</si>
  <si>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</si>
  <si>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</si>
  <si>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6/30/2022</t>
  </si>
  <si>
    <t>License Number</t>
  </si>
  <si>
    <t>:</t>
  </si>
  <si>
    <t>211</t>
  </si>
  <si>
    <t>Hospital Name</t>
  </si>
  <si>
    <t>PeaceHealth Peace Island Medical Center</t>
  </si>
  <si>
    <t>Mailing Address</t>
  </si>
  <si>
    <t>1117 Spring Street</t>
  </si>
  <si>
    <t>City</t>
  </si>
  <si>
    <t>Friday Harbor</t>
  </si>
  <si>
    <t>State</t>
  </si>
  <si>
    <t>WA</t>
  </si>
  <si>
    <t>Zip</t>
  </si>
  <si>
    <t>County</t>
  </si>
  <si>
    <t>San Juan</t>
  </si>
  <si>
    <t>Chief Executive Officer</t>
  </si>
  <si>
    <t>Charles Prosper</t>
  </si>
  <si>
    <t>Chief Financial Officer</t>
  </si>
  <si>
    <t>Krista Touros</t>
  </si>
  <si>
    <t>Chair of Governing Board</t>
  </si>
  <si>
    <t>N/A</t>
  </si>
  <si>
    <t>Telephone Number</t>
  </si>
  <si>
    <t>360-378-2141</t>
  </si>
  <si>
    <t>Facsimile Number</t>
  </si>
  <si>
    <t>360-378-1788</t>
  </si>
  <si>
    <t>Name of Submitter</t>
  </si>
  <si>
    <t>Nichole Reeves</t>
  </si>
  <si>
    <t>Email of Submitter</t>
  </si>
  <si>
    <t>NReeves@peacehealth.org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</si>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</sst>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0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4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29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NReeves@peacehealth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7" transitionEvaluation="1" transitionEntry="1" codeName="Sheet1">
    <tabColor rgb="FF92D050"/>
    <pageSetUpPr autoPageBreaks="0" fitToPage="1"/>
  </sheetPr>
  <dimension ref="A1:CF716"/>
  <sheetViews>
    <sheetView tabSelected="1" topLeftCell="A397" zoomScaleNormal="100" workbookViewId="0">
      <selection activeCell="C422" sqref="C422:C423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2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3" t="s">
        <v>28</v>
      </c>
      <c r="B36" s="334"/>
      <c r="C36" s="335"/>
      <c r="D36" s="334"/>
      <c r="E36" s="334"/>
      <c r="F36" s="334"/>
      <c r="G36" s="334"/>
    </row>
    <row r="37">
      <c r="A37" s="336" t="s">
        <v>29</v>
      </c>
      <c r="B37" s="337"/>
      <c r="C37" s="335"/>
      <c r="D37" s="334"/>
      <c r="E37" s="334"/>
      <c r="F37" s="334"/>
      <c r="G37" s="334"/>
    </row>
    <row r="38">
      <c r="A38" s="340" t="s">
        <v>30</v>
      </c>
      <c r="B38" s="337"/>
      <c r="C38" s="335"/>
      <c r="D38" s="334"/>
      <c r="E38" s="334"/>
      <c r="F38" s="334"/>
      <c r="G38" s="334"/>
    </row>
    <row r="39">
      <c r="A39" s="339" t="s">
        <v>31</v>
      </c>
      <c r="B39" s="334"/>
      <c r="C39" s="335"/>
      <c r="D39" s="334"/>
      <c r="E39" s="334"/>
      <c r="F39" s="334"/>
      <c r="G39" s="334"/>
    </row>
    <row r="40">
      <c r="A40" s="340" t="s">
        <v>32</v>
      </c>
      <c r="B40" s="334"/>
      <c r="C40" s="335"/>
      <c r="D40" s="334"/>
      <c r="E40" s="334"/>
      <c r="F40" s="334"/>
      <c r="G40" s="334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2327317.9000000004</v>
      </c>
      <c r="C47" s="24">
        <v>0</v>
      </c>
      <c r="D47" s="24">
        <v>0</v>
      </c>
      <c r="E47" s="24">
        <v>67537.5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78271.5</v>
      </c>
      <c r="Q47" s="24">
        <v>0</v>
      </c>
      <c r="R47" s="24">
        <v>0</v>
      </c>
      <c r="S47" s="24">
        <v>0</v>
      </c>
      <c r="T47" s="24">
        <v>66881.96</v>
      </c>
      <c r="U47" s="24">
        <v>127629.07</v>
      </c>
      <c r="V47" s="24">
        <v>0</v>
      </c>
      <c r="W47" s="24">
        <v>0</v>
      </c>
      <c r="X47" s="24">
        <v>0</v>
      </c>
      <c r="Y47" s="24">
        <v>162826.04</v>
      </c>
      <c r="Z47" s="24">
        <v>0</v>
      </c>
      <c r="AA47" s="24">
        <v>0</v>
      </c>
      <c r="AB47" s="24">
        <v>61819.25</v>
      </c>
      <c r="AC47" s="24">
        <v>0</v>
      </c>
      <c r="AD47" s="24">
        <v>0</v>
      </c>
      <c r="AE47" s="24">
        <v>57436.8</v>
      </c>
      <c r="AF47" s="24">
        <v>0</v>
      </c>
      <c r="AG47" s="24">
        <v>784598.56</v>
      </c>
      <c r="AH47" s="24">
        <v>0</v>
      </c>
      <c r="AI47" s="24">
        <v>0</v>
      </c>
      <c r="AJ47" s="24">
        <v>586063.75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6974.49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-96.94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32511.56</v>
      </c>
      <c r="BF47" s="24">
        <v>86386.84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197410.37</v>
      </c>
      <c r="BO47" s="24">
        <v>0</v>
      </c>
      <c r="BP47" s="24">
        <v>0</v>
      </c>
      <c r="BQ47" s="24">
        <v>0</v>
      </c>
      <c r="BR47" s="24">
        <v>2333.06</v>
      </c>
      <c r="BS47" s="24">
        <v>0</v>
      </c>
      <c r="BT47" s="24">
        <v>1294.58</v>
      </c>
      <c r="BU47" s="24">
        <v>0</v>
      </c>
      <c r="BV47" s="24">
        <v>0</v>
      </c>
      <c r="BW47" s="24">
        <v>4874.69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2564.82</v>
      </c>
      <c r="CD47" s="20"/>
      <c r="CE47" s="32">
        <f>SUM(C47:CC47)</f>
        <v>2327317.9000000004</v>
      </c>
    </row>
    <row r="48">
      <c r="A48" s="32" t="s">
        <v>232</v>
      </c>
      <c r="B48" s="312">
        <v>38735.94</v>
      </c>
      <c r="C48" s="32">
        <f>IF($B$48,(ROUND((($B$48/$CE$61)*C61),0)))</f>
        <v>0</v>
      </c>
      <c r="D48" s="32">
        <f ref="D48:BO48" t="shared" si="0">IF($B$48,(ROUND((($B$48/$CE$61)*D61),0)))</f>
        <v>0</v>
      </c>
      <c r="E48" s="32">
        <f t="shared" si="0"/>
        <v>2416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1434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860</v>
      </c>
      <c r="U48" s="32">
        <f t="shared" si="0"/>
        <v>2009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1943</v>
      </c>
      <c r="Z48" s="32">
        <f t="shared" si="0"/>
        <v>0</v>
      </c>
      <c r="AA48" s="32">
        <f t="shared" si="0"/>
        <v>0</v>
      </c>
      <c r="AB48" s="32">
        <f t="shared" si="0"/>
        <v>1578</v>
      </c>
      <c r="AC48" s="32">
        <f t="shared" si="0"/>
        <v>0</v>
      </c>
      <c r="AD48" s="32">
        <f t="shared" si="0"/>
        <v>0</v>
      </c>
      <c r="AE48" s="32">
        <f t="shared" si="0"/>
        <v>703</v>
      </c>
      <c r="AF48" s="32">
        <f t="shared" si="0"/>
        <v>0</v>
      </c>
      <c r="AG48" s="32">
        <f t="shared" si="0"/>
        <v>14992</v>
      </c>
      <c r="AH48" s="32">
        <f t="shared" si="0"/>
        <v>0</v>
      </c>
      <c r="AI48" s="32">
        <f t="shared" si="0"/>
        <v>0</v>
      </c>
      <c r="AJ48" s="32">
        <f t="shared" si="0"/>
        <v>8607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124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390</v>
      </c>
      <c r="BF48" s="32">
        <f t="shared" si="0"/>
        <v>768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2757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36</v>
      </c>
      <c r="BS48" s="32">
        <f t="shared" si="1"/>
        <v>0</v>
      </c>
      <c r="BT48" s="32">
        <f t="shared" si="1"/>
        <v>26</v>
      </c>
      <c r="BU48" s="32">
        <f t="shared" si="1"/>
        <v>0</v>
      </c>
      <c r="BV48" s="32">
        <f t="shared" si="1"/>
        <v>0</v>
      </c>
      <c r="BW48" s="32">
        <f t="shared" si="1"/>
        <v>91</v>
      </c>
      <c r="BX48" s="32">
        <f t="shared" si="1"/>
        <v>0</v>
      </c>
      <c r="BY48" s="32">
        <f t="shared" si="1"/>
        <v>0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38734</v>
      </c>
    </row>
    <row r="49">
      <c r="A49" s="20" t="s">
        <v>233</v>
      </c>
      <c r="B49" s="32">
        <f>B47+B48</f>
        <v>2366053.8400000003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1153423.24</v>
      </c>
      <c r="C51" s="24">
        <v>0</v>
      </c>
      <c r="D51" s="24">
        <v>0</v>
      </c>
      <c r="E51" s="24">
        <v>51827.39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51778.73</v>
      </c>
      <c r="Q51" s="24">
        <v>0</v>
      </c>
      <c r="R51" s="24">
        <v>0</v>
      </c>
      <c r="S51" s="24">
        <v>0</v>
      </c>
      <c r="T51" s="24">
        <v>3823.99</v>
      </c>
      <c r="U51" s="24">
        <v>5267.18</v>
      </c>
      <c r="V51" s="24">
        <v>0</v>
      </c>
      <c r="W51" s="24">
        <v>113749.03</v>
      </c>
      <c r="X51" s="24">
        <v>0</v>
      </c>
      <c r="Y51" s="24">
        <v>98835.41</v>
      </c>
      <c r="Z51" s="24">
        <v>0</v>
      </c>
      <c r="AA51" s="24">
        <v>0</v>
      </c>
      <c r="AB51" s="24">
        <v>4778.76</v>
      </c>
      <c r="AC51" s="24">
        <v>0</v>
      </c>
      <c r="AD51" s="24">
        <v>0</v>
      </c>
      <c r="AE51" s="24">
        <v>1594.21</v>
      </c>
      <c r="AF51" s="24">
        <v>0</v>
      </c>
      <c r="AG51" s="24">
        <v>19854.87</v>
      </c>
      <c r="AH51" s="24">
        <v>0</v>
      </c>
      <c r="AI51" s="24">
        <v>0</v>
      </c>
      <c r="AJ51" s="24">
        <v>18214.68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16040.35</v>
      </c>
      <c r="BF51" s="24">
        <v>5308.17</v>
      </c>
      <c r="BG51" s="24">
        <v>8023.73</v>
      </c>
      <c r="BH51" s="24">
        <v>0</v>
      </c>
      <c r="BI51" s="24">
        <v>89.74</v>
      </c>
      <c r="BJ51" s="24">
        <v>0</v>
      </c>
      <c r="BK51" s="24">
        <v>0</v>
      </c>
      <c r="BL51" s="24">
        <v>0</v>
      </c>
      <c r="BM51" s="24">
        <v>0</v>
      </c>
      <c r="BN51" s="24">
        <v>754237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f>SUM(C51:CD51)</f>
        <v>1153423.24</v>
      </c>
    </row>
    <row r="52">
      <c r="A52" s="39" t="s">
        <v>235</v>
      </c>
      <c r="B52" s="24">
        <v>827085.06</v>
      </c>
      <c r="C52" s="32">
        <f>IF($B$52,ROUND(($B$52/($CE$90+$CF$90)*C90),0))</f>
        <v>0</v>
      </c>
      <c r="D52" s="32">
        <f ref="D52:BO52" t="shared" si="2">IF($B$52,ROUND(($B$52/($CE$90+$CF$90)*D90),0))</f>
        <v>0</v>
      </c>
      <c r="E52" s="32">
        <f t="shared" si="2"/>
        <v>130499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107696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8750</v>
      </c>
      <c r="U52" s="32">
        <f t="shared" si="2"/>
        <v>14601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44275</v>
      </c>
      <c r="Z52" s="32">
        <f t="shared" si="2"/>
        <v>0</v>
      </c>
      <c r="AA52" s="32">
        <f t="shared" si="2"/>
        <v>0</v>
      </c>
      <c r="AB52" s="32">
        <f t="shared" si="2"/>
        <v>12982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106076</v>
      </c>
      <c r="AH52" s="32">
        <f t="shared" si="2"/>
        <v>0</v>
      </c>
      <c r="AI52" s="32">
        <f t="shared" si="2"/>
        <v>0</v>
      </c>
      <c r="AJ52" s="32">
        <f t="shared" si="2"/>
        <v>104221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51144</v>
      </c>
      <c r="BF52" s="32">
        <f t="shared" si="2"/>
        <v>8933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237907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827084</v>
      </c>
    </row>
    <row r="53">
      <c r="A53" s="20" t="s">
        <v>233</v>
      </c>
      <c r="B53" s="32">
        <f>B51+B52</f>
        <v>1980508.3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0</v>
      </c>
      <c r="D59" s="24">
        <v>0</v>
      </c>
      <c r="E59" s="24">
        <v>205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30">
        <v>15381</v>
      </c>
      <c r="Q59" s="30">
        <v>0</v>
      </c>
      <c r="R59" s="30">
        <v>0</v>
      </c>
      <c r="S59" s="313"/>
      <c r="T59" s="313"/>
      <c r="U59" s="31">
        <v>52409</v>
      </c>
      <c r="V59" s="30">
        <v>0</v>
      </c>
      <c r="W59" s="30">
        <v>273</v>
      </c>
      <c r="X59" s="30">
        <v>0</v>
      </c>
      <c r="Y59" s="30">
        <v>11347</v>
      </c>
      <c r="Z59" s="30">
        <v>0</v>
      </c>
      <c r="AA59" s="30">
        <v>0</v>
      </c>
      <c r="AB59" s="313"/>
      <c r="AC59" s="30">
        <v>0</v>
      </c>
      <c r="AD59" s="30">
        <v>0</v>
      </c>
      <c r="AE59" s="30">
        <v>6748</v>
      </c>
      <c r="AF59" s="30">
        <v>0</v>
      </c>
      <c r="AG59" s="30">
        <v>4414</v>
      </c>
      <c r="AH59" s="30">
        <v>0</v>
      </c>
      <c r="AI59" s="30">
        <v>0</v>
      </c>
      <c r="AJ59" s="30">
        <v>14501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3"/>
      <c r="AW59" s="313"/>
      <c r="AX59" s="313"/>
      <c r="AY59" s="30">
        <v>0</v>
      </c>
      <c r="AZ59" s="30">
        <v>0</v>
      </c>
      <c r="BA59" s="313"/>
      <c r="BB59" s="313"/>
      <c r="BC59" s="313"/>
      <c r="BD59" s="313"/>
      <c r="BE59" s="30">
        <v>31664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4"/>
      <c r="CE59" s="32"/>
    </row>
    <row r="60" s="225" customFormat="1">
      <c r="A60" s="241" t="s">
        <v>262</v>
      </c>
      <c r="B60" s="242"/>
      <c r="C60" s="314">
        <v>0</v>
      </c>
      <c r="D60" s="314">
        <v>0</v>
      </c>
      <c r="E60" s="314">
        <v>3.4016162965315915</v>
      </c>
      <c r="F60" s="314">
        <v>0</v>
      </c>
      <c r="G60" s="314">
        <v>0</v>
      </c>
      <c r="H60" s="314">
        <v>0</v>
      </c>
      <c r="I60" s="314">
        <v>0</v>
      </c>
      <c r="J60" s="314">
        <v>0</v>
      </c>
      <c r="K60" s="314">
        <v>0</v>
      </c>
      <c r="L60" s="314">
        <v>0</v>
      </c>
      <c r="M60" s="314">
        <v>0</v>
      </c>
      <c r="N60" s="314">
        <v>0</v>
      </c>
      <c r="O60" s="314">
        <v>0</v>
      </c>
      <c r="P60" s="315">
        <v>3.6159064864354415</v>
      </c>
      <c r="Q60" s="315">
        <v>0</v>
      </c>
      <c r="R60" s="315">
        <v>0</v>
      </c>
      <c r="S60" s="316">
        <v>0</v>
      </c>
      <c r="T60" s="316">
        <v>1.9808134023008266</v>
      </c>
      <c r="U60" s="317">
        <v>6.3229473729395673</v>
      </c>
      <c r="V60" s="315">
        <v>0</v>
      </c>
      <c r="W60" s="315">
        <v>0</v>
      </c>
      <c r="X60" s="315">
        <v>0</v>
      </c>
      <c r="Y60" s="315">
        <v>5.4263594802541073</v>
      </c>
      <c r="Z60" s="315">
        <v>0</v>
      </c>
      <c r="AA60" s="315">
        <v>0</v>
      </c>
      <c r="AB60" s="316">
        <v>2.6238767652815933</v>
      </c>
      <c r="AC60" s="315">
        <v>0</v>
      </c>
      <c r="AD60" s="315">
        <v>0</v>
      </c>
      <c r="AE60" s="315">
        <v>2.3128016473214306</v>
      </c>
      <c r="AF60" s="315">
        <v>0</v>
      </c>
      <c r="AG60" s="315">
        <v>20.909629872287088</v>
      </c>
      <c r="AH60" s="315">
        <v>0</v>
      </c>
      <c r="AI60" s="315">
        <v>0</v>
      </c>
      <c r="AJ60" s="315">
        <v>16.960397134615366</v>
      </c>
      <c r="AK60" s="315">
        <v>0</v>
      </c>
      <c r="AL60" s="315">
        <v>0</v>
      </c>
      <c r="AM60" s="315">
        <v>0</v>
      </c>
      <c r="AN60" s="315">
        <v>0</v>
      </c>
      <c r="AO60" s="315">
        <v>0</v>
      </c>
      <c r="AP60" s="315">
        <v>0.22141152455357163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6">
        <v>0</v>
      </c>
      <c r="AW60" s="316">
        <v>0</v>
      </c>
      <c r="AX60" s="316">
        <v>0</v>
      </c>
      <c r="AY60" s="315">
        <v>0</v>
      </c>
      <c r="AZ60" s="315">
        <v>0</v>
      </c>
      <c r="BA60" s="316">
        <v>0</v>
      </c>
      <c r="BB60" s="316">
        <v>0</v>
      </c>
      <c r="BC60" s="316">
        <v>0</v>
      </c>
      <c r="BD60" s="316">
        <v>0</v>
      </c>
      <c r="BE60" s="315">
        <v>1.0979058411744522</v>
      </c>
      <c r="BF60" s="316">
        <v>4.1297154265109866</v>
      </c>
      <c r="BG60" s="316">
        <v>0</v>
      </c>
      <c r="BH60" s="316">
        <v>0</v>
      </c>
      <c r="BI60" s="316">
        <v>0</v>
      </c>
      <c r="BJ60" s="316">
        <v>0</v>
      </c>
      <c r="BK60" s="316">
        <v>0</v>
      </c>
      <c r="BL60" s="316">
        <v>0</v>
      </c>
      <c r="BM60" s="316">
        <v>0</v>
      </c>
      <c r="BN60" s="316">
        <v>4.22798148626374</v>
      </c>
      <c r="BO60" s="316">
        <v>0</v>
      </c>
      <c r="BP60" s="316">
        <v>0</v>
      </c>
      <c r="BQ60" s="316">
        <v>0</v>
      </c>
      <c r="BR60" s="316">
        <v>0.074871278159340873</v>
      </c>
      <c r="BS60" s="316">
        <v>0</v>
      </c>
      <c r="BT60" s="316">
        <v>0.1030563530219779</v>
      </c>
      <c r="BU60" s="316">
        <v>0</v>
      </c>
      <c r="BV60" s="316">
        <v>0</v>
      </c>
      <c r="BW60" s="316">
        <v>0.21912796256868125</v>
      </c>
      <c r="BX60" s="316">
        <v>0</v>
      </c>
      <c r="BY60" s="316">
        <v>0</v>
      </c>
      <c r="BZ60" s="316">
        <v>0</v>
      </c>
      <c r="CA60" s="316">
        <v>0</v>
      </c>
      <c r="CB60" s="316">
        <v>0</v>
      </c>
      <c r="CC60" s="316">
        <v>0</v>
      </c>
      <c r="CD60" s="247" t="s">
        <v>248</v>
      </c>
      <c r="CE60" s="268">
        <f ref="CE60:CE68" t="shared" si="4">SUM(C60:CD60)</f>
        <v>73.628418330219759</v>
      </c>
    </row>
    <row r="61">
      <c r="A61" s="39" t="s">
        <v>263</v>
      </c>
      <c r="B61" s="20"/>
      <c r="C61" s="24">
        <v>0</v>
      </c>
      <c r="D61" s="24">
        <v>0</v>
      </c>
      <c r="E61" s="24">
        <v>720180.38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427382.68</v>
      </c>
      <c r="Q61" s="30">
        <v>0</v>
      </c>
      <c r="R61" s="30">
        <v>0</v>
      </c>
      <c r="S61" s="318">
        <v>0</v>
      </c>
      <c r="T61" s="318">
        <v>256437.18</v>
      </c>
      <c r="U61" s="31">
        <v>598733.93</v>
      </c>
      <c r="V61" s="30">
        <v>0</v>
      </c>
      <c r="W61" s="30">
        <v>0</v>
      </c>
      <c r="X61" s="30">
        <v>0</v>
      </c>
      <c r="Y61" s="30">
        <v>579105.63</v>
      </c>
      <c r="Z61" s="30">
        <v>0</v>
      </c>
      <c r="AA61" s="30">
        <v>0</v>
      </c>
      <c r="AB61" s="319">
        <v>470435.22</v>
      </c>
      <c r="AC61" s="30">
        <v>0</v>
      </c>
      <c r="AD61" s="30">
        <v>0</v>
      </c>
      <c r="AE61" s="30">
        <v>209675.1</v>
      </c>
      <c r="AF61" s="30">
        <v>0</v>
      </c>
      <c r="AG61" s="30">
        <v>4468616.92</v>
      </c>
      <c r="AH61" s="30">
        <v>0</v>
      </c>
      <c r="AI61" s="30">
        <v>0</v>
      </c>
      <c r="AJ61" s="30">
        <v>2565471.82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36988.34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8">
        <v>0</v>
      </c>
      <c r="AW61" s="318">
        <v>0</v>
      </c>
      <c r="AX61" s="318">
        <v>0</v>
      </c>
      <c r="AY61" s="30">
        <v>0</v>
      </c>
      <c r="AZ61" s="30">
        <v>0</v>
      </c>
      <c r="BA61" s="318">
        <v>0</v>
      </c>
      <c r="BB61" s="318">
        <v>0</v>
      </c>
      <c r="BC61" s="318">
        <v>0</v>
      </c>
      <c r="BD61" s="318">
        <v>0</v>
      </c>
      <c r="BE61" s="30">
        <v>116293.52</v>
      </c>
      <c r="BF61" s="318">
        <v>228763.04</v>
      </c>
      <c r="BG61" s="318">
        <v>0</v>
      </c>
      <c r="BH61" s="318">
        <v>0</v>
      </c>
      <c r="BI61" s="318">
        <v>0</v>
      </c>
      <c r="BJ61" s="318">
        <v>0</v>
      </c>
      <c r="BK61" s="318">
        <v>0</v>
      </c>
      <c r="BL61" s="318">
        <v>0</v>
      </c>
      <c r="BM61" s="318">
        <v>0</v>
      </c>
      <c r="BN61" s="318">
        <v>821661.33</v>
      </c>
      <c r="BO61" s="318">
        <v>0</v>
      </c>
      <c r="BP61" s="318">
        <v>0</v>
      </c>
      <c r="BQ61" s="318">
        <v>0</v>
      </c>
      <c r="BR61" s="318">
        <v>10811.83</v>
      </c>
      <c r="BS61" s="318">
        <v>0</v>
      </c>
      <c r="BT61" s="318">
        <v>7750.42</v>
      </c>
      <c r="BU61" s="318">
        <v>0</v>
      </c>
      <c r="BV61" s="318">
        <v>0</v>
      </c>
      <c r="BW61" s="318">
        <v>27258.99</v>
      </c>
      <c r="BX61" s="318">
        <v>0</v>
      </c>
      <c r="BY61" s="318">
        <v>0</v>
      </c>
      <c r="BZ61" s="318">
        <v>0</v>
      </c>
      <c r="CA61" s="318">
        <v>0</v>
      </c>
      <c r="CB61" s="318">
        <v>0</v>
      </c>
      <c r="CC61" s="318">
        <v>0</v>
      </c>
      <c r="CD61" s="29" t="s">
        <v>248</v>
      </c>
      <c r="CE61" s="32">
        <f t="shared" si="4"/>
        <v>11545566.329999998</v>
      </c>
    </row>
    <row r="62">
      <c r="A62" s="39" t="s">
        <v>11</v>
      </c>
      <c r="B62" s="20"/>
      <c r="C62" s="32">
        <f>ROUND(C47+C48,0)</f>
        <v>0</v>
      </c>
      <c r="D62" s="32">
        <f ref="D62:BO62" t="shared" si="5">ROUND(D47+D48,0)</f>
        <v>0</v>
      </c>
      <c r="E62" s="32">
        <f t="shared" si="5"/>
        <v>69954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79706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67742</v>
      </c>
      <c r="U62" s="32">
        <f t="shared" si="5"/>
        <v>129638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164769</v>
      </c>
      <c r="Z62" s="32">
        <f t="shared" si="5"/>
        <v>0</v>
      </c>
      <c r="AA62" s="32">
        <f t="shared" si="5"/>
        <v>0</v>
      </c>
      <c r="AB62" s="32">
        <f t="shared" si="5"/>
        <v>63397</v>
      </c>
      <c r="AC62" s="32">
        <f t="shared" si="5"/>
        <v>0</v>
      </c>
      <c r="AD62" s="32">
        <f t="shared" si="5"/>
        <v>0</v>
      </c>
      <c r="AE62" s="32">
        <f t="shared" si="5"/>
        <v>58140</v>
      </c>
      <c r="AF62" s="32">
        <f t="shared" si="5"/>
        <v>0</v>
      </c>
      <c r="AG62" s="32">
        <f t="shared" si="5"/>
        <v>799591</v>
      </c>
      <c r="AH62" s="32">
        <f t="shared" si="5"/>
        <v>0</v>
      </c>
      <c r="AI62" s="32">
        <f t="shared" si="5"/>
        <v>0</v>
      </c>
      <c r="AJ62" s="32">
        <f t="shared" si="5"/>
        <v>594671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7098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-97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32902</v>
      </c>
      <c r="BF62" s="32">
        <f t="shared" si="5"/>
        <v>87155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200167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2369</v>
      </c>
      <c r="BS62" s="32">
        <f t="shared" si="6"/>
        <v>0</v>
      </c>
      <c r="BT62" s="32">
        <f t="shared" si="6"/>
        <v>1321</v>
      </c>
      <c r="BU62" s="32">
        <f t="shared" si="6"/>
        <v>0</v>
      </c>
      <c r="BV62" s="32">
        <f t="shared" si="6"/>
        <v>0</v>
      </c>
      <c r="BW62" s="32">
        <f t="shared" si="6"/>
        <v>4966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2565</v>
      </c>
      <c r="CD62" s="29" t="s">
        <v>248</v>
      </c>
      <c r="CE62" s="32">
        <f t="shared" si="4"/>
        <v>2366054</v>
      </c>
    </row>
    <row r="63">
      <c r="A63" s="39" t="s">
        <v>264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56166.96</v>
      </c>
      <c r="Q63" s="30">
        <v>0</v>
      </c>
      <c r="R63" s="30">
        <v>0</v>
      </c>
      <c r="S63" s="318">
        <v>0</v>
      </c>
      <c r="T63" s="318">
        <v>0</v>
      </c>
      <c r="U63" s="31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9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56875</v>
      </c>
      <c r="AH63" s="30">
        <v>0</v>
      </c>
      <c r="AI63" s="30">
        <v>0</v>
      </c>
      <c r="AJ63" s="30">
        <v>87680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8">
        <v>0</v>
      </c>
      <c r="AW63" s="318">
        <v>0</v>
      </c>
      <c r="AX63" s="318">
        <v>0</v>
      </c>
      <c r="AY63" s="30">
        <v>0</v>
      </c>
      <c r="AZ63" s="30">
        <v>0</v>
      </c>
      <c r="BA63" s="318">
        <v>0</v>
      </c>
      <c r="BB63" s="318">
        <v>0</v>
      </c>
      <c r="BC63" s="318">
        <v>0</v>
      </c>
      <c r="BD63" s="318">
        <v>0</v>
      </c>
      <c r="BE63" s="30">
        <v>0</v>
      </c>
      <c r="BF63" s="318">
        <v>0</v>
      </c>
      <c r="BG63" s="318">
        <v>0</v>
      </c>
      <c r="BH63" s="318">
        <v>0</v>
      </c>
      <c r="BI63" s="318">
        <v>0</v>
      </c>
      <c r="BJ63" s="318">
        <v>0</v>
      </c>
      <c r="BK63" s="318">
        <v>0</v>
      </c>
      <c r="BL63" s="318">
        <v>0</v>
      </c>
      <c r="BM63" s="318">
        <v>0</v>
      </c>
      <c r="BN63" s="318">
        <v>59054.28</v>
      </c>
      <c r="BO63" s="318">
        <v>0</v>
      </c>
      <c r="BP63" s="318">
        <v>0</v>
      </c>
      <c r="BQ63" s="318">
        <v>0</v>
      </c>
      <c r="BR63" s="318">
        <v>0</v>
      </c>
      <c r="BS63" s="318">
        <v>0</v>
      </c>
      <c r="BT63" s="318">
        <v>0</v>
      </c>
      <c r="BU63" s="318">
        <v>0</v>
      </c>
      <c r="BV63" s="318">
        <v>0</v>
      </c>
      <c r="BW63" s="318">
        <v>0</v>
      </c>
      <c r="BX63" s="318">
        <v>0</v>
      </c>
      <c r="BY63" s="318">
        <v>0</v>
      </c>
      <c r="BZ63" s="318">
        <v>0</v>
      </c>
      <c r="CA63" s="318">
        <v>0</v>
      </c>
      <c r="CB63" s="318">
        <v>0</v>
      </c>
      <c r="CC63" s="318">
        <v>0</v>
      </c>
      <c r="CD63" s="29" t="s">
        <v>248</v>
      </c>
      <c r="CE63" s="32">
        <f t="shared" si="4"/>
        <v>259776.24</v>
      </c>
    </row>
    <row r="64">
      <c r="A64" s="39" t="s">
        <v>265</v>
      </c>
      <c r="B64" s="20"/>
      <c r="C64" s="24">
        <v>0</v>
      </c>
      <c r="D64" s="24">
        <v>0</v>
      </c>
      <c r="E64" s="24">
        <v>46204.05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172142.8</v>
      </c>
      <c r="Q64" s="30">
        <v>0</v>
      </c>
      <c r="R64" s="30">
        <v>0</v>
      </c>
      <c r="S64" s="318">
        <v>0</v>
      </c>
      <c r="T64" s="318">
        <v>23223.41</v>
      </c>
      <c r="U64" s="31">
        <v>117804.46</v>
      </c>
      <c r="V64" s="30">
        <v>0</v>
      </c>
      <c r="W64" s="30">
        <v>1321.52</v>
      </c>
      <c r="X64" s="30">
        <v>0</v>
      </c>
      <c r="Y64" s="30">
        <v>25848.58</v>
      </c>
      <c r="Z64" s="30">
        <v>0</v>
      </c>
      <c r="AA64" s="30">
        <v>0</v>
      </c>
      <c r="AB64" s="319">
        <v>2833198.41</v>
      </c>
      <c r="AC64" s="30">
        <v>0</v>
      </c>
      <c r="AD64" s="30">
        <v>0</v>
      </c>
      <c r="AE64" s="30">
        <v>9590.22</v>
      </c>
      <c r="AF64" s="30">
        <v>0</v>
      </c>
      <c r="AG64" s="30">
        <v>138171.52</v>
      </c>
      <c r="AH64" s="30">
        <v>0</v>
      </c>
      <c r="AI64" s="30">
        <v>0</v>
      </c>
      <c r="AJ64" s="30">
        <v>100889.44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2898.84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8">
        <v>0</v>
      </c>
      <c r="AW64" s="318">
        <v>0</v>
      </c>
      <c r="AX64" s="318">
        <v>0</v>
      </c>
      <c r="AY64" s="30">
        <v>0</v>
      </c>
      <c r="AZ64" s="30">
        <v>0</v>
      </c>
      <c r="BA64" s="318">
        <v>0</v>
      </c>
      <c r="BB64" s="318">
        <v>0</v>
      </c>
      <c r="BC64" s="318">
        <v>0</v>
      </c>
      <c r="BD64" s="318">
        <v>0</v>
      </c>
      <c r="BE64" s="30">
        <v>105900.24</v>
      </c>
      <c r="BF64" s="318">
        <v>21944.72</v>
      </c>
      <c r="BG64" s="318">
        <v>0</v>
      </c>
      <c r="BH64" s="318">
        <v>0</v>
      </c>
      <c r="BI64" s="318">
        <v>89.07</v>
      </c>
      <c r="BJ64" s="318">
        <v>0</v>
      </c>
      <c r="BK64" s="318">
        <v>0</v>
      </c>
      <c r="BL64" s="318">
        <v>0</v>
      </c>
      <c r="BM64" s="318">
        <v>0</v>
      </c>
      <c r="BN64" s="318">
        <v>29744.07</v>
      </c>
      <c r="BO64" s="318">
        <v>0</v>
      </c>
      <c r="BP64" s="318">
        <v>0</v>
      </c>
      <c r="BQ64" s="318">
        <v>0</v>
      </c>
      <c r="BR64" s="318">
        <v>0</v>
      </c>
      <c r="BS64" s="318">
        <v>0</v>
      </c>
      <c r="BT64" s="318">
        <v>0</v>
      </c>
      <c r="BU64" s="318">
        <v>0</v>
      </c>
      <c r="BV64" s="318">
        <v>0</v>
      </c>
      <c r="BW64" s="318">
        <v>0</v>
      </c>
      <c r="BX64" s="318">
        <v>69864.41</v>
      </c>
      <c r="BY64" s="318">
        <v>0</v>
      </c>
      <c r="BZ64" s="318">
        <v>0</v>
      </c>
      <c r="CA64" s="318">
        <v>0</v>
      </c>
      <c r="CB64" s="318">
        <v>0</v>
      </c>
      <c r="CC64" s="318">
        <v>-296.89</v>
      </c>
      <c r="CD64" s="29" t="s">
        <v>248</v>
      </c>
      <c r="CE64" s="32">
        <f t="shared" si="4"/>
        <v>3698538.87</v>
      </c>
    </row>
    <row r="65">
      <c r="A65" s="39" t="s">
        <v>266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8">
        <v>0</v>
      </c>
      <c r="T65" s="318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19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70.04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8">
        <v>0</v>
      </c>
      <c r="AW65" s="318">
        <v>0</v>
      </c>
      <c r="AX65" s="318">
        <v>0</v>
      </c>
      <c r="AY65" s="30">
        <v>0</v>
      </c>
      <c r="AZ65" s="30">
        <v>0</v>
      </c>
      <c r="BA65" s="318">
        <v>0</v>
      </c>
      <c r="BB65" s="318">
        <v>0</v>
      </c>
      <c r="BC65" s="318">
        <v>0</v>
      </c>
      <c r="BD65" s="318">
        <v>0</v>
      </c>
      <c r="BE65" s="30">
        <v>225751.59</v>
      </c>
      <c r="BF65" s="318">
        <v>24074.4</v>
      </c>
      <c r="BG65" s="318">
        <v>0</v>
      </c>
      <c r="BH65" s="318">
        <v>0</v>
      </c>
      <c r="BI65" s="318">
        <v>6967.11</v>
      </c>
      <c r="BJ65" s="318">
        <v>0</v>
      </c>
      <c r="BK65" s="318">
        <v>0</v>
      </c>
      <c r="BL65" s="318">
        <v>0</v>
      </c>
      <c r="BM65" s="318">
        <v>0</v>
      </c>
      <c r="BN65" s="318">
        <v>20.13</v>
      </c>
      <c r="BO65" s="318">
        <v>0</v>
      </c>
      <c r="BP65" s="318">
        <v>0</v>
      </c>
      <c r="BQ65" s="318">
        <v>0</v>
      </c>
      <c r="BR65" s="318">
        <v>0</v>
      </c>
      <c r="BS65" s="318">
        <v>0</v>
      </c>
      <c r="BT65" s="318">
        <v>0</v>
      </c>
      <c r="BU65" s="318">
        <v>0</v>
      </c>
      <c r="BV65" s="318">
        <v>0</v>
      </c>
      <c r="BW65" s="318">
        <v>0</v>
      </c>
      <c r="BX65" s="318">
        <v>0</v>
      </c>
      <c r="BY65" s="318">
        <v>0</v>
      </c>
      <c r="BZ65" s="318">
        <v>0</v>
      </c>
      <c r="CA65" s="318">
        <v>0</v>
      </c>
      <c r="CB65" s="318">
        <v>0</v>
      </c>
      <c r="CC65" s="318">
        <v>0</v>
      </c>
      <c r="CD65" s="29" t="s">
        <v>248</v>
      </c>
      <c r="CE65" s="32">
        <f t="shared" si="4"/>
        <v>256883.27</v>
      </c>
    </row>
    <row r="66">
      <c r="A66" s="39" t="s">
        <v>267</v>
      </c>
      <c r="B66" s="20"/>
      <c r="C66" s="24">
        <v>0</v>
      </c>
      <c r="D66" s="24">
        <v>0</v>
      </c>
      <c r="E66" s="24">
        <v>460.44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767.92</v>
      </c>
      <c r="Q66" s="30">
        <v>0</v>
      </c>
      <c r="R66" s="30">
        <v>0</v>
      </c>
      <c r="S66" s="318">
        <v>0</v>
      </c>
      <c r="T66" s="318">
        <v>82.3</v>
      </c>
      <c r="U66" s="31">
        <v>482748.68</v>
      </c>
      <c r="V66" s="30">
        <v>0</v>
      </c>
      <c r="W66" s="30">
        <v>90897.62</v>
      </c>
      <c r="X66" s="30">
        <v>0</v>
      </c>
      <c r="Y66" s="30">
        <v>8950.83</v>
      </c>
      <c r="Z66" s="30">
        <v>0</v>
      </c>
      <c r="AA66" s="30">
        <v>0</v>
      </c>
      <c r="AB66" s="319">
        <v>41664.479999999996</v>
      </c>
      <c r="AC66" s="30">
        <v>0</v>
      </c>
      <c r="AD66" s="30">
        <v>0</v>
      </c>
      <c r="AE66" s="30">
        <v>0</v>
      </c>
      <c r="AF66" s="30">
        <v>0</v>
      </c>
      <c r="AG66" s="30">
        <v>3375.66</v>
      </c>
      <c r="AH66" s="30">
        <v>0</v>
      </c>
      <c r="AI66" s="30">
        <v>0</v>
      </c>
      <c r="AJ66" s="30">
        <v>5066.67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8">
        <v>0</v>
      </c>
      <c r="AW66" s="318">
        <v>0</v>
      </c>
      <c r="AX66" s="318">
        <v>0</v>
      </c>
      <c r="AY66" s="30">
        <v>0</v>
      </c>
      <c r="AZ66" s="30">
        <v>0</v>
      </c>
      <c r="BA66" s="318">
        <v>0</v>
      </c>
      <c r="BB66" s="318">
        <v>0</v>
      </c>
      <c r="BC66" s="318">
        <v>0</v>
      </c>
      <c r="BD66" s="318">
        <v>0</v>
      </c>
      <c r="BE66" s="30">
        <v>641503.74</v>
      </c>
      <c r="BF66" s="318">
        <v>8013.46</v>
      </c>
      <c r="BG66" s="318">
        <v>0</v>
      </c>
      <c r="BH66" s="318">
        <v>0</v>
      </c>
      <c r="BI66" s="318">
        <v>4650.97</v>
      </c>
      <c r="BJ66" s="318">
        <v>0</v>
      </c>
      <c r="BK66" s="318">
        <v>0</v>
      </c>
      <c r="BL66" s="318">
        <v>0</v>
      </c>
      <c r="BM66" s="318">
        <v>0</v>
      </c>
      <c r="BN66" s="318">
        <v>2937695.73</v>
      </c>
      <c r="BO66" s="318">
        <v>0</v>
      </c>
      <c r="BP66" s="318">
        <v>0</v>
      </c>
      <c r="BQ66" s="318">
        <v>0</v>
      </c>
      <c r="BR66" s="318">
        <v>0</v>
      </c>
      <c r="BS66" s="318">
        <v>0</v>
      </c>
      <c r="BT66" s="318">
        <v>18.55</v>
      </c>
      <c r="BU66" s="318">
        <v>0</v>
      </c>
      <c r="BV66" s="318">
        <v>0</v>
      </c>
      <c r="BW66" s="318">
        <v>0</v>
      </c>
      <c r="BX66" s="318">
        <v>12850.779999999999</v>
      </c>
      <c r="BY66" s="318">
        <v>0</v>
      </c>
      <c r="BZ66" s="318">
        <v>0</v>
      </c>
      <c r="CA66" s="318">
        <v>0</v>
      </c>
      <c r="CB66" s="318">
        <v>0</v>
      </c>
      <c r="CC66" s="318">
        <v>0</v>
      </c>
      <c r="CD66" s="29" t="s">
        <v>248</v>
      </c>
      <c r="CE66" s="32">
        <f t="shared" si="4"/>
        <v>4238747.83</v>
      </c>
    </row>
    <row r="67">
      <c r="A67" s="39" t="s">
        <v>16</v>
      </c>
      <c r="B67" s="20"/>
      <c r="C67" s="32">
        <f ref="C67:BN67" t="shared" si="7">ROUND(C51+C52,0)</f>
        <v>0</v>
      </c>
      <c r="D67" s="32">
        <f t="shared" si="7"/>
        <v>0</v>
      </c>
      <c r="E67" s="32">
        <f t="shared" si="7"/>
        <v>182326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159475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12574</v>
      </c>
      <c r="U67" s="32">
        <f t="shared" si="7"/>
        <v>19868</v>
      </c>
      <c r="V67" s="32">
        <f t="shared" si="7"/>
        <v>0</v>
      </c>
      <c r="W67" s="32">
        <f t="shared" si="7"/>
        <v>113749</v>
      </c>
      <c r="X67" s="32">
        <f t="shared" si="7"/>
        <v>0</v>
      </c>
      <c r="Y67" s="32">
        <f t="shared" si="7"/>
        <v>143110</v>
      </c>
      <c r="Z67" s="32">
        <f t="shared" si="7"/>
        <v>0</v>
      </c>
      <c r="AA67" s="32">
        <f t="shared" si="7"/>
        <v>0</v>
      </c>
      <c r="AB67" s="32">
        <f t="shared" si="7"/>
        <v>17761</v>
      </c>
      <c r="AC67" s="32">
        <f t="shared" si="7"/>
        <v>0</v>
      </c>
      <c r="AD67" s="32">
        <f t="shared" si="7"/>
        <v>0</v>
      </c>
      <c r="AE67" s="32">
        <f t="shared" si="7"/>
        <v>1594</v>
      </c>
      <c r="AF67" s="32">
        <f t="shared" si="7"/>
        <v>0</v>
      </c>
      <c r="AG67" s="32">
        <f t="shared" si="7"/>
        <v>125931</v>
      </c>
      <c r="AH67" s="32">
        <f t="shared" si="7"/>
        <v>0</v>
      </c>
      <c r="AI67" s="32">
        <f t="shared" si="7"/>
        <v>0</v>
      </c>
      <c r="AJ67" s="32">
        <f t="shared" si="7"/>
        <v>122436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67184</v>
      </c>
      <c r="BF67" s="32">
        <f t="shared" si="7"/>
        <v>14241</v>
      </c>
      <c r="BG67" s="32">
        <f t="shared" si="7"/>
        <v>8024</v>
      </c>
      <c r="BH67" s="32">
        <f t="shared" si="7"/>
        <v>0</v>
      </c>
      <c r="BI67" s="32">
        <f t="shared" si="7"/>
        <v>90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992144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248</v>
      </c>
      <c r="CE67" s="32">
        <f t="shared" si="4"/>
        <v>1980507</v>
      </c>
    </row>
    <row r="68">
      <c r="A68" s="39" t="s">
        <v>268</v>
      </c>
      <c r="B68" s="32"/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8">
        <v>0</v>
      </c>
      <c r="T68" s="318">
        <v>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9">
        <v>69273.02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766.66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8">
        <v>0</v>
      </c>
      <c r="AW68" s="318">
        <v>0</v>
      </c>
      <c r="AX68" s="318">
        <v>0</v>
      </c>
      <c r="AY68" s="30">
        <v>0</v>
      </c>
      <c r="AZ68" s="30">
        <v>0</v>
      </c>
      <c r="BA68" s="318">
        <v>0</v>
      </c>
      <c r="BB68" s="318">
        <v>0</v>
      </c>
      <c r="BC68" s="318">
        <v>0</v>
      </c>
      <c r="BD68" s="318">
        <v>0</v>
      </c>
      <c r="BE68" s="30">
        <v>50655.29</v>
      </c>
      <c r="BF68" s="318">
        <v>0</v>
      </c>
      <c r="BG68" s="318">
        <v>0</v>
      </c>
      <c r="BH68" s="318">
        <v>0</v>
      </c>
      <c r="BI68" s="318">
        <v>0</v>
      </c>
      <c r="BJ68" s="318">
        <v>0</v>
      </c>
      <c r="BK68" s="318">
        <v>0</v>
      </c>
      <c r="BL68" s="318">
        <v>0</v>
      </c>
      <c r="BM68" s="318">
        <v>0</v>
      </c>
      <c r="BN68" s="318">
        <v>1815.4</v>
      </c>
      <c r="BO68" s="318">
        <v>0</v>
      </c>
      <c r="BP68" s="318">
        <v>0</v>
      </c>
      <c r="BQ68" s="318">
        <v>0</v>
      </c>
      <c r="BR68" s="318">
        <v>0</v>
      </c>
      <c r="BS68" s="318">
        <v>0</v>
      </c>
      <c r="BT68" s="318">
        <v>0</v>
      </c>
      <c r="BU68" s="318">
        <v>0</v>
      </c>
      <c r="BV68" s="318">
        <v>0</v>
      </c>
      <c r="BW68" s="318">
        <v>0</v>
      </c>
      <c r="BX68" s="318">
        <v>16392.47</v>
      </c>
      <c r="BY68" s="318">
        <v>0</v>
      </c>
      <c r="BZ68" s="318">
        <v>0</v>
      </c>
      <c r="CA68" s="318">
        <v>0</v>
      </c>
      <c r="CB68" s="318">
        <v>0</v>
      </c>
      <c r="CC68" s="318">
        <v>0</v>
      </c>
      <c r="CD68" s="29" t="s">
        <v>248</v>
      </c>
      <c r="CE68" s="32">
        <f t="shared" si="4"/>
        <v>138902.84</v>
      </c>
    </row>
    <row r="69">
      <c r="A69" s="39" t="s">
        <v>269</v>
      </c>
      <c r="B69" s="20"/>
      <c r="C69" s="32">
        <f ref="C69:BN69" t="shared" si="9">SUM(C70:C83)</f>
        <v>0</v>
      </c>
      <c r="D69" s="32">
        <f t="shared" si="9"/>
        <v>0</v>
      </c>
      <c r="E69" s="32">
        <f t="shared" si="9"/>
        <v>527.1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42564.33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11745.81</v>
      </c>
      <c r="U69" s="32">
        <f t="shared" si="9"/>
        <v>22605.45</v>
      </c>
      <c r="V69" s="32">
        <f t="shared" si="9"/>
        <v>0</v>
      </c>
      <c r="W69" s="32">
        <f t="shared" si="9"/>
        <v>105.98</v>
      </c>
      <c r="X69" s="32">
        <f t="shared" si="9"/>
        <v>0</v>
      </c>
      <c r="Y69" s="32">
        <f t="shared" si="9"/>
        <v>38649.34</v>
      </c>
      <c r="Z69" s="32">
        <f t="shared" si="9"/>
        <v>0</v>
      </c>
      <c r="AA69" s="32">
        <f t="shared" si="9"/>
        <v>0</v>
      </c>
      <c r="AB69" s="32">
        <f t="shared" si="9"/>
        <v>87726.74</v>
      </c>
      <c r="AC69" s="32">
        <f t="shared" si="9"/>
        <v>0</v>
      </c>
      <c r="AD69" s="32">
        <f t="shared" si="9"/>
        <v>0</v>
      </c>
      <c r="AE69" s="32">
        <f t="shared" si="9"/>
        <v>4053.91</v>
      </c>
      <c r="AF69" s="32">
        <f t="shared" si="9"/>
        <v>0</v>
      </c>
      <c r="AG69" s="32">
        <f t="shared" si="9"/>
        <v>62255.62</v>
      </c>
      <c r="AH69" s="32">
        <f t="shared" si="9"/>
        <v>0</v>
      </c>
      <c r="AI69" s="32">
        <f t="shared" si="9"/>
        <v>0</v>
      </c>
      <c r="AJ69" s="32">
        <f t="shared" si="9"/>
        <v>82639.93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6398.79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2466.44</v>
      </c>
      <c r="BF69" s="32">
        <f t="shared" si="9"/>
        <v>399.73</v>
      </c>
      <c r="BG69" s="32">
        <f t="shared" si="9"/>
        <v>0</v>
      </c>
      <c r="BH69" s="32">
        <f t="shared" si="9"/>
        <v>0</v>
      </c>
      <c r="BI69" s="32">
        <f t="shared" si="9"/>
        <v>1400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36912.260000000009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5311.18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396393.26</v>
      </c>
      <c r="CE69" s="32">
        <f>SUM(CE70:CE84)</f>
        <v>2000775.23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0</v>
      </c>
      <c r="D83" s="24">
        <v>0</v>
      </c>
      <c r="E83" s="30">
        <v>527.1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42564.33</v>
      </c>
      <c r="Q83" s="30">
        <v>0</v>
      </c>
      <c r="R83" s="31">
        <v>0</v>
      </c>
      <c r="S83" s="30">
        <v>0</v>
      </c>
      <c r="T83" s="24">
        <v>11745.81</v>
      </c>
      <c r="U83" s="30">
        <v>22605.45</v>
      </c>
      <c r="V83" s="30">
        <v>0</v>
      </c>
      <c r="W83" s="24">
        <v>105.98</v>
      </c>
      <c r="X83" s="30">
        <v>0</v>
      </c>
      <c r="Y83" s="30">
        <v>38649.34</v>
      </c>
      <c r="Z83" s="30">
        <v>0</v>
      </c>
      <c r="AA83" s="30">
        <v>0</v>
      </c>
      <c r="AB83" s="30">
        <v>87726.74</v>
      </c>
      <c r="AC83" s="30">
        <v>0</v>
      </c>
      <c r="AD83" s="30">
        <v>0</v>
      </c>
      <c r="AE83" s="30">
        <v>4053.91</v>
      </c>
      <c r="AF83" s="30">
        <v>0</v>
      </c>
      <c r="AG83" s="30">
        <v>62255.62</v>
      </c>
      <c r="AH83" s="30">
        <v>0</v>
      </c>
      <c r="AI83" s="30">
        <v>0</v>
      </c>
      <c r="AJ83" s="30">
        <v>82639.93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6398.79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2466.44</v>
      </c>
      <c r="BF83" s="30">
        <v>399.73</v>
      </c>
      <c r="BG83" s="30">
        <v>0</v>
      </c>
      <c r="BH83" s="31">
        <v>0</v>
      </c>
      <c r="BI83" s="30">
        <v>1400</v>
      </c>
      <c r="BJ83" s="30">
        <v>0</v>
      </c>
      <c r="BK83" s="30">
        <v>0</v>
      </c>
      <c r="BL83" s="30">
        <v>0</v>
      </c>
      <c r="BM83" s="30">
        <v>0</v>
      </c>
      <c r="BN83" s="30">
        <v>36912.260000000009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5311.18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30">
        <v>0</v>
      </c>
      <c r="CA83" s="30">
        <v>0</v>
      </c>
      <c r="CB83" s="30">
        <v>0</v>
      </c>
      <c r="CC83" s="30">
        <v>0</v>
      </c>
      <c r="CD83" s="35">
        <v>396393.26</v>
      </c>
      <c r="CE83" s="32">
        <f t="shared" si="11"/>
        <v>802155.87</v>
      </c>
    </row>
    <row r="84">
      <c r="A84" s="39" t="s">
        <v>284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31015</v>
      </c>
      <c r="AH84" s="24">
        <v>0</v>
      </c>
      <c r="AI84" s="24">
        <v>0</v>
      </c>
      <c r="AJ84" s="24">
        <v>55941.36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6477.34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11500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10373</v>
      </c>
      <c r="CD84" s="35">
        <v>1083312.66</v>
      </c>
      <c r="CE84" s="32">
        <f t="shared" si="11"/>
        <v>1198619.3599999999</v>
      </c>
    </row>
    <row r="85">
      <c r="A85" s="39" t="s">
        <v>285</v>
      </c>
      <c r="B85" s="32"/>
      <c r="C85" s="32">
        <f>SUM(C61:C69)-C84</f>
        <v>0</v>
      </c>
      <c r="D85" s="32">
        <f ref="D85:BO85" t="shared" si="12">SUM(D61:D69)-D84</f>
        <v>0</v>
      </c>
      <c r="E85" s="32">
        <f t="shared" si="12"/>
        <v>1019651.97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938205.69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371804.69999999995</v>
      </c>
      <c r="U85" s="32">
        <f t="shared" si="12"/>
        <v>1371398.52</v>
      </c>
      <c r="V85" s="32">
        <f t="shared" si="12"/>
        <v>0</v>
      </c>
      <c r="W85" s="32">
        <f t="shared" si="12"/>
        <v>206074.12000000002</v>
      </c>
      <c r="X85" s="32">
        <f t="shared" si="12"/>
        <v>0</v>
      </c>
      <c r="Y85" s="32">
        <f t="shared" si="12"/>
        <v>960433.37999999989</v>
      </c>
      <c r="Z85" s="32">
        <f t="shared" si="12"/>
        <v>0</v>
      </c>
      <c r="AA85" s="32">
        <f t="shared" si="12"/>
        <v>0</v>
      </c>
      <c r="AB85" s="32">
        <f t="shared" si="12"/>
        <v>3583455.87</v>
      </c>
      <c r="AC85" s="32">
        <f t="shared" si="12"/>
        <v>0</v>
      </c>
      <c r="AD85" s="32">
        <f t="shared" si="12"/>
        <v>0</v>
      </c>
      <c r="AE85" s="32">
        <f t="shared" si="12"/>
        <v>283053.22999999992</v>
      </c>
      <c r="AF85" s="32">
        <f t="shared" si="12"/>
        <v>0</v>
      </c>
      <c r="AG85" s="32">
        <f t="shared" si="12"/>
        <v>5623801.72</v>
      </c>
      <c r="AH85" s="32">
        <f t="shared" si="12"/>
        <v>0</v>
      </c>
      <c r="AI85" s="32">
        <f t="shared" si="12"/>
        <v>0</v>
      </c>
      <c r="AJ85" s="32">
        <f t="shared" si="12"/>
        <v>3503750.2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53383.969999999994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-97</v>
      </c>
      <c r="AW85" s="32">
        <f t="shared" si="12"/>
        <v>0</v>
      </c>
      <c r="AX85" s="32">
        <f t="shared" si="12"/>
        <v>0</v>
      </c>
      <c r="AY85" s="32">
        <f t="shared" si="12"/>
        <v>0</v>
      </c>
      <c r="AZ85" s="32">
        <f t="shared" si="12"/>
        <v>0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0</v>
      </c>
      <c r="BE85" s="32">
        <f t="shared" si="12"/>
        <v>1236179.4799999998</v>
      </c>
      <c r="BF85" s="32">
        <f t="shared" si="12"/>
        <v>384591.35000000003</v>
      </c>
      <c r="BG85" s="32">
        <f t="shared" si="12"/>
        <v>8024</v>
      </c>
      <c r="BH85" s="32">
        <f t="shared" si="12"/>
        <v>0</v>
      </c>
      <c r="BI85" s="32">
        <f t="shared" si="12"/>
        <v>13197.15</v>
      </c>
      <c r="BJ85" s="32">
        <f t="shared" si="12"/>
        <v>0</v>
      </c>
      <c r="BK85" s="32">
        <f t="shared" si="12"/>
        <v>0</v>
      </c>
      <c r="BL85" s="32">
        <f t="shared" si="12"/>
        <v>0</v>
      </c>
      <c r="BM85" s="32">
        <f t="shared" si="12"/>
        <v>0</v>
      </c>
      <c r="BN85" s="32">
        <f t="shared" si="12"/>
        <v>5067714.2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13180.83</v>
      </c>
      <c r="BS85" s="32">
        <f t="shared" si="13"/>
        <v>0</v>
      </c>
      <c r="BT85" s="32">
        <f t="shared" si="13"/>
        <v>14401.15</v>
      </c>
      <c r="BU85" s="32">
        <f t="shared" si="13"/>
        <v>0</v>
      </c>
      <c r="BV85" s="32">
        <f t="shared" si="13"/>
        <v>0</v>
      </c>
      <c r="BW85" s="32">
        <f t="shared" si="13"/>
        <v>32224.99</v>
      </c>
      <c r="BX85" s="32">
        <f t="shared" si="13"/>
        <v>99107.66</v>
      </c>
      <c r="BY85" s="32">
        <f t="shared" si="13"/>
        <v>0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-8104.8899999999994</v>
      </c>
      <c r="CD85" s="32">
        <f t="shared" si="13"/>
        <v>-686919.39999999991</v>
      </c>
      <c r="CE85" s="32">
        <f t="shared" si="11"/>
        <v>24088512.889999993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0</v>
      </c>
      <c r="D87" s="24">
        <v>0</v>
      </c>
      <c r="E87" s="24">
        <v>608260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80002</v>
      </c>
      <c r="V87" s="24">
        <v>0</v>
      </c>
      <c r="W87" s="24">
        <v>5234.75</v>
      </c>
      <c r="X87" s="24">
        <v>0</v>
      </c>
      <c r="Y87" s="24">
        <v>56655.2</v>
      </c>
      <c r="Z87" s="24">
        <v>0</v>
      </c>
      <c r="AA87" s="24">
        <v>0</v>
      </c>
      <c r="AB87" s="24">
        <v>76322.91</v>
      </c>
      <c r="AC87" s="24">
        <v>0</v>
      </c>
      <c r="AD87" s="24">
        <v>0</v>
      </c>
      <c r="AE87" s="24">
        <v>9951</v>
      </c>
      <c r="AF87" s="24">
        <v>0</v>
      </c>
      <c r="AG87" s="24">
        <v>67299</v>
      </c>
      <c r="AH87" s="24">
        <v>0</v>
      </c>
      <c r="AI87" s="24">
        <v>0</v>
      </c>
      <c r="AJ87" s="24">
        <v>-591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903133.86</v>
      </c>
    </row>
    <row r="88">
      <c r="A88" s="26" t="s">
        <v>288</v>
      </c>
      <c r="B88" s="20"/>
      <c r="C88" s="24">
        <v>0</v>
      </c>
      <c r="D88" s="24">
        <v>0</v>
      </c>
      <c r="E88" s="24">
        <v>364650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1744394.44</v>
      </c>
      <c r="Q88" s="24">
        <v>0</v>
      </c>
      <c r="R88" s="24">
        <v>0</v>
      </c>
      <c r="S88" s="24">
        <v>0</v>
      </c>
      <c r="T88" s="24">
        <v>748155.51</v>
      </c>
      <c r="U88" s="24">
        <v>5147626.22</v>
      </c>
      <c r="V88" s="24">
        <v>0</v>
      </c>
      <c r="W88" s="24">
        <v>1012034.35</v>
      </c>
      <c r="X88" s="24">
        <v>0</v>
      </c>
      <c r="Y88" s="24">
        <v>12698311.9</v>
      </c>
      <c r="Z88" s="24">
        <v>0</v>
      </c>
      <c r="AA88" s="24">
        <v>0</v>
      </c>
      <c r="AB88" s="24">
        <v>7022847.11</v>
      </c>
      <c r="AC88" s="24">
        <v>0</v>
      </c>
      <c r="AD88" s="24">
        <v>0</v>
      </c>
      <c r="AE88" s="24">
        <v>782582</v>
      </c>
      <c r="AF88" s="24">
        <v>0</v>
      </c>
      <c r="AG88" s="24">
        <v>7279087.95</v>
      </c>
      <c r="AH88" s="24">
        <v>0</v>
      </c>
      <c r="AI88" s="24">
        <v>0</v>
      </c>
      <c r="AJ88" s="24">
        <v>4541327.9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27909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41368926.38</v>
      </c>
    </row>
    <row r="89">
      <c r="A89" s="26" t="s">
        <v>289</v>
      </c>
      <c r="B89" s="20"/>
      <c r="C89" s="32">
        <f>C87+C88</f>
        <v>0</v>
      </c>
      <c r="D89" s="32">
        <f ref="D89:AV89" t="shared" si="15">D87+D88</f>
        <v>0</v>
      </c>
      <c r="E89" s="32">
        <f t="shared" si="15"/>
        <v>972910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1744394.44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748155.51</v>
      </c>
      <c r="U89" s="32">
        <f t="shared" si="15"/>
        <v>5227628.22</v>
      </c>
      <c r="V89" s="32">
        <f t="shared" si="15"/>
        <v>0</v>
      </c>
      <c r="W89" s="32">
        <f t="shared" si="15"/>
        <v>1017269.1</v>
      </c>
      <c r="X89" s="32">
        <f t="shared" si="15"/>
        <v>0</v>
      </c>
      <c r="Y89" s="32">
        <f t="shared" si="15"/>
        <v>12754967.1</v>
      </c>
      <c r="Z89" s="32">
        <f t="shared" si="15"/>
        <v>0</v>
      </c>
      <c r="AA89" s="32">
        <f t="shared" si="15"/>
        <v>0</v>
      </c>
      <c r="AB89" s="32">
        <f t="shared" si="15"/>
        <v>7099170.0200000005</v>
      </c>
      <c r="AC89" s="32">
        <f t="shared" si="15"/>
        <v>0</v>
      </c>
      <c r="AD89" s="32">
        <f t="shared" si="15"/>
        <v>0</v>
      </c>
      <c r="AE89" s="32">
        <f t="shared" si="15"/>
        <v>792533</v>
      </c>
      <c r="AF89" s="32">
        <f t="shared" si="15"/>
        <v>0</v>
      </c>
      <c r="AG89" s="32">
        <f t="shared" si="15"/>
        <v>7346386.95</v>
      </c>
      <c r="AH89" s="32">
        <f t="shared" si="15"/>
        <v>0</v>
      </c>
      <c r="AI89" s="32">
        <f t="shared" si="15"/>
        <v>0</v>
      </c>
      <c r="AJ89" s="32">
        <f t="shared" si="15"/>
        <v>4540736.9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27909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42272060.239999995</v>
      </c>
    </row>
    <row r="90">
      <c r="A90" s="39" t="s">
        <v>290</v>
      </c>
      <c r="B90" s="32"/>
      <c r="C90" s="24">
        <v>0</v>
      </c>
      <c r="D90" s="24">
        <v>0</v>
      </c>
      <c r="E90" s="24">
        <v>4996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4123</v>
      </c>
      <c r="Q90" s="24">
        <v>0</v>
      </c>
      <c r="R90" s="24">
        <v>0</v>
      </c>
      <c r="S90" s="24">
        <v>0</v>
      </c>
      <c r="T90" s="24">
        <v>335</v>
      </c>
      <c r="U90" s="24">
        <v>559</v>
      </c>
      <c r="V90" s="24">
        <v>0</v>
      </c>
      <c r="W90" s="24">
        <v>0</v>
      </c>
      <c r="X90" s="24">
        <v>0</v>
      </c>
      <c r="Y90" s="24">
        <v>1695</v>
      </c>
      <c r="Z90" s="24">
        <v>0</v>
      </c>
      <c r="AA90" s="24">
        <v>0</v>
      </c>
      <c r="AB90" s="24">
        <v>497</v>
      </c>
      <c r="AC90" s="24">
        <v>0</v>
      </c>
      <c r="AD90" s="24">
        <v>0</v>
      </c>
      <c r="AE90" s="24">
        <v>0</v>
      </c>
      <c r="AF90" s="24">
        <v>0</v>
      </c>
      <c r="AG90" s="24">
        <v>4061</v>
      </c>
      <c r="AH90" s="24">
        <v>0</v>
      </c>
      <c r="AI90" s="24">
        <v>0</v>
      </c>
      <c r="AJ90" s="24">
        <v>3990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1958</v>
      </c>
      <c r="BF90" s="24">
        <v>342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9108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0</v>
      </c>
      <c r="CD90" s="264" t="s">
        <v>248</v>
      </c>
      <c r="CE90" s="32">
        <f t="shared" si="14"/>
        <v>31664</v>
      </c>
      <c r="CF90" s="32">
        <f>BE59-CE90</f>
        <v>0</v>
      </c>
    </row>
    <row r="91">
      <c r="A91" s="26" t="s">
        <v>291</v>
      </c>
      <c r="B91" s="20"/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0" t="s">
        <v>248</v>
      </c>
      <c r="AY91" s="320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0</v>
      </c>
      <c r="CF91" s="32">
        <f>AY59-CE91</f>
        <v>0</v>
      </c>
    </row>
    <row r="92">
      <c r="A92" s="26" t="s">
        <v>292</v>
      </c>
      <c r="B92" s="20"/>
      <c r="C92" s="24">
        <v>0</v>
      </c>
      <c r="D92" s="24">
        <v>0</v>
      </c>
      <c r="E92" s="24">
        <v>2020.2168608585689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1667.2045871336827</v>
      </c>
      <c r="Q92" s="24">
        <v>0</v>
      </c>
      <c r="R92" s="24">
        <v>0</v>
      </c>
      <c r="S92" s="24">
        <v>0</v>
      </c>
      <c r="T92" s="24">
        <v>135.46289999752213</v>
      </c>
      <c r="U92" s="24">
        <v>226.04107790631306</v>
      </c>
      <c r="V92" s="24">
        <v>0</v>
      </c>
      <c r="W92" s="24">
        <v>0</v>
      </c>
      <c r="X92" s="24">
        <v>0</v>
      </c>
      <c r="Y92" s="24">
        <v>552.27139795784569</v>
      </c>
      <c r="Z92" s="24">
        <v>0</v>
      </c>
      <c r="AA92" s="24">
        <v>0</v>
      </c>
      <c r="AB92" s="24">
        <v>135.36217323315088</v>
      </c>
      <c r="AC92" s="24">
        <v>0</v>
      </c>
      <c r="AD92" s="24">
        <v>0</v>
      </c>
      <c r="AE92" s="24">
        <v>0</v>
      </c>
      <c r="AF92" s="24">
        <v>0</v>
      </c>
      <c r="AG92" s="24">
        <v>1642.1338414624995</v>
      </c>
      <c r="AH92" s="24">
        <v>0</v>
      </c>
      <c r="AI92" s="24">
        <v>0</v>
      </c>
      <c r="AJ92" s="24">
        <v>1559.1683546646975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0" t="s">
        <v>248</v>
      </c>
      <c r="AY92" s="320" t="s">
        <v>248</v>
      </c>
      <c r="AZ92" s="29" t="s">
        <v>248</v>
      </c>
      <c r="BA92" s="24">
        <v>0</v>
      </c>
      <c r="BB92" s="24">
        <v>0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0</v>
      </c>
      <c r="BI92" s="24">
        <v>0</v>
      </c>
      <c r="BJ92" s="29" t="s">
        <v>248</v>
      </c>
      <c r="BK92" s="24">
        <v>0</v>
      </c>
      <c r="BL92" s="24">
        <v>0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248</v>
      </c>
      <c r="CD92" s="29" t="s">
        <v>248</v>
      </c>
      <c r="CE92" s="32">
        <f t="shared" si="14"/>
        <v>7937.86119321428</v>
      </c>
      <c r="CF92" s="20"/>
    </row>
    <row r="93">
      <c r="A93" s="26" t="s">
        <v>293</v>
      </c>
      <c r="B93" s="20"/>
      <c r="C93" s="24">
        <v>0</v>
      </c>
      <c r="D93" s="24">
        <v>0</v>
      </c>
      <c r="E93" s="24">
        <v>4053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3517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7341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1112</v>
      </c>
      <c r="AF93" s="24">
        <v>0</v>
      </c>
      <c r="AG93" s="24">
        <v>17494</v>
      </c>
      <c r="AH93" s="24">
        <v>0</v>
      </c>
      <c r="AI93" s="24">
        <v>0</v>
      </c>
      <c r="AJ93" s="24">
        <v>833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20" t="s">
        <v>248</v>
      </c>
      <c r="AY93" s="320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34350</v>
      </c>
      <c r="CF93" s="32">
        <f>BA59</f>
        <v>0</v>
      </c>
    </row>
    <row r="94">
      <c r="A94" s="26" t="s">
        <v>294</v>
      </c>
      <c r="B94" s="20"/>
      <c r="C94" s="314">
        <v>0</v>
      </c>
      <c r="D94" s="314">
        <v>0</v>
      </c>
      <c r="E94" s="314">
        <v>2.1991423801510961</v>
      </c>
      <c r="F94" s="314">
        <v>0</v>
      </c>
      <c r="G94" s="314">
        <v>0</v>
      </c>
      <c r="H94" s="314">
        <v>0</v>
      </c>
      <c r="I94" s="314">
        <v>0</v>
      </c>
      <c r="J94" s="314">
        <v>0</v>
      </c>
      <c r="K94" s="314">
        <v>0</v>
      </c>
      <c r="L94" s="314">
        <v>0</v>
      </c>
      <c r="M94" s="314">
        <v>0</v>
      </c>
      <c r="N94" s="314">
        <v>0</v>
      </c>
      <c r="O94" s="314">
        <v>0</v>
      </c>
      <c r="P94" s="315">
        <v>3.0813889302884618</v>
      </c>
      <c r="Q94" s="315">
        <v>0</v>
      </c>
      <c r="R94" s="315">
        <v>0</v>
      </c>
      <c r="S94" s="316">
        <v>0</v>
      </c>
      <c r="T94" s="316">
        <v>1.1533403638392838</v>
      </c>
      <c r="U94" s="317">
        <v>0</v>
      </c>
      <c r="V94" s="315">
        <v>0</v>
      </c>
      <c r="W94" s="315">
        <v>0</v>
      </c>
      <c r="X94" s="315">
        <v>0</v>
      </c>
      <c r="Y94" s="315">
        <v>0</v>
      </c>
      <c r="Z94" s="315">
        <v>0</v>
      </c>
      <c r="AA94" s="315">
        <v>0</v>
      </c>
      <c r="AB94" s="316">
        <v>0</v>
      </c>
      <c r="AC94" s="315">
        <v>0</v>
      </c>
      <c r="AD94" s="315">
        <v>0</v>
      </c>
      <c r="AE94" s="315">
        <v>0</v>
      </c>
      <c r="AF94" s="315">
        <v>0</v>
      </c>
      <c r="AG94" s="315">
        <v>9.1895142512019241</v>
      </c>
      <c r="AH94" s="315">
        <v>0</v>
      </c>
      <c r="AI94" s="315">
        <v>0</v>
      </c>
      <c r="AJ94" s="315">
        <v>8.5045545034340861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6">
        <v>0</v>
      </c>
      <c r="AW94" s="320" t="s">
        <v>248</v>
      </c>
      <c r="AX94" s="320" t="s">
        <v>248</v>
      </c>
      <c r="AY94" s="320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248</v>
      </c>
      <c r="CD94" s="29" t="s">
        <v>248</v>
      </c>
      <c r="CE94" s="267">
        <f t="shared" si="14"/>
        <v>24.127940428914854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2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3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4">
        <f>98250</f>
        <v>98250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5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5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2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2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66</v>
      </c>
      <c r="D127" s="50">
        <v>205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0</v>
      </c>
      <c r="D130" s="50">
        <v>0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0</v>
      </c>
      <c r="D132" s="20"/>
      <c r="E132" s="20"/>
    </row>
    <row r="133">
      <c r="A133" s="20" t="s">
        <v>344</v>
      </c>
      <c r="B133" s="46" t="s">
        <v>299</v>
      </c>
      <c r="C133" s="47">
        <v>0</v>
      </c>
      <c r="D133" s="20"/>
      <c r="E133" s="20"/>
    </row>
    <row r="134">
      <c r="A134" s="20" t="s">
        <v>345</v>
      </c>
      <c r="B134" s="46" t="s">
        <v>299</v>
      </c>
      <c r="C134" s="47">
        <v>10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0</v>
      </c>
      <c r="D136" s="20"/>
      <c r="E136" s="20"/>
    </row>
    <row r="137">
      <c r="A137" s="20" t="s">
        <v>348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10</v>
      </c>
    </row>
    <row r="144">
      <c r="A144" s="20" t="s">
        <v>353</v>
      </c>
      <c r="B144" s="46" t="s">
        <v>299</v>
      </c>
      <c r="C144" s="47">
        <v>10</v>
      </c>
      <c r="D144" s="20"/>
      <c r="E144" s="20"/>
    </row>
    <row r="145">
      <c r="A145" s="20" t="s">
        <v>354</v>
      </c>
      <c r="B145" s="46" t="s">
        <v>299</v>
      </c>
      <c r="C145" s="47">
        <v>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51</v>
      </c>
      <c r="C154" s="50">
        <v>8</v>
      </c>
      <c r="D154" s="50">
        <v>7</v>
      </c>
      <c r="E154" s="32">
        <f>SUM(B154:D154)</f>
        <v>66</v>
      </c>
    </row>
    <row r="155">
      <c r="A155" s="20" t="s">
        <v>242</v>
      </c>
      <c r="B155" s="50">
        <v>166</v>
      </c>
      <c r="C155" s="50">
        <v>25</v>
      </c>
      <c r="D155" s="50">
        <v>14</v>
      </c>
      <c r="E155" s="32">
        <f>SUM(B155:D155)</f>
        <v>205</v>
      </c>
    </row>
    <row r="156">
      <c r="A156" s="20" t="s">
        <v>360</v>
      </c>
      <c r="B156" s="50">
        <v>10731</v>
      </c>
      <c r="C156" s="50">
        <v>2646</v>
      </c>
      <c r="D156" s="50">
        <v>7601</v>
      </c>
      <c r="E156" s="32">
        <f>SUM(B156:D156)</f>
        <v>20978</v>
      </c>
    </row>
    <row r="157">
      <c r="A157" s="20" t="s">
        <v>287</v>
      </c>
      <c r="B157" s="50">
        <v>627885.26</v>
      </c>
      <c r="C157" s="50">
        <v>175136.80000000002</v>
      </c>
      <c r="D157" s="50">
        <v>100111.79999999999</v>
      </c>
      <c r="E157" s="32">
        <f>SUM(B157:D157)</f>
        <v>903133.8600000001</v>
      </c>
      <c r="F157" s="18"/>
    </row>
    <row r="158">
      <c r="A158" s="20" t="s">
        <v>288</v>
      </c>
      <c r="B158" s="50">
        <v>24240220.869999997</v>
      </c>
      <c r="C158" s="50">
        <v>5239080.8</v>
      </c>
      <c r="D158" s="50">
        <v>11889624.709999997</v>
      </c>
      <c r="E158" s="32">
        <f>SUM(B158:D158)</f>
        <v>41368926.379999995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>
      <c r="A161" s="20" t="s">
        <v>242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>
      <c r="A162" s="20" t="s">
        <v>360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360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>
        <v>4849889</v>
      </c>
      <c r="C173" s="50">
        <v>2628105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620977.24</v>
      </c>
      <c r="D181" s="20"/>
      <c r="E181" s="20"/>
    </row>
    <row r="182">
      <c r="A182" s="20" t="s">
        <v>370</v>
      </c>
      <c r="B182" s="46" t="s">
        <v>299</v>
      </c>
      <c r="C182" s="47">
        <v>12124.19</v>
      </c>
      <c r="D182" s="20"/>
      <c r="E182" s="20"/>
    </row>
    <row r="183">
      <c r="A183" s="25" t="s">
        <v>371</v>
      </c>
      <c r="B183" s="46" t="s">
        <v>299</v>
      </c>
      <c r="C183" s="47">
        <v>51013.55</v>
      </c>
      <c r="D183" s="20"/>
      <c r="E183" s="20"/>
    </row>
    <row r="184">
      <c r="A184" s="20" t="s">
        <v>372</v>
      </c>
      <c r="B184" s="46" t="s">
        <v>299</v>
      </c>
      <c r="C184" s="47">
        <v>976216.29</v>
      </c>
      <c r="D184" s="20"/>
      <c r="E184" s="20"/>
    </row>
    <row r="185">
      <c r="A185" s="20" t="s">
        <v>373</v>
      </c>
      <c r="B185" s="46" t="s">
        <v>299</v>
      </c>
      <c r="C185" s="47">
        <v>7847.32</v>
      </c>
      <c r="D185" s="20"/>
      <c r="E185" s="20"/>
    </row>
    <row r="186">
      <c r="A186" s="20" t="s">
        <v>374</v>
      </c>
      <c r="B186" s="46" t="s">
        <v>299</v>
      </c>
      <c r="C186" s="47">
        <v>595977.59</v>
      </c>
      <c r="D186" s="20"/>
      <c r="E186" s="20"/>
    </row>
    <row r="187">
      <c r="A187" s="20" t="s">
        <v>375</v>
      </c>
      <c r="B187" s="46" t="s">
        <v>299</v>
      </c>
      <c r="C187" s="47">
        <v>84782.27</v>
      </c>
      <c r="D187" s="20"/>
      <c r="E187" s="20"/>
    </row>
    <row r="188">
      <c r="A188" s="20" t="s">
        <v>375</v>
      </c>
      <c r="B188" s="46" t="s">
        <v>299</v>
      </c>
      <c r="C188" s="47">
        <v>17115.39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2366053.8400000003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3386.74999999996</v>
      </c>
      <c r="D191" s="20"/>
      <c r="E191" s="20"/>
    </row>
    <row r="192">
      <c r="A192" s="20" t="s">
        <v>378</v>
      </c>
      <c r="B192" s="46" t="s">
        <v>299</v>
      </c>
      <c r="C192" s="47">
        <v>135516.09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138902.83999999997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147762.22</v>
      </c>
      <c r="D195" s="20"/>
      <c r="E195" s="20"/>
    </row>
    <row r="196">
      <c r="A196" s="20" t="s">
        <v>381</v>
      </c>
      <c r="B196" s="46" t="s">
        <v>299</v>
      </c>
      <c r="C196" s="47">
        <v>61619.98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209382.2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38455.34</v>
      </c>
      <c r="D199" s="20"/>
      <c r="E199" s="20"/>
    </row>
    <row r="200">
      <c r="A200" s="20" t="s">
        <v>384</v>
      </c>
      <c r="B200" s="46" t="s">
        <v>299</v>
      </c>
      <c r="C200" s="47">
        <v>140197.87</v>
      </c>
      <c r="D200" s="20"/>
      <c r="E200" s="20"/>
    </row>
    <row r="201">
      <c r="A201" s="20" t="s">
        <v>159</v>
      </c>
      <c r="B201" s="46" t="s">
        <v>299</v>
      </c>
      <c r="C201" s="47">
        <v>0</v>
      </c>
      <c r="D201" s="20"/>
      <c r="E201" s="20"/>
    </row>
    <row r="202">
      <c r="A202" s="20" t="s">
        <v>230</v>
      </c>
      <c r="B202" s="20"/>
      <c r="C202" s="27"/>
      <c r="D202" s="32">
        <f>SUM(C199:C201)</f>
        <v>178653.21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0</v>
      </c>
      <c r="D204" s="20"/>
      <c r="E204" s="20"/>
    </row>
    <row r="205">
      <c r="A205" s="20" t="s">
        <v>387</v>
      </c>
      <c r="B205" s="46" t="s">
        <v>299</v>
      </c>
      <c r="C205" s="47">
        <v>8357.85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8357.85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0</v>
      </c>
      <c r="C211" s="47">
        <v>0</v>
      </c>
      <c r="D211" s="50">
        <v>0</v>
      </c>
      <c r="E211" s="32">
        <f ref="E211:E219" t="shared" si="16">SUM(B211:C211)-D211</f>
        <v>0</v>
      </c>
    </row>
    <row r="212">
      <c r="A212" s="20" t="s">
        <v>395</v>
      </c>
      <c r="B212" s="50">
        <v>1615035.4200000002</v>
      </c>
      <c r="C212" s="47">
        <v>0</v>
      </c>
      <c r="D212" s="50">
        <v>0</v>
      </c>
      <c r="E212" s="32">
        <f t="shared" si="16"/>
        <v>1615035.4200000002</v>
      </c>
    </row>
    <row r="213">
      <c r="A213" s="20" t="s">
        <v>396</v>
      </c>
      <c r="B213" s="50">
        <v>11330143.069999997</v>
      </c>
      <c r="C213" s="47">
        <v>534032.24</v>
      </c>
      <c r="D213" s="50">
        <v>0</v>
      </c>
      <c r="E213" s="32">
        <f t="shared" si="16"/>
        <v>11864175.309999997</v>
      </c>
    </row>
    <row r="214">
      <c r="A214" s="20" t="s">
        <v>397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>
      <c r="A215" s="20" t="s">
        <v>398</v>
      </c>
      <c r="B215" s="50">
        <v>11136961.030000007</v>
      </c>
      <c r="C215" s="47">
        <v>0</v>
      </c>
      <c r="D215" s="50">
        <v>0</v>
      </c>
      <c r="E215" s="32">
        <f t="shared" si="16"/>
        <v>11136961.030000007</v>
      </c>
    </row>
    <row r="216">
      <c r="A216" s="20" t="s">
        <v>399</v>
      </c>
      <c r="B216" s="50">
        <v>6344087.950000003</v>
      </c>
      <c r="C216" s="47">
        <v>235829.64</v>
      </c>
      <c r="D216" s="50">
        <v>0</v>
      </c>
      <c r="E216" s="32">
        <f t="shared" si="16"/>
        <v>6579917.5900000026</v>
      </c>
    </row>
    <row r="217">
      <c r="A217" s="20" t="s">
        <v>400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401</v>
      </c>
      <c r="B218" s="50">
        <v>0</v>
      </c>
      <c r="C218" s="47">
        <v>0</v>
      </c>
      <c r="D218" s="50">
        <v>0</v>
      </c>
      <c r="E218" s="32">
        <f t="shared" si="16"/>
        <v>0</v>
      </c>
    </row>
    <row r="219">
      <c r="A219" s="20" t="s">
        <v>402</v>
      </c>
      <c r="B219" s="50">
        <v>13611.76</v>
      </c>
      <c r="C219" s="47">
        <v>-13611.76</v>
      </c>
      <c r="D219" s="50">
        <v>0</v>
      </c>
      <c r="E219" s="32">
        <f t="shared" si="16"/>
        <v>0</v>
      </c>
    </row>
    <row r="220">
      <c r="A220" s="20" t="s">
        <v>230</v>
      </c>
      <c r="B220" s="32">
        <f>SUM(B211:B219)</f>
        <v>30439839.230000008</v>
      </c>
      <c r="C220" s="266">
        <f>SUM(C211:C219)</f>
        <v>756250.12</v>
      </c>
      <c r="D220" s="32">
        <f>SUM(D211:D219)</f>
        <v>0</v>
      </c>
      <c r="E220" s="32">
        <f>SUM(E211:E219)</f>
        <v>31196089.350000009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1110310.2800000003</v>
      </c>
      <c r="C225" s="47">
        <v>44476.51</v>
      </c>
      <c r="D225" s="50">
        <v>0</v>
      </c>
      <c r="E225" s="32">
        <f ref="E225:E232" t="shared" si="17">SUM(B225:C225)-D225</f>
        <v>1154786.7900000003</v>
      </c>
    </row>
    <row r="226">
      <c r="A226" s="20" t="s">
        <v>396</v>
      </c>
      <c r="B226" s="50">
        <v>2610676.28</v>
      </c>
      <c r="C226" s="47">
        <v>300536.98</v>
      </c>
      <c r="D226" s="50">
        <v>0</v>
      </c>
      <c r="E226" s="32">
        <f t="shared" si="17"/>
        <v>2911213.26</v>
      </c>
    </row>
    <row r="227">
      <c r="A227" s="20" t="s">
        <v>397</v>
      </c>
      <c r="B227" s="50">
        <v>0</v>
      </c>
      <c r="C227" s="47">
        <v>0</v>
      </c>
      <c r="D227" s="50">
        <v>0</v>
      </c>
      <c r="E227" s="32">
        <f t="shared" si="17"/>
        <v>0</v>
      </c>
    </row>
    <row r="228">
      <c r="A228" s="20" t="s">
        <v>398</v>
      </c>
      <c r="B228" s="50">
        <v>3231283.4899999993</v>
      </c>
      <c r="C228" s="47">
        <v>404710.78</v>
      </c>
      <c r="D228" s="50">
        <v>0</v>
      </c>
      <c r="E228" s="32">
        <f t="shared" si="17"/>
        <v>3635994.2699999996</v>
      </c>
    </row>
    <row r="229">
      <c r="A229" s="20" t="s">
        <v>399</v>
      </c>
      <c r="B229" s="50">
        <v>4980723.1899999995</v>
      </c>
      <c r="C229" s="47">
        <v>363495.29</v>
      </c>
      <c r="D229" s="50">
        <v>0</v>
      </c>
      <c r="E229" s="32">
        <f t="shared" si="17"/>
        <v>5344218.4799999995</v>
      </c>
    </row>
    <row r="230">
      <c r="A230" s="20" t="s">
        <v>400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>
      <c r="A231" s="20" t="s">
        <v>401</v>
      </c>
      <c r="B231" s="50">
        <v>0</v>
      </c>
      <c r="C231" s="47">
        <v>0</v>
      </c>
      <c r="D231" s="50">
        <v>0</v>
      </c>
      <c r="E231" s="32">
        <f t="shared" si="17"/>
        <v>0</v>
      </c>
    </row>
    <row r="232">
      <c r="A232" s="20" t="s">
        <v>402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>
      <c r="A233" s="20" t="s">
        <v>230</v>
      </c>
      <c r="B233" s="32">
        <f>SUM(B224:B232)</f>
        <v>11932993.239999998</v>
      </c>
      <c r="C233" s="266">
        <f>SUM(C224:C232)</f>
        <v>1113219.56</v>
      </c>
      <c r="D233" s="32">
        <f>SUM(D224:D232)</f>
        <v>0</v>
      </c>
      <c r="E233" s="32">
        <f>SUM(E224:E232)</f>
        <v>13046212.799999999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3" t="s">
        <v>405</v>
      </c>
      <c r="C236" s="343"/>
      <c r="D236" s="38"/>
      <c r="E236" s="38"/>
    </row>
    <row r="237">
      <c r="A237" s="56" t="s">
        <v>405</v>
      </c>
      <c r="B237" s="38"/>
      <c r="C237" s="47">
        <v>1190702.88</v>
      </c>
      <c r="D237" s="40">
        <f>C237</f>
        <v>1190702.88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10521357.21</v>
      </c>
      <c r="D239" s="20"/>
      <c r="E239" s="20"/>
    </row>
    <row r="240">
      <c r="A240" s="20" t="s">
        <v>408</v>
      </c>
      <c r="B240" s="46" t="s">
        <v>299</v>
      </c>
      <c r="C240" s="47">
        <v>4560927.7</v>
      </c>
      <c r="D240" s="20"/>
      <c r="E240" s="20"/>
    </row>
    <row r="241">
      <c r="A241" s="20" t="s">
        <v>409</v>
      </c>
      <c r="B241" s="46" t="s">
        <v>299</v>
      </c>
      <c r="C241" s="47">
        <v>123225.44</v>
      </c>
      <c r="D241" s="20"/>
      <c r="E241" s="20"/>
    </row>
    <row r="242">
      <c r="A242" s="20" t="s">
        <v>410</v>
      </c>
      <c r="B242" s="46" t="s">
        <v>299</v>
      </c>
      <c r="C242" s="47">
        <v>274501.61</v>
      </c>
      <c r="D242" s="20"/>
      <c r="E242" s="20"/>
    </row>
    <row r="243">
      <c r="A243" s="20" t="s">
        <v>411</v>
      </c>
      <c r="B243" s="46" t="s">
        <v>299</v>
      </c>
      <c r="C243" s="47">
        <v>1609379.33</v>
      </c>
      <c r="D243" s="20"/>
      <c r="E243" s="20"/>
    </row>
    <row r="244">
      <c r="A244" s="20" t="s">
        <v>412</v>
      </c>
      <c r="B244" s="46" t="s">
        <v>299</v>
      </c>
      <c r="C244" s="47">
        <v>143751.06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17233142.349999998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1982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17934.38</v>
      </c>
      <c r="D249" s="20"/>
      <c r="E249" s="20"/>
    </row>
    <row r="250">
      <c r="A250" s="26" t="s">
        <v>417</v>
      </c>
      <c r="B250" s="46" t="s">
        <v>299</v>
      </c>
      <c r="C250" s="47">
        <v>632892.77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650827.15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-7332.97</v>
      </c>
      <c r="D254" s="20"/>
      <c r="E254" s="20"/>
    </row>
    <row r="255">
      <c r="A255" s="20" t="s">
        <v>419</v>
      </c>
      <c r="B255" s="46" t="s">
        <v>299</v>
      </c>
      <c r="C255" s="47">
        <v>0</v>
      </c>
      <c r="D255" s="20"/>
      <c r="E255" s="20"/>
    </row>
    <row r="256">
      <c r="A256" s="20" t="s">
        <v>421</v>
      </c>
      <c r="B256" s="20"/>
      <c r="C256" s="27"/>
      <c r="D256" s="32">
        <f>SUM(C254:C255)</f>
        <v>-7332.97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19067339.409999996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0</v>
      </c>
      <c r="D266" s="20"/>
      <c r="E266" s="20"/>
    </row>
    <row r="267">
      <c r="A267" s="20" t="s">
        <v>426</v>
      </c>
      <c r="B267" s="46" t="s">
        <v>299</v>
      </c>
      <c r="C267" s="47">
        <v>0</v>
      </c>
      <c r="D267" s="20"/>
      <c r="E267" s="20"/>
    </row>
    <row r="268">
      <c r="A268" s="20" t="s">
        <v>427</v>
      </c>
      <c r="B268" s="46" t="s">
        <v>299</v>
      </c>
      <c r="C268" s="47">
        <v>5596488.5900000008</v>
      </c>
      <c r="D268" s="20"/>
      <c r="E268" s="20"/>
    </row>
    <row r="269">
      <c r="A269" s="20" t="s">
        <v>428</v>
      </c>
      <c r="B269" s="46" t="s">
        <v>299</v>
      </c>
      <c r="C269" s="47">
        <v>1990595</v>
      </c>
      <c r="D269" s="20"/>
      <c r="E269" s="20"/>
    </row>
    <row r="270">
      <c r="A270" s="20" t="s">
        <v>429</v>
      </c>
      <c r="B270" s="46" t="s">
        <v>299</v>
      </c>
      <c r="C270" s="47">
        <v>127740.09999999873</v>
      </c>
      <c r="D270" s="20"/>
      <c r="E270" s="20"/>
    </row>
    <row r="271">
      <c r="A271" s="20" t="s">
        <v>430</v>
      </c>
      <c r="B271" s="46" t="s">
        <v>299</v>
      </c>
      <c r="C271" s="47">
        <v>0</v>
      </c>
      <c r="D271" s="20"/>
      <c r="E271" s="20"/>
    </row>
    <row r="272">
      <c r="A272" s="20" t="s">
        <v>431</v>
      </c>
      <c r="B272" s="46" t="s">
        <v>299</v>
      </c>
      <c r="C272" s="47">
        <v>0</v>
      </c>
      <c r="D272" s="20"/>
      <c r="E272" s="20"/>
    </row>
    <row r="273">
      <c r="A273" s="20" t="s">
        <v>432</v>
      </c>
      <c r="B273" s="46" t="s">
        <v>299</v>
      </c>
      <c r="C273" s="47">
        <v>0</v>
      </c>
      <c r="D273" s="20"/>
      <c r="E273" s="20"/>
    </row>
    <row r="274">
      <c r="A274" s="20" t="s">
        <v>433</v>
      </c>
      <c r="B274" s="46" t="s">
        <v>299</v>
      </c>
      <c r="C274" s="47">
        <v>0</v>
      </c>
      <c r="D274" s="20"/>
      <c r="E274" s="20"/>
    </row>
    <row r="275">
      <c r="A275" s="20" t="s">
        <v>434</v>
      </c>
      <c r="B275" s="46" t="s">
        <v>299</v>
      </c>
      <c r="C275" s="47">
        <v>0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3733633.6899999995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>
        <v>0</v>
      </c>
      <c r="D278" s="20"/>
      <c r="E278" s="20"/>
    </row>
    <row r="279">
      <c r="A279" s="20" t="s">
        <v>426</v>
      </c>
      <c r="B279" s="46" t="s">
        <v>299</v>
      </c>
      <c r="C279" s="47">
        <v>0</v>
      </c>
      <c r="D279" s="20"/>
      <c r="E279" s="20"/>
    </row>
    <row r="280">
      <c r="A280" s="20" t="s">
        <v>437</v>
      </c>
      <c r="B280" s="46" t="s">
        <v>299</v>
      </c>
      <c r="C280" s="47">
        <v>0</v>
      </c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47">
        <v>0</v>
      </c>
      <c r="D283" s="20"/>
      <c r="E283" s="20"/>
    </row>
    <row r="284">
      <c r="A284" s="20" t="s">
        <v>395</v>
      </c>
      <c r="B284" s="46" t="s">
        <v>299</v>
      </c>
      <c r="C284" s="47">
        <v>1615035.4200000002</v>
      </c>
      <c r="D284" s="20"/>
      <c r="E284" s="20"/>
    </row>
    <row r="285">
      <c r="A285" s="20" t="s">
        <v>396</v>
      </c>
      <c r="B285" s="46" t="s">
        <v>299</v>
      </c>
      <c r="C285" s="47">
        <v>11864175.309999997</v>
      </c>
      <c r="D285" s="20"/>
      <c r="E285" s="20"/>
    </row>
    <row r="286">
      <c r="A286" s="20" t="s">
        <v>440</v>
      </c>
      <c r="B286" s="46" t="s">
        <v>299</v>
      </c>
      <c r="C286" s="47">
        <v>0</v>
      </c>
      <c r="D286" s="20"/>
      <c r="E286" s="20"/>
    </row>
    <row r="287">
      <c r="A287" s="20" t="s">
        <v>441</v>
      </c>
      <c r="B287" s="46" t="s">
        <v>299</v>
      </c>
      <c r="C287" s="47">
        <v>11136961.030000007</v>
      </c>
      <c r="D287" s="20"/>
      <c r="E287" s="20"/>
    </row>
    <row r="288">
      <c r="A288" s="20" t="s">
        <v>442</v>
      </c>
      <c r="B288" s="46" t="s">
        <v>299</v>
      </c>
      <c r="C288" s="47">
        <v>6579917.5900000026</v>
      </c>
      <c r="D288" s="20"/>
      <c r="E288" s="20"/>
    </row>
    <row r="289">
      <c r="A289" s="20" t="s">
        <v>401</v>
      </c>
      <c r="B289" s="46" t="s">
        <v>299</v>
      </c>
      <c r="C289" s="47">
        <v>0</v>
      </c>
      <c r="D289" s="20"/>
      <c r="E289" s="20"/>
    </row>
    <row r="290">
      <c r="A290" s="20" t="s">
        <v>402</v>
      </c>
      <c r="B290" s="46" t="s">
        <v>299</v>
      </c>
      <c r="C290" s="47">
        <v>0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31196089.350000009</v>
      </c>
      <c r="E291" s="20"/>
    </row>
    <row r="292">
      <c r="A292" s="20" t="s">
        <v>444</v>
      </c>
      <c r="B292" s="46" t="s">
        <v>299</v>
      </c>
      <c r="C292" s="47">
        <v>13046212.799999999</v>
      </c>
      <c r="D292" s="20"/>
      <c r="E292" s="20"/>
    </row>
    <row r="293">
      <c r="A293" s="20" t="s">
        <v>445</v>
      </c>
      <c r="B293" s="20"/>
      <c r="C293" s="27"/>
      <c r="D293" s="32">
        <f>D291-C292</f>
        <v>18149876.550000012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47">
        <v>0</v>
      </c>
      <c r="D295" s="20"/>
      <c r="E295" s="20"/>
    </row>
    <row r="296">
      <c r="A296" s="20" t="s">
        <v>448</v>
      </c>
      <c r="B296" s="46" t="s">
        <v>299</v>
      </c>
      <c r="C296" s="47">
        <v>0</v>
      </c>
      <c r="D296" s="20"/>
      <c r="E296" s="20"/>
    </row>
    <row r="297">
      <c r="A297" s="20" t="s">
        <v>449</v>
      </c>
      <c r="B297" s="46" t="s">
        <v>299</v>
      </c>
      <c r="C297" s="47">
        <v>0</v>
      </c>
      <c r="D297" s="20"/>
      <c r="E297" s="20"/>
    </row>
    <row r="298">
      <c r="A298" s="20" t="s">
        <v>437</v>
      </c>
      <c r="B298" s="46" t="s">
        <v>299</v>
      </c>
      <c r="C298" s="47">
        <v>0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0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0</v>
      </c>
      <c r="D302" s="20"/>
      <c r="E302" s="20"/>
    </row>
    <row r="303">
      <c r="A303" s="20" t="s">
        <v>453</v>
      </c>
      <c r="B303" s="46" t="s">
        <v>299</v>
      </c>
      <c r="C303" s="47">
        <v>0</v>
      </c>
      <c r="D303" s="20"/>
      <c r="E303" s="20"/>
    </row>
    <row r="304">
      <c r="A304" s="20" t="s">
        <v>454</v>
      </c>
      <c r="B304" s="46" t="s">
        <v>299</v>
      </c>
      <c r="C304" s="47">
        <v>0</v>
      </c>
      <c r="D304" s="20"/>
      <c r="E304" s="20"/>
    </row>
    <row r="305">
      <c r="A305" s="20" t="s">
        <v>455</v>
      </c>
      <c r="B305" s="46" t="s">
        <v>299</v>
      </c>
      <c r="C305" s="47">
        <v>0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21883510.24000001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0</v>
      </c>
      <c r="D315" s="20"/>
      <c r="E315" s="20"/>
    </row>
    <row r="316">
      <c r="A316" s="20" t="s">
        <v>462</v>
      </c>
      <c r="B316" s="46" t="s">
        <v>299</v>
      </c>
      <c r="C316" s="47">
        <v>0</v>
      </c>
      <c r="D316" s="20"/>
      <c r="E316" s="20"/>
    </row>
    <row r="317">
      <c r="A317" s="20" t="s">
        <v>463</v>
      </c>
      <c r="B317" s="46" t="s">
        <v>299</v>
      </c>
      <c r="C317" s="47">
        <v>0</v>
      </c>
      <c r="D317" s="20"/>
      <c r="E317" s="20"/>
    </row>
    <row r="318">
      <c r="A318" s="20" t="s">
        <v>464</v>
      </c>
      <c r="B318" s="46" t="s">
        <v>299</v>
      </c>
      <c r="C318" s="47">
        <v>777357.39999999967</v>
      </c>
      <c r="D318" s="20"/>
      <c r="E318" s="20"/>
    </row>
    <row r="319">
      <c r="A319" s="20" t="s">
        <v>465</v>
      </c>
      <c r="B319" s="46" t="s">
        <v>299</v>
      </c>
      <c r="C319" s="47">
        <v>0</v>
      </c>
      <c r="D319" s="20"/>
      <c r="E319" s="20"/>
    </row>
    <row r="320">
      <c r="A320" s="20" t="s">
        <v>466</v>
      </c>
      <c r="B320" s="46" t="s">
        <v>299</v>
      </c>
      <c r="C320" s="47">
        <v>0</v>
      </c>
      <c r="D320" s="20"/>
      <c r="E320" s="20"/>
    </row>
    <row r="321">
      <c r="A321" s="20" t="s">
        <v>467</v>
      </c>
      <c r="B321" s="46" t="s">
        <v>299</v>
      </c>
      <c r="C321" s="47">
        <v>0</v>
      </c>
      <c r="D321" s="20"/>
      <c r="E321" s="20"/>
    </row>
    <row r="322">
      <c r="A322" s="20" t="s">
        <v>468</v>
      </c>
      <c r="B322" s="46" t="s">
        <v>299</v>
      </c>
      <c r="C322" s="47">
        <v>0</v>
      </c>
      <c r="D322" s="20"/>
      <c r="E322" s="20"/>
    </row>
    <row r="323">
      <c r="A323" s="20" t="s">
        <v>469</v>
      </c>
      <c r="B323" s="46" t="s">
        <v>299</v>
      </c>
      <c r="C323" s="47">
        <v>0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777357.39999999967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>
        <v>0</v>
      </c>
      <c r="D326" s="20"/>
      <c r="E326" s="20"/>
    </row>
    <row r="327">
      <c r="A327" s="20" t="s">
        <v>473</v>
      </c>
      <c r="B327" s="46" t="s">
        <v>299</v>
      </c>
      <c r="C327" s="47">
        <v>0</v>
      </c>
      <c r="D327" s="20"/>
      <c r="E327" s="20"/>
    </row>
    <row r="328">
      <c r="A328" s="20" t="s">
        <v>474</v>
      </c>
      <c r="B328" s="46" t="s">
        <v>299</v>
      </c>
      <c r="C328" s="47">
        <v>0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0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>
        <v>0</v>
      </c>
      <c r="D331" s="20"/>
      <c r="E331" s="20"/>
    </row>
    <row r="332">
      <c r="A332" s="20" t="s">
        <v>478</v>
      </c>
      <c r="B332" s="46" t="s">
        <v>299</v>
      </c>
      <c r="C332" s="47">
        <v>0</v>
      </c>
      <c r="D332" s="20"/>
      <c r="E332" s="20"/>
    </row>
    <row r="333">
      <c r="A333" s="20" t="s">
        <v>479</v>
      </c>
      <c r="B333" s="46" t="s">
        <v>299</v>
      </c>
      <c r="C333" s="47">
        <v>0</v>
      </c>
      <c r="D333" s="20"/>
      <c r="E333" s="20"/>
    </row>
    <row r="334">
      <c r="A334" s="26" t="s">
        <v>480</v>
      </c>
      <c r="B334" s="46" t="s">
        <v>299</v>
      </c>
      <c r="C334" s="47">
        <v>0</v>
      </c>
      <c r="D334" s="20"/>
      <c r="E334" s="20"/>
    </row>
    <row r="335">
      <c r="A335" s="20" t="s">
        <v>481</v>
      </c>
      <c r="B335" s="46" t="s">
        <v>299</v>
      </c>
      <c r="C335" s="47">
        <v>0</v>
      </c>
      <c r="D335" s="20"/>
      <c r="E335" s="20"/>
    </row>
    <row r="336">
      <c r="A336" s="26" t="s">
        <v>482</v>
      </c>
      <c r="B336" s="46" t="s">
        <v>299</v>
      </c>
      <c r="C336" s="47">
        <v>0</v>
      </c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0</v>
      </c>
      <c r="E339" s="20"/>
    </row>
    <row r="340">
      <c r="A340" s="20" t="s">
        <v>485</v>
      </c>
      <c r="B340" s="20"/>
      <c r="C340" s="27"/>
      <c r="D340" s="32">
        <f>C323</f>
        <v>0</v>
      </c>
      <c r="E340" s="20"/>
    </row>
    <row r="341">
      <c r="A341" s="20" t="s">
        <v>486</v>
      </c>
      <c r="B341" s="20"/>
      <c r="C341" s="27"/>
      <c r="D341" s="32">
        <f>D339-D340</f>
        <v>0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6">
        <v>21106152.840000011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>
        <v>0</v>
      </c>
      <c r="D345" s="20"/>
      <c r="E345" s="20"/>
    </row>
    <row r="346">
      <c r="A346" s="20" t="s">
        <v>489</v>
      </c>
      <c r="B346" s="46" t="s">
        <v>299</v>
      </c>
      <c r="C346" s="234">
        <v>0</v>
      </c>
      <c r="D346" s="20"/>
      <c r="E346" s="20"/>
    </row>
    <row r="347">
      <c r="A347" s="20" t="s">
        <v>490</v>
      </c>
      <c r="B347" s="46" t="s">
        <v>299</v>
      </c>
      <c r="C347" s="234">
        <v>0</v>
      </c>
      <c r="D347" s="20"/>
      <c r="E347" s="20"/>
    </row>
    <row r="348">
      <c r="A348" s="20" t="s">
        <v>491</v>
      </c>
      <c r="B348" s="46" t="s">
        <v>299</v>
      </c>
      <c r="C348" s="234">
        <v>0</v>
      </c>
      <c r="D348" s="20"/>
      <c r="E348" s="20"/>
    </row>
    <row r="349">
      <c r="A349" s="20" t="s">
        <v>492</v>
      </c>
      <c r="B349" s="46" t="s">
        <v>299</v>
      </c>
      <c r="C349" s="234">
        <v>0</v>
      </c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21883510.24000001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21883510.24000001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903133.86</v>
      </c>
      <c r="D358" s="20"/>
      <c r="E358" s="20"/>
    </row>
    <row r="359">
      <c r="A359" s="20" t="s">
        <v>498</v>
      </c>
      <c r="B359" s="46" t="s">
        <v>299</v>
      </c>
      <c r="C359" s="234">
        <v>41368926.38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42272060.24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1190702.88</v>
      </c>
      <c r="D362" s="20"/>
      <c r="E362" s="45"/>
    </row>
    <row r="363">
      <c r="A363" s="20" t="s">
        <v>501</v>
      </c>
      <c r="B363" s="46" t="s">
        <v>299</v>
      </c>
      <c r="C363" s="47">
        <v>17233142.349999998</v>
      </c>
      <c r="D363" s="20"/>
      <c r="E363" s="20"/>
    </row>
    <row r="364">
      <c r="A364" s="20" t="s">
        <v>502</v>
      </c>
      <c r="B364" s="46" t="s">
        <v>299</v>
      </c>
      <c r="C364" s="47">
        <v>650827.15</v>
      </c>
      <c r="D364" s="20"/>
      <c r="E364" s="20"/>
    </row>
    <row r="365">
      <c r="A365" s="20" t="s">
        <v>503</v>
      </c>
      <c r="B365" s="46" t="s">
        <v>299</v>
      </c>
      <c r="C365" s="47">
        <v>-7332.97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19067339.409999996</v>
      </c>
      <c r="E366" s="20"/>
    </row>
    <row r="367">
      <c r="A367" s="20" t="s">
        <v>504</v>
      </c>
      <c r="B367" s="20"/>
      <c r="C367" s="27"/>
      <c r="D367" s="32">
        <f>D360-D366</f>
        <v>23204720.830000006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1198619.3599999999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1198619.3599999999</v>
      </c>
      <c r="E381" s="32"/>
      <c r="F381" s="60"/>
    </row>
    <row r="382">
      <c r="A382" s="56" t="s">
        <v>519</v>
      </c>
      <c r="B382" s="46" t="s">
        <v>299</v>
      </c>
      <c r="C382" s="47">
        <v>0</v>
      </c>
      <c r="D382" s="32"/>
      <c r="E382" s="20"/>
    </row>
    <row r="383">
      <c r="A383" s="20" t="s">
        <v>520</v>
      </c>
      <c r="B383" s="20"/>
      <c r="C383" s="27"/>
      <c r="D383" s="32">
        <f>D381+C382</f>
        <v>1198619.3599999999</v>
      </c>
      <c r="E383" s="20"/>
    </row>
    <row r="384">
      <c r="A384" s="20" t="s">
        <v>521</v>
      </c>
      <c r="B384" s="20"/>
      <c r="C384" s="27"/>
      <c r="D384" s="32">
        <f>D367+D383</f>
        <v>24403340.190000005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11545566.329999998</v>
      </c>
      <c r="D389" s="20"/>
      <c r="E389" s="20"/>
    </row>
    <row r="390">
      <c r="A390" s="20" t="s">
        <v>11</v>
      </c>
      <c r="B390" s="46" t="s">
        <v>299</v>
      </c>
      <c r="C390" s="47">
        <v>2366053.8400000003</v>
      </c>
      <c r="D390" s="20"/>
      <c r="E390" s="20"/>
    </row>
    <row r="391">
      <c r="A391" s="20" t="s">
        <v>264</v>
      </c>
      <c r="B391" s="46" t="s">
        <v>299</v>
      </c>
      <c r="C391" s="47">
        <v>259776.24</v>
      </c>
      <c r="D391" s="20"/>
      <c r="E391" s="20"/>
    </row>
    <row r="392">
      <c r="A392" s="20" t="s">
        <v>524</v>
      </c>
      <c r="B392" s="46" t="s">
        <v>299</v>
      </c>
      <c r="C392" s="47">
        <v>3698538.87</v>
      </c>
      <c r="D392" s="20"/>
      <c r="E392" s="20"/>
    </row>
    <row r="393">
      <c r="A393" s="20" t="s">
        <v>525</v>
      </c>
      <c r="B393" s="46" t="s">
        <v>299</v>
      </c>
      <c r="C393" s="47">
        <v>256883.27</v>
      </c>
      <c r="D393" s="20"/>
      <c r="E393" s="20"/>
    </row>
    <row r="394">
      <c r="A394" s="20" t="s">
        <v>526</v>
      </c>
      <c r="B394" s="46" t="s">
        <v>299</v>
      </c>
      <c r="C394" s="47">
        <v>4238747.83</v>
      </c>
      <c r="D394" s="20"/>
      <c r="E394" s="20"/>
    </row>
    <row r="395">
      <c r="A395" s="20" t="s">
        <v>16</v>
      </c>
      <c r="B395" s="46" t="s">
        <v>299</v>
      </c>
      <c r="C395" s="47">
        <v>1980508.3</v>
      </c>
      <c r="D395" s="20"/>
      <c r="E395" s="20"/>
    </row>
    <row r="396">
      <c r="A396" s="20" t="s">
        <v>527</v>
      </c>
      <c r="B396" s="46" t="s">
        <v>299</v>
      </c>
      <c r="C396" s="47">
        <v>138902.83999999997</v>
      </c>
      <c r="D396" s="20"/>
      <c r="E396" s="20"/>
    </row>
    <row r="397">
      <c r="A397" s="20" t="s">
        <v>528</v>
      </c>
      <c r="B397" s="46" t="s">
        <v>299</v>
      </c>
      <c r="C397" s="47">
        <v>209382.2</v>
      </c>
      <c r="D397" s="20"/>
      <c r="E397" s="20"/>
    </row>
    <row r="398">
      <c r="A398" s="20" t="s">
        <v>529</v>
      </c>
      <c r="B398" s="46" t="s">
        <v>299</v>
      </c>
      <c r="C398" s="47">
        <v>178653.21</v>
      </c>
      <c r="D398" s="20"/>
      <c r="E398" s="20"/>
    </row>
    <row r="399">
      <c r="A399" s="20" t="s">
        <v>530</v>
      </c>
      <c r="B399" s="46" t="s">
        <v>299</v>
      </c>
      <c r="C399" s="47">
        <v>8357.85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405762.61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405762.61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25287133.389999997</v>
      </c>
      <c r="E416" s="32"/>
    </row>
    <row r="417">
      <c r="A417" s="32" t="s">
        <v>535</v>
      </c>
      <c r="B417" s="20"/>
      <c r="C417" s="27"/>
      <c r="D417" s="32">
        <f>D384-D416</f>
        <v>-883793.1999999918</v>
      </c>
      <c r="E417" s="32"/>
    </row>
    <row r="418">
      <c r="A418" s="32" t="s">
        <v>536</v>
      </c>
      <c r="B418" s="20"/>
      <c r="C418" s="236">
        <v>-44360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-44360</v>
      </c>
      <c r="E420" s="32"/>
    </row>
    <row r="421">
      <c r="A421" s="32" t="s">
        <v>539</v>
      </c>
      <c r="B421" s="20"/>
      <c r="C421" s="27"/>
      <c r="D421" s="32">
        <f>D417+D420</f>
        <v>-928153.1999999918</v>
      </c>
      <c r="E421" s="32"/>
      <c r="F421" s="63"/>
    </row>
    <row r="422">
      <c r="A422" s="32" t="s">
        <v>540</v>
      </c>
      <c r="B422" s="46" t="s">
        <v>299</v>
      </c>
      <c r="C422" s="47">
        <v>0</v>
      </c>
      <c r="D422" s="32"/>
      <c r="E422" s="20"/>
    </row>
    <row r="423">
      <c r="A423" s="20" t="s">
        <v>541</v>
      </c>
      <c r="B423" s="46" t="s">
        <v>299</v>
      </c>
      <c r="C423" s="47">
        <v>0</v>
      </c>
      <c r="D423" s="32"/>
      <c r="E423" s="20"/>
    </row>
    <row r="424">
      <c r="A424" s="20" t="s">
        <v>542</v>
      </c>
      <c r="B424" s="20"/>
      <c r="C424" s="27"/>
      <c r="D424" s="32">
        <f>D421+C422-C423</f>
        <v>-928153.1999999918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29706</v>
      </c>
      <c r="E612" s="258">
        <f>SUM(C624:D647)+SUM(C668:D713)</f>
        <v>18852473.84349424</v>
      </c>
      <c r="F612" s="258">
        <f>CE64-(AX64+BD64+BE64+BG64+BJ64+BN64+BP64+BQ64+CB64+CC64+CD64)</f>
        <v>3563191.45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68.227659724622228</v>
      </c>
      <c r="I612" s="256">
        <f>CE92-(AX92+AY92+AZ92+BD92+BE92+BF92+BG92+BJ92+BN92+BO92+BP92+BQ92+BR92+CB92+CC92+CD92)</f>
        <v>7937.86119321428</v>
      </c>
      <c r="J612" s="256">
        <f>CE93-(AX93+AY93+AZ93+BA93+BD93+BE93+BF93+BG93+BJ93+BN93+BO93+BP93+BQ93+BR93+CB93+CC93+CD93)</f>
        <v>34350</v>
      </c>
      <c r="K612" s="256">
        <f>CE89-(AW89+AX89+AY89+AZ89+BA89+BB89+BC89+BD89+BE89+BF89+BG89+BH89+BI89+BJ89+BK89+BL89+BM89+BN89+BO89+BP89+BQ89+BR89+BS89+BT89+BU89+BV89+BW89+BX89+CB89+CC89+CD89)</f>
        <v>42272060.239999995</v>
      </c>
      <c r="L612" s="262">
        <f>CE94-(AW94+AX94+AY94+AZ94+BA94+BB94+BC94+BD94+BE94+BF94+BG94+BH94+BI94+BJ94+BK94+BL94+BM94+BN94+BO94+BP94+BQ94+BR94+BS94+BT94+BU94+BV94+BW94+BX94+BY94+BZ94+CA94+CB94+CC94+CD94)</f>
        <v>24.127940428914854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1236179.4799999998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-686919.39999999991</v>
      </c>
      <c r="D615" s="256">
        <f>SUM(C614:C615)</f>
        <v>549260.07999999984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8024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5067714.2</v>
      </c>
      <c r="D619" s="256">
        <f>(D615/D612)*BN90</f>
        <v>168405.73650575636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-8104.8899999999994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5236039.0465057567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0</v>
      </c>
      <c r="D624" s="256">
        <f>(D615/D612)*BD90</f>
        <v>0</v>
      </c>
      <c r="E624" s="258">
        <f>(E623/E612)*SUM(C624:D624)</f>
        <v>0</v>
      </c>
      <c r="F624" s="258">
        <f>SUM(C624:E624)</f>
        <v>0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0</v>
      </c>
      <c r="D625" s="256">
        <f>(D615/D612)*AY90</f>
        <v>0</v>
      </c>
      <c r="E625" s="258">
        <f>(E623/E612)*SUM(C625:D625)</f>
        <v>0</v>
      </c>
      <c r="F625" s="258">
        <f>(F624/F612)*AY64</f>
        <v>0</v>
      </c>
      <c r="G625" s="256">
        <f>SUM(C625:F625)</f>
        <v>0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13180.83</v>
      </c>
      <c r="D626" s="256">
        <f>(D615/D612)*BR90</f>
        <v>0</v>
      </c>
      <c r="E626" s="258">
        <f>(E623/E612)*SUM(C626:D626)</f>
        <v>3660.8108367258565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384591.35000000003</v>
      </c>
      <c r="D629" s="256">
        <f>(D615/D612)*BF90</f>
        <v>6323.5355604928272</v>
      </c>
      <c r="E629" s="258">
        <f>(E623/E612)*SUM(C629:D629)</f>
        <v>108571.72494427895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13197.15</v>
      </c>
      <c r="D634" s="256">
        <f>(D615/D612)*BI90</f>
        <v>0</v>
      </c>
      <c r="E634" s="258">
        <f>(E623/E612)*SUM(C634:D634)</f>
        <v>3665.3435128058427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0</v>
      </c>
      <c r="D637" s="256">
        <f>(D615/D612)*BL90</f>
        <v>0</v>
      </c>
      <c r="E637" s="258">
        <f>(E623/E612)*SUM(C637:D637)</f>
        <v>0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14401.15</v>
      </c>
      <c r="D640" s="256">
        <f>(D615/D612)*BT90</f>
        <v>0</v>
      </c>
      <c r="E640" s="258">
        <f>(E623/E612)*SUM(C640:D640)</f>
        <v>3999.7394687067936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32224.99</v>
      </c>
      <c r="D643" s="256">
        <f>(D615/D612)*BW90</f>
        <v>0</v>
      </c>
      <c r="E643" s="258">
        <f>(E623/E612)*SUM(C643:D643)</f>
        <v>8950.0883180636083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99107.66</v>
      </c>
      <c r="D644" s="256">
        <f>(D615/D612)*BX90</f>
        <v>0</v>
      </c>
      <c r="E644" s="258">
        <f>(E623/E612)*SUM(C644:D644)</f>
        <v>27525.914204988738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0</v>
      </c>
      <c r="D645" s="256">
        <f>(D615/D612)*BY90</f>
        <v>0</v>
      </c>
      <c r="E645" s="258">
        <f>(E623/E612)*SUM(C645:D645)</f>
        <v>0</v>
      </c>
      <c r="F645" s="258">
        <f>(F624/F612)*BY64</f>
        <v>0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6173596.5200000014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ref="M668:M713" t="shared" si="18">ROUND(SUM(D668:L668),0)</f>
        <v>#DIV/0!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1019651.97</v>
      </c>
      <c r="D670" s="256">
        <f>(D615/D612)*E90</f>
        <v>92375.390819363063</v>
      </c>
      <c r="E670" s="258">
        <f>(E623/E612)*SUM(C670:D670)</f>
        <v>308851.70457574964</v>
      </c>
      <c r="F670" s="258">
        <f>(F624/F612)*E64</f>
        <v>0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938205.69</v>
      </c>
      <c r="D681" s="256">
        <f>(D615/D612)*P90</f>
        <v>76233.73425705242</v>
      </c>
      <c r="E681" s="258">
        <f>(E623/E612)*SUM(C681:D681)</f>
        <v>281747.87456648448</v>
      </c>
      <c r="F681" s="258">
        <f>(F624/F612)*P64</f>
        <v>0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0</v>
      </c>
      <c r="D684" s="256">
        <f>(D615/D612)*S90</f>
        <v>0</v>
      </c>
      <c r="E684" s="258">
        <f>(E623/E612)*SUM(C684:D684)</f>
        <v>0</v>
      </c>
      <c r="F684" s="258">
        <f>(F624/F612)*S64</f>
        <v>0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371804.69999999995</v>
      </c>
      <c r="D685" s="256">
        <f>(D615/D612)*T90</f>
        <v>6194.1064700733841</v>
      </c>
      <c r="E685" s="258">
        <f>(E623/E612)*SUM(C685:D685)</f>
        <v>104984.44536460028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1371398.52</v>
      </c>
      <c r="D686" s="256">
        <f>(D615/D612)*U90</f>
        <v>10335.837363495586</v>
      </c>
      <c r="E686" s="258">
        <f>(E623/E612)*SUM(C686:D686)</f>
        <v>383759.45285029255</v>
      </c>
      <c r="F686" s="258">
        <f>(F624/F612)*U64</f>
        <v>0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206074.12000000002</v>
      </c>
      <c r="D688" s="256">
        <f>(D615/D612)*W90</f>
        <v>0</v>
      </c>
      <c r="E688" s="258">
        <f>(E623/E612)*SUM(C688:D688)</f>
        <v>57234.511913494418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960433.37999999989</v>
      </c>
      <c r="D690" s="256">
        <f>(D615/D612)*Y90</f>
        <v>31340.329751565328</v>
      </c>
      <c r="E690" s="258">
        <f>(E623/E612)*SUM(C690:D690)</f>
        <v>275452.75557292934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3583455.87</v>
      </c>
      <c r="D693" s="256">
        <f>(D615/D612)*AB90</f>
        <v>9189.4654197805121</v>
      </c>
      <c r="E693" s="258">
        <f>(E623/E612)*SUM(C693:D693)</f>
        <v>997812.35145414458</v>
      </c>
      <c r="F693" s="258">
        <f>(F624/F612)*AB64</f>
        <v>0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283053.22999999992</v>
      </c>
      <c r="D696" s="256">
        <f>(D615/D612)*AE90</f>
        <v>0</v>
      </c>
      <c r="E696" s="258">
        <f>(E623/E612)*SUM(C696:D696)</f>
        <v>78614.4978544034</v>
      </c>
      <c r="F696" s="258">
        <f>(F624/F612)*AE64</f>
        <v>0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5623801.72</v>
      </c>
      <c r="D698" s="256">
        <f>(D615/D612)*AG90</f>
        <v>75087.362313337348</v>
      </c>
      <c r="E698" s="258">
        <f>(E623/E612)*SUM(C698:D698)</f>
        <v>1582795.2344299513</v>
      </c>
      <c r="F698" s="258">
        <f>(F624/F612)*AG64</f>
        <v>0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3503750.2</v>
      </c>
      <c r="D701" s="256">
        <f>(D615/D612)*AJ90</f>
        <v>73774.581539082981</v>
      </c>
      <c r="E701" s="258">
        <f>(E623/E612)*SUM(C701:D701)</f>
        <v>993612.80654659658</v>
      </c>
      <c r="F701" s="258">
        <f>(F624/F612)*AJ64</f>
        <v>0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53383.969999999994</v>
      </c>
      <c r="D707" s="256">
        <f>(D615/D612)*AP90</f>
        <v>0</v>
      </c>
      <c r="E707" s="258">
        <f>(E623/E612)*SUM(C707:D707)</f>
        <v>14826.730629516351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-97</v>
      </c>
      <c r="D713" s="256">
        <f>(D615/D612)*AV90</f>
        <v>0</v>
      </c>
      <c r="E713" s="258">
        <f>(E623/E612)*SUM(C713:D713)</f>
        <v>-26.940537975408837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24088512.89</v>
      </c>
      <c r="D715" s="231">
        <f>SUM(D616:D647)+SUM(D668:D713)</f>
        <v>549260.07999999984</v>
      </c>
      <c r="E715" s="231">
        <f>SUM(E624:E647)+SUM(E668:E713)</f>
        <v>5236039.0465057576</v>
      </c>
      <c r="F715" s="231">
        <f>SUM(F625:F648)+SUM(F668:F713)</f>
        <v>0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697</v>
      </c>
    </row>
    <row r="716" ht="12.6" customHeight="1" s="231" customFormat="1">
      <c r="C716" s="253">
        <f>CE85</f>
        <v>24088512.889999993</v>
      </c>
      <c r="D716" s="231">
        <f>D615</f>
        <v>549260.07999999984</v>
      </c>
      <c r="E716" s="231">
        <f>E623</f>
        <v>5236039.0465057567</v>
      </c>
      <c r="F716" s="231">
        <f>F624</f>
        <v>0</v>
      </c>
      <c r="G716" s="231">
        <f>G625</f>
        <v>0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6173596.5200000014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PeaceHealth Peace Island Medical Center</v>
      </c>
      <c r="B3" s="184"/>
      <c r="C3" s="156" t="str">
        <f>"FYE: "&amp;data!C96</f>
        <v>FYE: 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0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5596488.5900000008</v>
      </c>
    </row>
    <row r="9" ht="20.1" customHeight="1">
      <c r="A9" s="188">
        <v>5</v>
      </c>
      <c r="B9" s="190" t="s">
        <v>907</v>
      </c>
      <c r="C9" s="190">
        <f>data!C269</f>
        <v>1990595</v>
      </c>
    </row>
    <row r="10" ht="20.1" customHeight="1">
      <c r="A10" s="188">
        <v>6</v>
      </c>
      <c r="B10" s="190" t="s">
        <v>908</v>
      </c>
      <c r="C10" s="190">
        <f>data!C270</f>
        <v>127740.09999999873</v>
      </c>
    </row>
    <row r="11" ht="20.1" customHeight="1">
      <c r="A11" s="188">
        <v>7</v>
      </c>
      <c r="B11" s="190" t="s">
        <v>909</v>
      </c>
      <c r="C11" s="190">
        <f>data!C271</f>
        <v>0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0</v>
      </c>
    </row>
    <row r="14" ht="20.1" customHeight="1">
      <c r="A14" s="188">
        <v>10</v>
      </c>
      <c r="B14" s="190" t="s">
        <v>433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3733633.6899999995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394</v>
      </c>
      <c r="C25" s="190">
        <f>data!C283</f>
        <v>0</v>
      </c>
    </row>
    <row r="26" ht="20.1" customHeight="1">
      <c r="A26" s="188">
        <v>22</v>
      </c>
      <c r="B26" s="190" t="s">
        <v>395</v>
      </c>
      <c r="C26" s="190">
        <f>data!C284</f>
        <v>1615035.4200000002</v>
      </c>
    </row>
    <row r="27" ht="20.1" customHeight="1">
      <c r="A27" s="188">
        <v>23</v>
      </c>
      <c r="B27" s="190" t="s">
        <v>396</v>
      </c>
      <c r="C27" s="190">
        <f>data!C285</f>
        <v>11864175.309999997</v>
      </c>
    </row>
    <row r="28" ht="20.1" customHeight="1">
      <c r="A28" s="188">
        <v>24</v>
      </c>
      <c r="B28" s="190" t="s">
        <v>915</v>
      </c>
      <c r="C28" s="190">
        <f>data!C286</f>
        <v>0</v>
      </c>
    </row>
    <row r="29" ht="20.1" customHeight="1">
      <c r="A29" s="188">
        <v>25</v>
      </c>
      <c r="B29" s="190" t="s">
        <v>398</v>
      </c>
      <c r="C29" s="190">
        <f>data!C287</f>
        <v>11136961.030000007</v>
      </c>
    </row>
    <row r="30" ht="20.1" customHeight="1">
      <c r="A30" s="188">
        <v>26</v>
      </c>
      <c r="B30" s="190" t="s">
        <v>442</v>
      </c>
      <c r="C30" s="190">
        <f>data!C288</f>
        <v>6579917.5900000026</v>
      </c>
    </row>
    <row r="31" ht="20.1" customHeight="1">
      <c r="A31" s="188">
        <v>27</v>
      </c>
      <c r="B31" s="190" t="s">
        <v>401</v>
      </c>
      <c r="C31" s="190">
        <f>data!C289</f>
        <v>0</v>
      </c>
    </row>
    <row r="32" ht="20.1" customHeight="1">
      <c r="A32" s="188">
        <v>28</v>
      </c>
      <c r="B32" s="190" t="s">
        <v>402</v>
      </c>
      <c r="C32" s="190">
        <f>data!C290</f>
        <v>0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13046212.799999999</v>
      </c>
    </row>
    <row r="35" ht="20.1" customHeight="1">
      <c r="A35" s="188">
        <v>31</v>
      </c>
      <c r="B35" s="190" t="s">
        <v>917</v>
      </c>
      <c r="C35" s="190">
        <f>data!D293</f>
        <v>18149876.550000012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0</v>
      </c>
    </row>
    <row r="41" ht="20.1" customHeight="1">
      <c r="A41" s="188">
        <v>37</v>
      </c>
      <c r="B41" s="190" t="s">
        <v>437</v>
      </c>
      <c r="C41" s="190">
        <f>data!C298</f>
        <v>0</v>
      </c>
    </row>
    <row r="42" ht="20.1" customHeight="1">
      <c r="A42" s="188">
        <v>38</v>
      </c>
      <c r="B42" s="190" t="s">
        <v>921</v>
      </c>
      <c r="C42" s="190">
        <f>data!D299</f>
        <v>0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452</v>
      </c>
      <c r="C45" s="190">
        <f>data!C302</f>
        <v>0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21883510.24000001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PeaceHealth Peace Island Medical Center</v>
      </c>
      <c r="B55" s="184"/>
      <c r="C55" s="156" t="str">
        <f>"FYE: "&amp;data!C96</f>
        <v>FYE: 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0</v>
      </c>
    </row>
    <row r="60" ht="20.1" customHeight="1">
      <c r="A60" s="188">
        <v>4</v>
      </c>
      <c r="B60" s="190" t="s">
        <v>930</v>
      </c>
      <c r="C60" s="190">
        <f>data!C316</f>
        <v>0</v>
      </c>
    </row>
    <row r="61" ht="20.1" customHeight="1">
      <c r="A61" s="188">
        <v>5</v>
      </c>
      <c r="B61" s="190" t="s">
        <v>463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777357.39999999967</v>
      </c>
    </row>
    <row r="63" ht="20.1" customHeight="1">
      <c r="A63" s="188">
        <v>7</v>
      </c>
      <c r="B63" s="190" t="s">
        <v>932</v>
      </c>
      <c r="C63" s="190">
        <f>data!C319</f>
        <v>0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777357.39999999967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0</v>
      </c>
    </row>
    <row r="74" ht="20.1" customHeight="1">
      <c r="A74" s="188">
        <v>18</v>
      </c>
      <c r="B74" s="190" t="s">
        <v>937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0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0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21106152.840000011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21106152.840000011</v>
      </c>
    </row>
    <row r="103" ht="20.1" customHeight="1">
      <c r="A103" s="188">
        <v>47</v>
      </c>
      <c r="B103" s="190" t="s">
        <v>950</v>
      </c>
      <c r="C103" s="190">
        <f>data!D352</f>
        <v>21883510.24000001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PeaceHealth Peace Island Medical Center</v>
      </c>
      <c r="B108" s="184"/>
      <c r="C108" s="156" t="str">
        <f>"FYE: "&amp;data!C96</f>
        <v>FYE: 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903133.86</v>
      </c>
    </row>
    <row r="112" ht="20.1" customHeight="1">
      <c r="A112" s="188">
        <v>3</v>
      </c>
      <c r="B112" s="190" t="s">
        <v>498</v>
      </c>
      <c r="C112" s="190">
        <f>data!C359</f>
        <v>41368926.38</v>
      </c>
    </row>
    <row r="113" ht="20.1" customHeight="1">
      <c r="A113" s="188">
        <v>4</v>
      </c>
      <c r="B113" s="190" t="s">
        <v>954</v>
      </c>
      <c r="C113" s="190">
        <f>data!D360</f>
        <v>42272060.24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1190702.88</v>
      </c>
    </row>
    <row r="117" ht="20.1" customHeight="1">
      <c r="A117" s="188">
        <v>8</v>
      </c>
      <c r="B117" s="190" t="s">
        <v>501</v>
      </c>
      <c r="C117" s="203">
        <f>data!C363</f>
        <v>17233142.349999998</v>
      </c>
    </row>
    <row r="118" ht="20.1" customHeight="1">
      <c r="A118" s="188">
        <v>9</v>
      </c>
      <c r="B118" s="190" t="s">
        <v>957</v>
      </c>
      <c r="C118" s="203">
        <f>data!C364</f>
        <v>650827.15</v>
      </c>
    </row>
    <row r="119" ht="20.1" customHeight="1">
      <c r="A119" s="188">
        <v>10</v>
      </c>
      <c r="B119" s="190" t="s">
        <v>958</v>
      </c>
      <c r="C119" s="203">
        <f>data!C365</f>
        <v>-7332.97</v>
      </c>
    </row>
    <row r="120" ht="20.1" customHeight="1">
      <c r="A120" s="188">
        <v>11</v>
      </c>
      <c r="B120" s="190" t="s">
        <v>902</v>
      </c>
      <c r="C120" s="203">
        <f>data!D366</f>
        <v>19067339.409999996</v>
      </c>
    </row>
    <row r="121" ht="20.1" customHeight="1">
      <c r="A121" s="188">
        <v>12</v>
      </c>
      <c r="B121" s="190" t="s">
        <v>959</v>
      </c>
      <c r="C121" s="203">
        <f>data!D367</f>
        <v>23204720.830000006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960</v>
      </c>
      <c r="B125" s="206" t="s">
        <v>507</v>
      </c>
      <c r="C125" s="205">
        <f>data!C370</f>
        <v>0</v>
      </c>
    </row>
    <row r="126" ht="20.1" customHeight="1">
      <c r="A126" s="209" t="s">
        <v>961</v>
      </c>
      <c r="B126" s="206" t="s">
        <v>508</v>
      </c>
      <c r="C126" s="205">
        <f>data!C371</f>
        <v>0</v>
      </c>
    </row>
    <row r="127" ht="20.1" customHeight="1">
      <c r="A127" s="209" t="s">
        <v>962</v>
      </c>
      <c r="B127" s="206" t="s">
        <v>509</v>
      </c>
      <c r="C127" s="205">
        <f>data!C372</f>
        <v>0</v>
      </c>
    </row>
    <row r="128" ht="20.1" customHeight="1">
      <c r="A128" s="209" t="s">
        <v>963</v>
      </c>
      <c r="B128" s="206" t="s">
        <v>510</v>
      </c>
      <c r="C128" s="205">
        <f>data!C373</f>
        <v>0</v>
      </c>
    </row>
    <row r="129" ht="20.1" customHeight="1">
      <c r="A129" s="209" t="s">
        <v>964</v>
      </c>
      <c r="B129" s="206" t="s">
        <v>511</v>
      </c>
      <c r="C129" s="205">
        <f>data!C374</f>
        <v>0</v>
      </c>
    </row>
    <row r="130" ht="20.1" customHeight="1">
      <c r="A130" s="209" t="s">
        <v>965</v>
      </c>
      <c r="B130" s="206" t="s">
        <v>512</v>
      </c>
      <c r="C130" s="205">
        <f>data!C375</f>
        <v>0</v>
      </c>
    </row>
    <row r="131" ht="20.1" customHeight="1">
      <c r="A131" s="209" t="s">
        <v>966</v>
      </c>
      <c r="B131" s="206" t="s">
        <v>513</v>
      </c>
      <c r="C131" s="205">
        <f>data!C376</f>
        <v>0</v>
      </c>
    </row>
    <row r="132" ht="20.1" customHeight="1">
      <c r="A132" s="209" t="s">
        <v>967</v>
      </c>
      <c r="B132" s="206" t="s">
        <v>514</v>
      </c>
      <c r="C132" s="205">
        <f>data!C377</f>
        <v>0</v>
      </c>
    </row>
    <row r="133" ht="20.1" customHeight="1">
      <c r="A133" s="209" t="s">
        <v>968</v>
      </c>
      <c r="B133" s="206" t="s">
        <v>515</v>
      </c>
      <c r="C133" s="205">
        <f>data!C378</f>
        <v>0</v>
      </c>
    </row>
    <row r="134" ht="20.1" customHeight="1">
      <c r="A134" s="209" t="s">
        <v>969</v>
      </c>
      <c r="B134" s="206" t="s">
        <v>516</v>
      </c>
      <c r="C134" s="205">
        <f>data!C379</f>
        <v>0</v>
      </c>
    </row>
    <row r="135" ht="20.1" customHeight="1">
      <c r="A135" s="209" t="s">
        <v>970</v>
      </c>
      <c r="B135" s="206" t="s">
        <v>517</v>
      </c>
      <c r="C135" s="205">
        <f>data!C380</f>
        <v>1198619.3599999999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1198619.3599999999</v>
      </c>
    </row>
    <row r="138" ht="20.1" customHeight="1">
      <c r="A138" s="188">
        <v>18</v>
      </c>
      <c r="B138" s="190" t="s">
        <v>972</v>
      </c>
      <c r="C138" s="203">
        <f>data!D384</f>
        <v>24403340.190000005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11545566.329999998</v>
      </c>
    </row>
    <row r="142" ht="20.1" customHeight="1">
      <c r="A142" s="188">
        <v>22</v>
      </c>
      <c r="B142" s="190" t="s">
        <v>11</v>
      </c>
      <c r="C142" s="203">
        <f>data!C390</f>
        <v>2366053.8400000003</v>
      </c>
    </row>
    <row r="143" ht="20.1" customHeight="1">
      <c r="A143" s="188">
        <v>23</v>
      </c>
      <c r="B143" s="190" t="s">
        <v>264</v>
      </c>
      <c r="C143" s="203">
        <f>data!C391</f>
        <v>259776.24</v>
      </c>
    </row>
    <row r="144" ht="20.1" customHeight="1">
      <c r="A144" s="188">
        <v>24</v>
      </c>
      <c r="B144" s="190" t="s">
        <v>265</v>
      </c>
      <c r="C144" s="203">
        <f>data!C392</f>
        <v>3698538.87</v>
      </c>
    </row>
    <row r="145" ht="20.1" customHeight="1">
      <c r="A145" s="188">
        <v>25</v>
      </c>
      <c r="B145" s="190" t="s">
        <v>974</v>
      </c>
      <c r="C145" s="203">
        <f>data!C393</f>
        <v>256883.27</v>
      </c>
    </row>
    <row r="146" ht="20.1" customHeight="1">
      <c r="A146" s="188">
        <v>26</v>
      </c>
      <c r="B146" s="190" t="s">
        <v>975</v>
      </c>
      <c r="C146" s="203">
        <f>data!C394</f>
        <v>4238747.83</v>
      </c>
    </row>
    <row r="147" ht="20.1" customHeight="1">
      <c r="A147" s="188">
        <v>27</v>
      </c>
      <c r="B147" s="190" t="s">
        <v>16</v>
      </c>
      <c r="C147" s="203">
        <f>data!C395</f>
        <v>1980508.3</v>
      </c>
    </row>
    <row r="148" ht="20.1" customHeight="1">
      <c r="A148" s="188">
        <v>28</v>
      </c>
      <c r="B148" s="190" t="s">
        <v>976</v>
      </c>
      <c r="C148" s="203">
        <f>data!C396</f>
        <v>138902.83999999997</v>
      </c>
    </row>
    <row r="149" ht="20.1" customHeight="1">
      <c r="A149" s="188">
        <v>29</v>
      </c>
      <c r="B149" s="190" t="s">
        <v>528</v>
      </c>
      <c r="C149" s="203">
        <f>data!C397</f>
        <v>209382.2</v>
      </c>
    </row>
    <row r="150" ht="20.1" customHeight="1">
      <c r="A150" s="188">
        <v>30</v>
      </c>
      <c r="B150" s="190" t="s">
        <v>977</v>
      </c>
      <c r="C150" s="203">
        <f>data!C398</f>
        <v>178653.21</v>
      </c>
    </row>
    <row r="151" ht="20.1" customHeight="1">
      <c r="A151" s="188">
        <v>31</v>
      </c>
      <c r="B151" s="190" t="s">
        <v>530</v>
      </c>
      <c r="C151" s="203">
        <f>data!C399</f>
        <v>8357.85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405762.61</v>
      </c>
    </row>
    <row r="167" ht="20.1" customHeight="1">
      <c r="A167" s="188">
        <v>34</v>
      </c>
      <c r="B167" s="190" t="s">
        <v>994</v>
      </c>
      <c r="C167" s="203">
        <f>data!D416</f>
        <v>25287133.389999997</v>
      </c>
    </row>
    <row r="168" ht="20.1" customHeight="1">
      <c r="A168" s="188">
        <v>35</v>
      </c>
      <c r="B168" s="190" t="s">
        <v>995</v>
      </c>
      <c r="C168" s="203">
        <f>data!D417</f>
        <v>-883793.1999999918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-44360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-928153.1999999918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-928153.1999999918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PeaceHealth Peace Island Medical Center</v>
      </c>
      <c r="G4" s="286"/>
      <c r="H4" s="285" t="str">
        <f>"FYE: "&amp;data!C96</f>
        <v>FYE: 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0</v>
      </c>
      <c r="D9" s="287">
        <f>data!D59</f>
        <v>0</v>
      </c>
      <c r="E9" s="287">
        <f>data!E59</f>
        <v>205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0</v>
      </c>
      <c r="D10" s="294">
        <f>data!D60</f>
        <v>0</v>
      </c>
      <c r="E10" s="294">
        <f>data!E60</f>
        <v>3.4016162965315915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0</v>
      </c>
      <c r="D11" s="287">
        <f>data!D61</f>
        <v>0</v>
      </c>
      <c r="E11" s="287">
        <f>data!E61</f>
        <v>720180.38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0</v>
      </c>
      <c r="D12" s="287">
        <f>data!D62</f>
        <v>0</v>
      </c>
      <c r="E12" s="287">
        <f>data!E62</f>
        <v>69954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0</v>
      </c>
      <c r="D14" s="287">
        <f>data!D64</f>
        <v>0</v>
      </c>
      <c r="E14" s="287">
        <f>data!E64</f>
        <v>46204.05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0</v>
      </c>
      <c r="D16" s="287">
        <f>data!D66</f>
        <v>0</v>
      </c>
      <c r="E16" s="287">
        <f>data!E66</f>
        <v>460.44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0</v>
      </c>
      <c r="D17" s="287">
        <f>data!D67</f>
        <v>0</v>
      </c>
      <c r="E17" s="287">
        <f>data!E67</f>
        <v>182326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0</v>
      </c>
      <c r="D19" s="287">
        <f>data!D69</f>
        <v>0</v>
      </c>
      <c r="E19" s="287">
        <f>data!E69</f>
        <v>527.1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0</v>
      </c>
      <c r="D21" s="287">
        <f>data!D85</f>
        <v>0</v>
      </c>
      <c r="E21" s="287">
        <f>data!E85</f>
        <v>1019651.97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ht="20.1" customHeight="1">
      <c r="A24" s="279">
        <v>19</v>
      </c>
      <c r="B24" s="295" t="s">
        <v>1013</v>
      </c>
      <c r="C24" s="287">
        <f>data!C87</f>
        <v>0</v>
      </c>
      <c r="D24" s="287">
        <f>data!D87</f>
        <v>0</v>
      </c>
      <c r="E24" s="287">
        <f>data!E87</f>
        <v>608260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0</v>
      </c>
      <c r="D25" s="287">
        <f>data!D88</f>
        <v>0</v>
      </c>
      <c r="E25" s="287">
        <f>data!E88</f>
        <v>364650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0</v>
      </c>
      <c r="D26" s="287">
        <f>data!D89</f>
        <v>0</v>
      </c>
      <c r="E26" s="287">
        <f>data!E89</f>
        <v>972910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0</v>
      </c>
      <c r="D28" s="287">
        <f>data!D90</f>
        <v>0</v>
      </c>
      <c r="E28" s="287">
        <f>data!E90</f>
        <v>4996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0</v>
      </c>
      <c r="D30" s="287">
        <f>data!D92</f>
        <v>0</v>
      </c>
      <c r="E30" s="287">
        <f>data!E92</f>
        <v>2020.2168608585689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0</v>
      </c>
      <c r="D31" s="287">
        <f>data!D93</f>
        <v>0</v>
      </c>
      <c r="E31" s="287">
        <f>data!E93</f>
        <v>4053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0</v>
      </c>
      <c r="D32" s="294">
        <f>data!D94</f>
        <v>0</v>
      </c>
      <c r="E32" s="294">
        <f>data!E94</f>
        <v>2.1991423801510961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PeaceHealth Peace Island Medical Center</v>
      </c>
      <c r="G36" s="286"/>
      <c r="H36" s="285" t="str">
        <f>"FYE: "&amp;data!C96</f>
        <v>FYE: 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15381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3.6159064864354415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427382.68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79706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56166.96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172142.8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767.92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159475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42564.33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938205.69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1744394.44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1744394.44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4123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1667.2045871336827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3517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3.0813889302884618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PeaceHealth Peace Island Medical Center</v>
      </c>
      <c r="G68" s="286"/>
      <c r="H68" s="285" t="str">
        <f>"FYE: "&amp;data!C96</f>
        <v>FYE: 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52409</v>
      </c>
      <c r="H73" s="287">
        <f>data!V59</f>
        <v>0</v>
      </c>
      <c r="I73" s="287">
        <f>data!W59</f>
        <v>273</v>
      </c>
    </row>
    <row r="74" ht="20.1" customHeight="1">
      <c r="A74" s="279">
        <v>5</v>
      </c>
      <c r="B74" s="287" t="s">
        <v>262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1.9808134023008266</v>
      </c>
      <c r="G74" s="294">
        <f>data!U60</f>
        <v>6.3229473729395673</v>
      </c>
      <c r="H74" s="294">
        <f>data!V60</f>
        <v>0</v>
      </c>
      <c r="I74" s="294">
        <f>data!W60</f>
        <v>0</v>
      </c>
    </row>
    <row r="75" ht="20.1" customHeight="1">
      <c r="A75" s="279">
        <v>6</v>
      </c>
      <c r="B75" s="287" t="s">
        <v>263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256437.18</v>
      </c>
      <c r="G75" s="287">
        <f>data!U61</f>
        <v>598733.93</v>
      </c>
      <c r="H75" s="287">
        <f>data!V61</f>
        <v>0</v>
      </c>
      <c r="I75" s="287">
        <f>data!W61</f>
        <v>0</v>
      </c>
    </row>
    <row r="76" ht="20.1" customHeight="1">
      <c r="A76" s="279">
        <v>7</v>
      </c>
      <c r="B76" s="287" t="s">
        <v>11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67742</v>
      </c>
      <c r="G76" s="287">
        <f>data!U62</f>
        <v>129638</v>
      </c>
      <c r="H76" s="287">
        <f>data!V62</f>
        <v>0</v>
      </c>
      <c r="I76" s="287">
        <f>data!W62</f>
        <v>0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23223.41</v>
      </c>
      <c r="G78" s="287">
        <f>data!U64</f>
        <v>117804.46</v>
      </c>
      <c r="H78" s="287">
        <f>data!V64</f>
        <v>0</v>
      </c>
      <c r="I78" s="287">
        <f>data!W64</f>
        <v>1321.52</v>
      </c>
    </row>
    <row r="79" ht="20.1" customHeight="1">
      <c r="A79" s="279">
        <v>10</v>
      </c>
      <c r="B79" s="287" t="s">
        <v>525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82.3</v>
      </c>
      <c r="G80" s="287">
        <f>data!U66</f>
        <v>482748.68</v>
      </c>
      <c r="H80" s="287">
        <f>data!V66</f>
        <v>0</v>
      </c>
      <c r="I80" s="287">
        <f>data!W66</f>
        <v>90897.62</v>
      </c>
    </row>
    <row r="81" ht="20.1" customHeight="1">
      <c r="A81" s="279">
        <v>12</v>
      </c>
      <c r="B81" s="287" t="s">
        <v>16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12574</v>
      </c>
      <c r="G81" s="287">
        <f>data!U67</f>
        <v>19868</v>
      </c>
      <c r="H81" s="287">
        <f>data!V67</f>
        <v>0</v>
      </c>
      <c r="I81" s="287">
        <f>data!W67</f>
        <v>113749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11745.81</v>
      </c>
      <c r="G83" s="287">
        <f>data!U69</f>
        <v>22605.45</v>
      </c>
      <c r="H83" s="287">
        <f>data!V69</f>
        <v>0</v>
      </c>
      <c r="I83" s="287">
        <f>data!W69</f>
        <v>105.98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371804.69999999995</v>
      </c>
      <c r="G85" s="287">
        <f>data!U85</f>
        <v>1371398.52</v>
      </c>
      <c r="H85" s="287">
        <f>data!V85</f>
        <v>0</v>
      </c>
      <c r="I85" s="287">
        <f>data!W85</f>
        <v>206074.12000000002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ht="20.1" customHeight="1">
      <c r="A88" s="279">
        <v>19</v>
      </c>
      <c r="B88" s="295" t="s">
        <v>1013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80002</v>
      </c>
      <c r="H88" s="287">
        <f>data!V87</f>
        <v>0</v>
      </c>
      <c r="I88" s="287">
        <f>data!W87</f>
        <v>5234.75</v>
      </c>
    </row>
    <row r="89" ht="20.1" customHeight="1">
      <c r="A89" s="279">
        <v>20</v>
      </c>
      <c r="B89" s="295" t="s">
        <v>1014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748155.51</v>
      </c>
      <c r="G89" s="287">
        <f>data!U88</f>
        <v>5147626.22</v>
      </c>
      <c r="H89" s="287">
        <f>data!V88</f>
        <v>0</v>
      </c>
      <c r="I89" s="287">
        <f>data!W88</f>
        <v>1012034.35</v>
      </c>
    </row>
    <row r="90" ht="20.1" customHeight="1">
      <c r="A90" s="279">
        <v>21</v>
      </c>
      <c r="B90" s="295" t="s">
        <v>1015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748155.51</v>
      </c>
      <c r="G90" s="287">
        <f>data!U89</f>
        <v>5227628.22</v>
      </c>
      <c r="H90" s="287">
        <f>data!V89</f>
        <v>0</v>
      </c>
      <c r="I90" s="287">
        <f>data!W89</f>
        <v>1017269.1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335</v>
      </c>
      <c r="G92" s="287">
        <f>data!U90</f>
        <v>559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135.46289999752213</v>
      </c>
      <c r="G94" s="287">
        <f>data!U92</f>
        <v>226.04107790631306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1020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1.1533403638392838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PeaceHealth Peace Island Medical Center</v>
      </c>
      <c r="G100" s="286"/>
      <c r="H100" s="285" t="str">
        <f>"FYE: "&amp;data!C96</f>
        <v>FYE: 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0</v>
      </c>
      <c r="D105" s="287">
        <f>data!Y59</f>
        <v>11347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0</v>
      </c>
      <c r="D106" s="294">
        <f>data!Y60</f>
        <v>5.4263594802541073</v>
      </c>
      <c r="E106" s="294">
        <f>data!Z60</f>
        <v>0</v>
      </c>
      <c r="F106" s="294">
        <f>data!AA60</f>
        <v>0</v>
      </c>
      <c r="G106" s="294">
        <f>data!AB60</f>
        <v>2.6238767652815933</v>
      </c>
      <c r="H106" s="294">
        <f>data!AC60</f>
        <v>0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0</v>
      </c>
      <c r="D107" s="287">
        <f>data!Y61</f>
        <v>579105.63</v>
      </c>
      <c r="E107" s="287">
        <f>data!Z61</f>
        <v>0</v>
      </c>
      <c r="F107" s="287">
        <f>data!AA61</f>
        <v>0</v>
      </c>
      <c r="G107" s="287">
        <f>data!AB61</f>
        <v>470435.22</v>
      </c>
      <c r="H107" s="287">
        <f>data!AC61</f>
        <v>0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0</v>
      </c>
      <c r="D108" s="287">
        <f>data!Y62</f>
        <v>164769</v>
      </c>
      <c r="E108" s="287">
        <f>data!Z62</f>
        <v>0</v>
      </c>
      <c r="F108" s="287">
        <f>data!AA62</f>
        <v>0</v>
      </c>
      <c r="G108" s="287">
        <f>data!AB62</f>
        <v>63397</v>
      </c>
      <c r="H108" s="287">
        <f>data!AC62</f>
        <v>0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0</v>
      </c>
      <c r="D110" s="287">
        <f>data!Y64</f>
        <v>25848.58</v>
      </c>
      <c r="E110" s="287">
        <f>data!Z64</f>
        <v>0</v>
      </c>
      <c r="F110" s="287">
        <f>data!AA64</f>
        <v>0</v>
      </c>
      <c r="G110" s="287">
        <f>data!AB64</f>
        <v>2833198.41</v>
      </c>
      <c r="H110" s="287">
        <f>data!AC64</f>
        <v>0</v>
      </c>
      <c r="I110" s="287">
        <f>data!AD64</f>
        <v>0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0</v>
      </c>
      <c r="D112" s="287">
        <f>data!Y66</f>
        <v>8950.83</v>
      </c>
      <c r="E112" s="287">
        <f>data!Z66</f>
        <v>0</v>
      </c>
      <c r="F112" s="287">
        <f>data!AA66</f>
        <v>0</v>
      </c>
      <c r="G112" s="287">
        <f>data!AB66</f>
        <v>41664.479999999996</v>
      </c>
      <c r="H112" s="287">
        <f>data!AC66</f>
        <v>0</v>
      </c>
      <c r="I112" s="287">
        <f>data!AD66</f>
        <v>0</v>
      </c>
    </row>
    <row r="113" ht="20.1" customHeight="1">
      <c r="A113" s="279">
        <v>12</v>
      </c>
      <c r="B113" s="287" t="s">
        <v>16</v>
      </c>
      <c r="C113" s="287">
        <f>data!X67</f>
        <v>0</v>
      </c>
      <c r="D113" s="287">
        <f>data!Y67</f>
        <v>143110</v>
      </c>
      <c r="E113" s="287">
        <f>data!Z67</f>
        <v>0</v>
      </c>
      <c r="F113" s="287">
        <f>data!AA67</f>
        <v>0</v>
      </c>
      <c r="G113" s="287">
        <f>data!AB67</f>
        <v>17761</v>
      </c>
      <c r="H113" s="287">
        <f>data!AC67</f>
        <v>0</v>
      </c>
      <c r="I113" s="287">
        <f>data!AD67</f>
        <v>0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69273.02</v>
      </c>
      <c r="H114" s="287">
        <f>data!AC68</f>
        <v>0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0</v>
      </c>
      <c r="D115" s="287">
        <f>data!Y69</f>
        <v>38649.34</v>
      </c>
      <c r="E115" s="287">
        <f>data!Z69</f>
        <v>0</v>
      </c>
      <c r="F115" s="287">
        <f>data!AA69</f>
        <v>0</v>
      </c>
      <c r="G115" s="287">
        <f>data!AB69</f>
        <v>87726.74</v>
      </c>
      <c r="H115" s="287">
        <f>data!AC69</f>
        <v>0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0</v>
      </c>
      <c r="D117" s="287">
        <f>data!Y85</f>
        <v>960433.37999999989</v>
      </c>
      <c r="E117" s="287">
        <f>data!Z85</f>
        <v>0</v>
      </c>
      <c r="F117" s="287">
        <f>data!AA85</f>
        <v>0</v>
      </c>
      <c r="G117" s="287">
        <f>data!AB85</f>
        <v>3583455.87</v>
      </c>
      <c r="H117" s="287">
        <f>data!AC85</f>
        <v>0</v>
      </c>
      <c r="I117" s="287">
        <f>data!AD85</f>
        <v>0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ht="20.1" customHeight="1">
      <c r="A120" s="279">
        <v>19</v>
      </c>
      <c r="B120" s="295" t="s">
        <v>1013</v>
      </c>
      <c r="C120" s="287">
        <f>data!X87</f>
        <v>0</v>
      </c>
      <c r="D120" s="287">
        <f>data!Y87</f>
        <v>56655.2</v>
      </c>
      <c r="E120" s="287">
        <f>data!Z87</f>
        <v>0</v>
      </c>
      <c r="F120" s="287">
        <f>data!AA87</f>
        <v>0</v>
      </c>
      <c r="G120" s="287">
        <f>data!AB87</f>
        <v>76322.91</v>
      </c>
      <c r="H120" s="287">
        <f>data!AC87</f>
        <v>0</v>
      </c>
      <c r="I120" s="287">
        <f>data!AD87</f>
        <v>0</v>
      </c>
    </row>
    <row r="121" ht="20.1" customHeight="1">
      <c r="A121" s="279">
        <v>20</v>
      </c>
      <c r="B121" s="295" t="s">
        <v>1014</v>
      </c>
      <c r="C121" s="287">
        <f>data!X88</f>
        <v>0</v>
      </c>
      <c r="D121" s="287">
        <f>data!Y88</f>
        <v>12698311.9</v>
      </c>
      <c r="E121" s="287">
        <f>data!Z88</f>
        <v>0</v>
      </c>
      <c r="F121" s="287">
        <f>data!AA88</f>
        <v>0</v>
      </c>
      <c r="G121" s="287">
        <f>data!AB88</f>
        <v>7022847.11</v>
      </c>
      <c r="H121" s="287">
        <f>data!AC88</f>
        <v>0</v>
      </c>
      <c r="I121" s="287">
        <f>data!AD88</f>
        <v>0</v>
      </c>
    </row>
    <row r="122" ht="20.1" customHeight="1">
      <c r="A122" s="279">
        <v>21</v>
      </c>
      <c r="B122" s="295" t="s">
        <v>1015</v>
      </c>
      <c r="C122" s="287">
        <f>data!X89</f>
        <v>0</v>
      </c>
      <c r="D122" s="287">
        <f>data!Y89</f>
        <v>12754967.1</v>
      </c>
      <c r="E122" s="287">
        <f>data!Z89</f>
        <v>0</v>
      </c>
      <c r="F122" s="287">
        <f>data!AA89</f>
        <v>0</v>
      </c>
      <c r="G122" s="287">
        <f>data!AB89</f>
        <v>7099170.0200000005</v>
      </c>
      <c r="H122" s="287">
        <f>data!AC89</f>
        <v>0</v>
      </c>
      <c r="I122" s="287">
        <f>data!AD89</f>
        <v>0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0</v>
      </c>
      <c r="D124" s="287">
        <f>data!Y90</f>
        <v>1695</v>
      </c>
      <c r="E124" s="287">
        <f>data!Z90</f>
        <v>0</v>
      </c>
      <c r="F124" s="287">
        <f>data!AA90</f>
        <v>0</v>
      </c>
      <c r="G124" s="287">
        <f>data!AB90</f>
        <v>497</v>
      </c>
      <c r="H124" s="287">
        <f>data!AC90</f>
        <v>0</v>
      </c>
      <c r="I124" s="287">
        <f>data!AD90</f>
        <v>0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0</v>
      </c>
      <c r="D126" s="287">
        <f>data!Y92</f>
        <v>552.27139795784569</v>
      </c>
      <c r="E126" s="287">
        <f>data!Z92</f>
        <v>0</v>
      </c>
      <c r="F126" s="287">
        <f>data!AA92</f>
        <v>0</v>
      </c>
      <c r="G126" s="287">
        <f>data!AB92</f>
        <v>135.36217323315088</v>
      </c>
      <c r="H126" s="287">
        <f>data!AC92</f>
        <v>0</v>
      </c>
      <c r="I126" s="287">
        <f>data!AD92</f>
        <v>0</v>
      </c>
    </row>
    <row r="127" ht="20.1" customHeight="1">
      <c r="A127" s="279">
        <v>25</v>
      </c>
      <c r="B127" s="287" t="s">
        <v>1020</v>
      </c>
      <c r="C127" s="287">
        <f>data!X93</f>
        <v>0</v>
      </c>
      <c r="D127" s="287">
        <f>data!Y93</f>
        <v>7341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PeaceHealth Peace Island Medical Center</v>
      </c>
      <c r="G132" s="286"/>
      <c r="H132" s="285" t="str">
        <f>"FYE: "&amp;data!C96</f>
        <v>FYE: 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6748</v>
      </c>
      <c r="D137" s="287">
        <f>data!AF59</f>
        <v>0</v>
      </c>
      <c r="E137" s="287">
        <f>data!AG59</f>
        <v>4414</v>
      </c>
      <c r="F137" s="287">
        <f>data!AH59</f>
        <v>0</v>
      </c>
      <c r="G137" s="287">
        <f>data!AI59</f>
        <v>0</v>
      </c>
      <c r="H137" s="287">
        <f>data!AJ59</f>
        <v>14501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2.3128016473214306</v>
      </c>
      <c r="D138" s="294">
        <f>data!AF60</f>
        <v>0</v>
      </c>
      <c r="E138" s="294">
        <f>data!AG60</f>
        <v>20.909629872287088</v>
      </c>
      <c r="F138" s="294">
        <f>data!AH60</f>
        <v>0</v>
      </c>
      <c r="G138" s="294">
        <f>data!AI60</f>
        <v>0</v>
      </c>
      <c r="H138" s="294">
        <f>data!AJ60</f>
        <v>16.960397134615366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209675.1</v>
      </c>
      <c r="D139" s="287">
        <f>data!AF61</f>
        <v>0</v>
      </c>
      <c r="E139" s="287">
        <f>data!AG61</f>
        <v>4468616.92</v>
      </c>
      <c r="F139" s="287">
        <f>data!AH61</f>
        <v>0</v>
      </c>
      <c r="G139" s="287">
        <f>data!AI61</f>
        <v>0</v>
      </c>
      <c r="H139" s="287">
        <f>data!AJ61</f>
        <v>2565471.82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58140</v>
      </c>
      <c r="D140" s="287">
        <f>data!AF62</f>
        <v>0</v>
      </c>
      <c r="E140" s="287">
        <f>data!AG62</f>
        <v>799591</v>
      </c>
      <c r="F140" s="287">
        <f>data!AH62</f>
        <v>0</v>
      </c>
      <c r="G140" s="287">
        <f>data!AI62</f>
        <v>0</v>
      </c>
      <c r="H140" s="287">
        <f>data!AJ62</f>
        <v>594671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56875</v>
      </c>
      <c r="F141" s="287">
        <f>data!AH63</f>
        <v>0</v>
      </c>
      <c r="G141" s="287">
        <f>data!AI63</f>
        <v>0</v>
      </c>
      <c r="H141" s="287">
        <f>data!AJ63</f>
        <v>87680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9590.22</v>
      </c>
      <c r="D142" s="287">
        <f>data!AF64</f>
        <v>0</v>
      </c>
      <c r="E142" s="287">
        <f>data!AG64</f>
        <v>138171.52</v>
      </c>
      <c r="F142" s="287">
        <f>data!AH64</f>
        <v>0</v>
      </c>
      <c r="G142" s="287">
        <f>data!AI64</f>
        <v>0</v>
      </c>
      <c r="H142" s="287">
        <f>data!AJ64</f>
        <v>100889.44</v>
      </c>
      <c r="I142" s="287">
        <f>data!AK64</f>
        <v>0</v>
      </c>
    </row>
    <row r="143" ht="20.1" customHeight="1">
      <c r="A143" s="279">
        <v>10</v>
      </c>
      <c r="B143" s="287" t="s">
        <v>525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70.04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0</v>
      </c>
      <c r="D144" s="287">
        <f>data!AF66</f>
        <v>0</v>
      </c>
      <c r="E144" s="287">
        <f>data!AG66</f>
        <v>3375.66</v>
      </c>
      <c r="F144" s="287">
        <f>data!AH66</f>
        <v>0</v>
      </c>
      <c r="G144" s="287">
        <f>data!AI66</f>
        <v>0</v>
      </c>
      <c r="H144" s="287">
        <f>data!AJ66</f>
        <v>5066.67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1594</v>
      </c>
      <c r="D145" s="287">
        <f>data!AF67</f>
        <v>0</v>
      </c>
      <c r="E145" s="287">
        <f>data!AG67</f>
        <v>125931</v>
      </c>
      <c r="F145" s="287">
        <f>data!AH67</f>
        <v>0</v>
      </c>
      <c r="G145" s="287">
        <f>data!AI67</f>
        <v>0</v>
      </c>
      <c r="H145" s="287">
        <f>data!AJ67</f>
        <v>122436</v>
      </c>
      <c r="I145" s="287">
        <f>data!AK67</f>
        <v>0</v>
      </c>
    </row>
    <row r="146" ht="20.1" customHeight="1">
      <c r="A146" s="279">
        <v>13</v>
      </c>
      <c r="B146" s="287" t="s">
        <v>1009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766.66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4053.91</v>
      </c>
      <c r="D147" s="287">
        <f>data!AF69</f>
        <v>0</v>
      </c>
      <c r="E147" s="287">
        <f>data!AG69</f>
        <v>62255.62</v>
      </c>
      <c r="F147" s="287">
        <f>data!AH69</f>
        <v>0</v>
      </c>
      <c r="G147" s="287">
        <f>data!AI69</f>
        <v>0</v>
      </c>
      <c r="H147" s="287">
        <f>data!AJ69</f>
        <v>82639.93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-31015</v>
      </c>
      <c r="F148" s="287">
        <f>-data!AH84</f>
        <v>0</v>
      </c>
      <c r="G148" s="287">
        <f>-data!AI84</f>
        <v>0</v>
      </c>
      <c r="H148" s="287">
        <f>-data!AJ84</f>
        <v>-55941.36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283053.22999999992</v>
      </c>
      <c r="D149" s="287">
        <f>data!AF85</f>
        <v>0</v>
      </c>
      <c r="E149" s="287">
        <f>data!AG85</f>
        <v>5623801.72</v>
      </c>
      <c r="F149" s="287">
        <f>data!AH85</f>
        <v>0</v>
      </c>
      <c r="G149" s="287">
        <f>data!AI85</f>
        <v>0</v>
      </c>
      <c r="H149" s="287">
        <f>data!AJ85</f>
        <v>3503750.2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ht="20.1" customHeight="1">
      <c r="A152" s="279">
        <v>19</v>
      </c>
      <c r="B152" s="295" t="s">
        <v>1013</v>
      </c>
      <c r="C152" s="287">
        <f>data!AE87</f>
        <v>9951</v>
      </c>
      <c r="D152" s="287">
        <f>data!AF87</f>
        <v>0</v>
      </c>
      <c r="E152" s="287">
        <f>data!AG87</f>
        <v>67299</v>
      </c>
      <c r="F152" s="287">
        <f>data!AH87</f>
        <v>0</v>
      </c>
      <c r="G152" s="287">
        <f>data!AI87</f>
        <v>0</v>
      </c>
      <c r="H152" s="287">
        <f>data!AJ87</f>
        <v>-591</v>
      </c>
      <c r="I152" s="287">
        <f>data!AK87</f>
        <v>0</v>
      </c>
    </row>
    <row r="153" ht="20.1" customHeight="1">
      <c r="A153" s="279">
        <v>20</v>
      </c>
      <c r="B153" s="295" t="s">
        <v>1014</v>
      </c>
      <c r="C153" s="287">
        <f>data!AE88</f>
        <v>782582</v>
      </c>
      <c r="D153" s="287">
        <f>data!AF88</f>
        <v>0</v>
      </c>
      <c r="E153" s="287">
        <f>data!AG88</f>
        <v>7279087.95</v>
      </c>
      <c r="F153" s="287">
        <f>data!AH88</f>
        <v>0</v>
      </c>
      <c r="G153" s="287">
        <f>data!AI88</f>
        <v>0</v>
      </c>
      <c r="H153" s="287">
        <f>data!AJ88</f>
        <v>4541327.9</v>
      </c>
      <c r="I153" s="287">
        <f>data!AK88</f>
        <v>0</v>
      </c>
    </row>
    <row r="154" ht="20.1" customHeight="1">
      <c r="A154" s="279">
        <v>21</v>
      </c>
      <c r="B154" s="295" t="s">
        <v>1015</v>
      </c>
      <c r="C154" s="287">
        <f>data!AE89</f>
        <v>792533</v>
      </c>
      <c r="D154" s="287">
        <f>data!AF89</f>
        <v>0</v>
      </c>
      <c r="E154" s="287">
        <f>data!AG89</f>
        <v>7346386.95</v>
      </c>
      <c r="F154" s="287">
        <f>data!AH89</f>
        <v>0</v>
      </c>
      <c r="G154" s="287">
        <f>data!AI89</f>
        <v>0</v>
      </c>
      <c r="H154" s="287">
        <f>data!AJ89</f>
        <v>4540736.9</v>
      </c>
      <c r="I154" s="287">
        <f>data!AK89</f>
        <v>0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0</v>
      </c>
      <c r="D156" s="287">
        <f>data!AF90</f>
        <v>0</v>
      </c>
      <c r="E156" s="287">
        <f>data!AG90</f>
        <v>4061</v>
      </c>
      <c r="F156" s="287">
        <f>data!AH90</f>
        <v>0</v>
      </c>
      <c r="G156" s="287">
        <f>data!AI90</f>
        <v>0</v>
      </c>
      <c r="H156" s="287">
        <f>data!AJ90</f>
        <v>3990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0</v>
      </c>
      <c r="D158" s="287">
        <f>data!AF92</f>
        <v>0</v>
      </c>
      <c r="E158" s="287">
        <f>data!AG92</f>
        <v>1642.1338414624995</v>
      </c>
      <c r="F158" s="287">
        <f>data!AH92</f>
        <v>0</v>
      </c>
      <c r="G158" s="287">
        <f>data!AI92</f>
        <v>0</v>
      </c>
      <c r="H158" s="287">
        <f>data!AJ92</f>
        <v>1559.1683546646975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1112</v>
      </c>
      <c r="D159" s="287">
        <f>data!AF93</f>
        <v>0</v>
      </c>
      <c r="E159" s="287">
        <f>data!AG93</f>
        <v>17494</v>
      </c>
      <c r="F159" s="287">
        <f>data!AH93</f>
        <v>0</v>
      </c>
      <c r="G159" s="287">
        <f>data!AI93</f>
        <v>0</v>
      </c>
      <c r="H159" s="287">
        <f>data!AJ93</f>
        <v>833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9.1895142512019241</v>
      </c>
      <c r="F160" s="294">
        <f>data!AH94</f>
        <v>0</v>
      </c>
      <c r="G160" s="294">
        <f>data!AI94</f>
        <v>0</v>
      </c>
      <c r="H160" s="294">
        <f>data!AJ94</f>
        <v>8.5045545034340861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PeaceHealth Peace Island Medical Center</v>
      </c>
      <c r="G164" s="286"/>
      <c r="H164" s="285" t="str">
        <f>"FYE: "&amp;data!C96</f>
        <v>FYE: 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0.22141152455357163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36988.34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7098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2898.84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6398.79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53383.969999999994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27909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27909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PeaceHealth Peace Island Medical Center</v>
      </c>
      <c r="G196" s="286"/>
      <c r="H196" s="285" t="str">
        <f>"FYE: "&amp;data!C96</f>
        <v>FYE: 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-97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0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0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-97</v>
      </c>
      <c r="G213" s="287">
        <f>data!AW85</f>
        <v>0</v>
      </c>
      <c r="H213" s="287">
        <f>data!AX85</f>
        <v>0</v>
      </c>
      <c r="I213" s="287">
        <f>data!AY85</f>
        <v>0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PeaceHealth Peace Island Medical Center</v>
      </c>
      <c r="G228" s="286"/>
      <c r="H228" s="285" t="str">
        <f>"FYE: "&amp;data!C96</f>
        <v>FYE: 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31664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1.0979058411744522</v>
      </c>
      <c r="I234" s="294">
        <f>data!BF60</f>
        <v>4.1297154265109866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116293.52</v>
      </c>
      <c r="I235" s="287">
        <f>data!BF61</f>
        <v>228763.04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32902</v>
      </c>
      <c r="I236" s="287">
        <f>data!BF62</f>
        <v>87155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105900.24</v>
      </c>
      <c r="I238" s="287">
        <f>data!BF64</f>
        <v>21944.72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225751.59</v>
      </c>
      <c r="I239" s="287">
        <f>data!BF65</f>
        <v>24074.4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641503.74</v>
      </c>
      <c r="I240" s="287">
        <f>data!BF66</f>
        <v>8013.46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67184</v>
      </c>
      <c r="I241" s="287">
        <f>data!BF67</f>
        <v>14241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50655.29</v>
      </c>
      <c r="I242" s="287">
        <f>data!BF68</f>
        <v>0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2466.44</v>
      </c>
      <c r="I243" s="287">
        <f>data!BF69</f>
        <v>399.73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-6477.34</v>
      </c>
      <c r="I244" s="287">
        <f>-data!BF84</f>
        <v>0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0</v>
      </c>
      <c r="H245" s="287">
        <f>data!BE85</f>
        <v>1236179.4799999998</v>
      </c>
      <c r="I245" s="287">
        <f>data!BF85</f>
        <v>384591.35000000003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1958</v>
      </c>
      <c r="I252" s="303">
        <f>data!BF90</f>
        <v>342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PeaceHealth Peace Island Medical Center</v>
      </c>
      <c r="G260" s="286"/>
      <c r="H260" s="285" t="str">
        <f>"FYE: "&amp;data!C96</f>
        <v>FYE: 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89.07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0</v>
      </c>
      <c r="E271" s="287">
        <f>data!BI65</f>
        <v>6967.11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0</v>
      </c>
      <c r="E272" s="287">
        <f>data!BI66</f>
        <v>4650.97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8024</v>
      </c>
      <c r="D273" s="287">
        <f>data!BH67</f>
        <v>0</v>
      </c>
      <c r="E273" s="287">
        <f>data!BI67</f>
        <v>90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0</v>
      </c>
      <c r="D275" s="287">
        <f>data!BH69</f>
        <v>0</v>
      </c>
      <c r="E275" s="287">
        <f>data!BI69</f>
        <v>1400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8024</v>
      </c>
      <c r="D277" s="287">
        <f>data!BH85</f>
        <v>0</v>
      </c>
      <c r="E277" s="287">
        <f>data!BI85</f>
        <v>13197.15</v>
      </c>
      <c r="F277" s="287">
        <f>data!BJ85</f>
        <v>0</v>
      </c>
      <c r="G277" s="287">
        <f>data!BK85</f>
        <v>0</v>
      </c>
      <c r="H277" s="287">
        <f>data!BL85</f>
        <v>0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0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PeaceHealth Peace Island Medical Center</v>
      </c>
      <c r="G292" s="286"/>
      <c r="H292" s="285" t="str">
        <f>"FYE: "&amp;data!C96</f>
        <v>FYE: 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4.22798148626374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0.074871278159340873</v>
      </c>
      <c r="H298" s="294">
        <f>data!BS60</f>
        <v>0</v>
      </c>
      <c r="I298" s="294">
        <f>data!BT60</f>
        <v>0.1030563530219779</v>
      </c>
    </row>
    <row r="299" ht="20.1" customHeight="1">
      <c r="A299" s="279">
        <v>6</v>
      </c>
      <c r="B299" s="287" t="s">
        <v>263</v>
      </c>
      <c r="C299" s="287">
        <f>data!BN61</f>
        <v>821661.33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10811.83</v>
      </c>
      <c r="H299" s="287">
        <f>data!BS61</f>
        <v>0</v>
      </c>
      <c r="I299" s="287">
        <f>data!BT61</f>
        <v>7750.42</v>
      </c>
    </row>
    <row r="300" ht="20.1" customHeight="1">
      <c r="A300" s="279">
        <v>7</v>
      </c>
      <c r="B300" s="287" t="s">
        <v>11</v>
      </c>
      <c r="C300" s="287">
        <f>data!BN62</f>
        <v>200167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2369</v>
      </c>
      <c r="H300" s="287">
        <f>data!BS62</f>
        <v>0</v>
      </c>
      <c r="I300" s="287">
        <f>data!BT62</f>
        <v>1321</v>
      </c>
    </row>
    <row r="301" ht="20.1" customHeight="1">
      <c r="A301" s="279">
        <v>8</v>
      </c>
      <c r="B301" s="287" t="s">
        <v>264</v>
      </c>
      <c r="C301" s="287">
        <f>data!BN63</f>
        <v>59054.28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29744.07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20.13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2937695.73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18.55</v>
      </c>
    </row>
    <row r="305" ht="20.1" customHeight="1">
      <c r="A305" s="279">
        <v>12</v>
      </c>
      <c r="B305" s="287" t="s">
        <v>16</v>
      </c>
      <c r="C305" s="287">
        <f>data!BN67</f>
        <v>992144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1009</v>
      </c>
      <c r="C306" s="287">
        <f>data!BN68</f>
        <v>1815.4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36912.260000000009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5311.18</v>
      </c>
    </row>
    <row r="308" ht="20.1" customHeight="1">
      <c r="A308" s="279">
        <v>15</v>
      </c>
      <c r="B308" s="287" t="s">
        <v>284</v>
      </c>
      <c r="C308" s="287">
        <f>-data!BN84</f>
        <v>-11500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1011</v>
      </c>
      <c r="C309" s="287">
        <f>data!BN85</f>
        <v>5067714.2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13180.83</v>
      </c>
      <c r="H309" s="287">
        <f>data!BS85</f>
        <v>0</v>
      </c>
      <c r="I309" s="287">
        <f>data!BT85</f>
        <v>14401.15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9108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PeaceHealth Peace Island Medical Center</v>
      </c>
      <c r="G324" s="286"/>
      <c r="H324" s="285" t="str">
        <f>"FYE: "&amp;data!C96</f>
        <v>FYE: 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0.21912796256868125</v>
      </c>
      <c r="F330" s="294">
        <f>data!BX60</f>
        <v>0</v>
      </c>
      <c r="G330" s="294">
        <f>data!BY60</f>
        <v>0</v>
      </c>
      <c r="H330" s="294">
        <f>data!BZ60</f>
        <v>0</v>
      </c>
      <c r="I330" s="294">
        <f>data!CA60</f>
        <v>0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27258.99</v>
      </c>
      <c r="F331" s="306">
        <f>data!BX61</f>
        <v>0</v>
      </c>
      <c r="G331" s="306">
        <f>data!BY61</f>
        <v>0</v>
      </c>
      <c r="H331" s="306">
        <f>data!BZ61</f>
        <v>0</v>
      </c>
      <c r="I331" s="306">
        <f>data!CA61</f>
        <v>0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4966</v>
      </c>
      <c r="F332" s="306">
        <f>data!BX62</f>
        <v>0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69864.41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12850.779999999999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16392.47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0</v>
      </c>
      <c r="H339" s="306">
        <f>data!BZ69</f>
        <v>0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0</v>
      </c>
      <c r="E341" s="287">
        <f>data!BW85</f>
        <v>32224.99</v>
      </c>
      <c r="F341" s="287">
        <f>data!BX85</f>
        <v>99107.66</v>
      </c>
      <c r="G341" s="287">
        <f>data!BY85</f>
        <v>0</v>
      </c>
      <c r="H341" s="287">
        <f>data!BZ85</f>
        <v>0</v>
      </c>
      <c r="I341" s="287">
        <f>data!CA85</f>
        <v>0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PeaceHealth Peace Island Medical Center</v>
      </c>
      <c r="G356" s="286"/>
      <c r="H356" s="285" t="str">
        <f>"FYE: "&amp;data!C96</f>
        <v>FYE: 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73.628418330219759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11545566.329999998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2565</v>
      </c>
      <c r="E364" s="311"/>
      <c r="F364" s="311"/>
      <c r="G364" s="311"/>
      <c r="H364" s="311"/>
      <c r="I364" s="306">
        <f>data!CE62</f>
        <v>2366054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259776.24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-296.89</v>
      </c>
      <c r="E366" s="311"/>
      <c r="F366" s="311"/>
      <c r="G366" s="311"/>
      <c r="H366" s="311"/>
      <c r="I366" s="306">
        <f>data!CE64</f>
        <v>3698538.87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256883.27</v>
      </c>
    </row>
    <row r="368" ht="20.1" customHeight="1">
      <c r="A368" s="279">
        <v>11</v>
      </c>
      <c r="B368" s="287" t="s">
        <v>526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4238747.83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1980507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138902.84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0</v>
      </c>
      <c r="E371" s="306">
        <f>data!CD69</f>
        <v>396393.26</v>
      </c>
      <c r="F371" s="311"/>
      <c r="G371" s="311"/>
      <c r="H371" s="311"/>
      <c r="I371" s="306">
        <f>data!CE69</f>
        <v>2000775.23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-10373</v>
      </c>
      <c r="E372" s="287">
        <f>-data!CD84</f>
        <v>-1083312.66</v>
      </c>
      <c r="F372" s="297"/>
      <c r="G372" s="297"/>
      <c r="H372" s="297"/>
      <c r="I372" s="287">
        <f>-data!CE84</f>
        <v>-1198619.3599999999</v>
      </c>
    </row>
    <row r="373" ht="20.1" customHeight="1">
      <c r="A373" s="279">
        <v>16</v>
      </c>
      <c r="B373" s="295" t="s">
        <v>1011</v>
      </c>
      <c r="C373" s="306">
        <f>data!CB85</f>
        <v>0</v>
      </c>
      <c r="D373" s="306">
        <f>data!CC85</f>
        <v>-8104.8899999999994</v>
      </c>
      <c r="E373" s="306">
        <f>data!CD85</f>
        <v>-686919.39999999991</v>
      </c>
      <c r="F373" s="311"/>
      <c r="G373" s="311"/>
      <c r="H373" s="311"/>
      <c r="I373" s="287">
        <f>data!CE85</f>
        <v>24088512.889999993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903133.86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41368926.38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42272060.239999995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31664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0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7937.86119321428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34350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24.127940428914854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2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3" t="s">
        <v>28</v>
      </c>
      <c r="B37" s="334"/>
      <c r="C37" s="335"/>
      <c r="D37" s="334"/>
      <c r="E37" s="334"/>
      <c r="F37" s="334"/>
      <c r="G37" s="334"/>
    </row>
    <row r="38">
      <c r="A38" s="336" t="s">
        <v>29</v>
      </c>
      <c r="B38" s="337"/>
      <c r="C38" s="335"/>
      <c r="D38" s="334"/>
      <c r="E38" s="334"/>
      <c r="F38" s="334"/>
      <c r="G38" s="334"/>
    </row>
    <row r="39">
      <c r="A39" s="338" t="s">
        <v>1068</v>
      </c>
      <c r="B39" s="337"/>
      <c r="C39" s="335"/>
      <c r="D39" s="334"/>
      <c r="E39" s="334"/>
      <c r="F39" s="334"/>
      <c r="G39" s="334"/>
    </row>
    <row r="40">
      <c r="A40" s="339" t="s">
        <v>31</v>
      </c>
      <c r="B40" s="334"/>
      <c r="C40" s="335"/>
      <c r="D40" s="334"/>
      <c r="E40" s="334"/>
      <c r="F40" s="334"/>
      <c r="G40" s="334"/>
    </row>
    <row r="41">
      <c r="A41" s="338" t="s">
        <v>1069</v>
      </c>
      <c r="B41" s="334"/>
      <c r="C41" s="335"/>
      <c r="D41" s="334"/>
      <c r="E41" s="334"/>
      <c r="F41" s="334"/>
      <c r="G41" s="334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1"/>
      <c r="D108" s="42"/>
      <c r="E108" s="43"/>
      <c r="F108" s="16"/>
    </row>
    <row r="109">
      <c r="A109" s="32" t="s">
        <v>320</v>
      </c>
      <c r="B109" s="40" t="s">
        <v>299</v>
      </c>
      <c r="C109" s="341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7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328</v>
      </c>
      <c r="B116" s="46" t="s">
        <v>299</v>
      </c>
      <c r="C116" s="47" t="s">
        <v>1070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1070</v>
      </c>
      <c r="D121" s="20"/>
      <c r="E121" s="20"/>
    </row>
    <row r="122">
      <c r="A122" s="20" t="s">
        <v>333</v>
      </c>
      <c r="B122" s="46" t="s">
        <v>299</v>
      </c>
      <c r="C122" s="47" t="s">
        <v>1070</v>
      </c>
      <c r="D122" s="20"/>
      <c r="E122" s="20"/>
    </row>
    <row r="123">
      <c r="A123" s="20" t="s">
        <v>334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3" t="s">
        <v>405</v>
      </c>
      <c r="C237" s="343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211</v>
      </c>
      <c r="C2" s="12" t="str">
        <f>SUBSTITUTE(LEFT(data!C98,49),",","")</f>
        <v>PeaceHealth Peace Island Medical Center</v>
      </c>
      <c r="D2" s="12" t="str">
        <f>LEFT(data!C99,49)</f>
        <v>1117 Spring Street</v>
      </c>
      <c r="E2" s="12" t="str">
        <f>RIGHT(data!C100,100)</f>
        <v>Friday Harbor</v>
      </c>
      <c r="F2" s="12" t="str">
        <f>RIGHT(data!C101,100)</f>
        <v>WA</v>
      </c>
      <c r="G2" s="12" t="str">
        <f>RIGHT(data!C102,100)</f>
        <v>98250</v>
      </c>
      <c r="H2" s="12" t="str">
        <f>RIGHT(data!C103,100)</f>
        <v>San Juan</v>
      </c>
      <c r="I2" s="12" t="str">
        <f>LEFT(data!C104,49)</f>
        <v>Charles Prosper</v>
      </c>
      <c r="J2" s="12" t="str">
        <f>LEFT(data!C105,49)</f>
        <v>Krista Touros</v>
      </c>
      <c r="K2" s="12" t="str">
        <f>LEFT(data!C107,49)</f>
        <v>360-378-2141</v>
      </c>
      <c r="L2" s="12" t="str">
        <f>LEFT(data!C107,49)</f>
        <v>360-378-2141</v>
      </c>
      <c r="M2" s="12" t="str">
        <f>LEFT(data!C109,49)</f>
        <v>Nichole Reeves</v>
      </c>
      <c r="N2" s="12" t="str">
        <f>LEFT(data!C110,49)</f>
        <v>NReeves@peacehealth.org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211</v>
      </c>
      <c r="B2" s="224" t="str">
        <f>RIGHT(data!C96,4)</f>
        <v>2022</v>
      </c>
      <c r="C2" s="16" t="s">
        <v>1169</v>
      </c>
      <c r="D2" s="223">
        <f>ROUND(data!C181,0)</f>
        <v>620977</v>
      </c>
      <c r="E2" s="223">
        <f>ROUND(data!C182,0)</f>
        <v>12124</v>
      </c>
      <c r="F2" s="223">
        <f>ROUND(data!C183,0)</f>
        <v>51014</v>
      </c>
      <c r="G2" s="223">
        <f>ROUND(data!C184,0)</f>
        <v>976216</v>
      </c>
      <c r="H2" s="223">
        <f>ROUND(data!C185,0)</f>
        <v>7847</v>
      </c>
      <c r="I2" s="223">
        <f>ROUND(data!C186,0)</f>
        <v>595978</v>
      </c>
      <c r="J2" s="223">
        <f>ROUND(data!C187+data!C188,0)</f>
        <v>101898</v>
      </c>
      <c r="K2" s="223">
        <f>ROUND(data!C191,0)</f>
        <v>3387</v>
      </c>
      <c r="L2" s="223">
        <f>ROUND(data!C192,0)</f>
        <v>135516</v>
      </c>
      <c r="M2" s="223">
        <f>ROUND(data!C195,0)</f>
        <v>147762</v>
      </c>
      <c r="N2" s="223">
        <f>ROUND(data!C196,0)</f>
        <v>61620</v>
      </c>
      <c r="O2" s="223">
        <f>ROUND(data!C199,0)</f>
        <v>38455</v>
      </c>
      <c r="P2" s="223">
        <f>ROUND(data!C200,0)</f>
        <v>140198</v>
      </c>
      <c r="Q2" s="223">
        <f>ROUND(data!C201,0)</f>
        <v>0</v>
      </c>
      <c r="R2" s="223">
        <f>ROUND(data!C204,0)</f>
        <v>0</v>
      </c>
      <c r="S2" s="223">
        <f>ROUND(data!C205,0)</f>
        <v>8358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1615035</v>
      </c>
      <c r="X2" s="223">
        <f>ROUND(data!C212,0)</f>
        <v>0</v>
      </c>
      <c r="Y2" s="223">
        <f>ROUND(data!D212,0)</f>
        <v>0</v>
      </c>
      <c r="Z2" s="223">
        <f>ROUND(data!B213,0)</f>
        <v>11330143</v>
      </c>
      <c r="AA2" s="223">
        <f>ROUND(data!C213,0)</f>
        <v>534032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11136961</v>
      </c>
      <c r="AG2" s="223">
        <f>ROUND(data!C215,0)</f>
        <v>0</v>
      </c>
      <c r="AH2" s="223">
        <f>ROUND(data!D215,0)</f>
        <v>0</v>
      </c>
      <c r="AI2" s="223">
        <f>ROUND(data!B216,0)</f>
        <v>6344088</v>
      </c>
      <c r="AJ2" s="223">
        <f>ROUND(data!C216,0)</f>
        <v>235830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13612</v>
      </c>
      <c r="AS2" s="223">
        <f>ROUND(data!C219,0)</f>
        <v>-13612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1110310</v>
      </c>
      <c r="AY2" s="223">
        <f>ROUND(data!C225,0)</f>
        <v>44477</v>
      </c>
      <c r="AZ2" s="223">
        <f>ROUND(data!D225,0)</f>
        <v>0</v>
      </c>
      <c r="BA2" s="223">
        <f>ROUND(data!B226,0)</f>
        <v>2610676</v>
      </c>
      <c r="BB2" s="223">
        <f>ROUND(data!C226,0)</f>
        <v>300537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3231283</v>
      </c>
      <c r="BH2" s="223">
        <f>ROUND(data!C228,0)</f>
        <v>404711</v>
      </c>
      <c r="BI2" s="223">
        <f>ROUND(data!D228,0)</f>
        <v>0</v>
      </c>
      <c r="BJ2" s="223">
        <f>ROUND(data!B229,0)</f>
        <v>4980723</v>
      </c>
      <c r="BK2" s="223">
        <f>ROUND(data!C229,0)</f>
        <v>363495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10521357</v>
      </c>
      <c r="BW2" s="223">
        <f>ROUND(data!C240,0)</f>
        <v>4560928</v>
      </c>
      <c r="BX2" s="223">
        <f>ROUND(data!C241,0)</f>
        <v>123225</v>
      </c>
      <c r="BY2" s="223">
        <f>ROUND(data!C242,0)</f>
        <v>274502</v>
      </c>
      <c r="BZ2" s="223">
        <f>ROUND(data!C243,0)</f>
        <v>1609379</v>
      </c>
      <c r="CA2" s="223">
        <f>ROUND(data!C244,0)</f>
        <v>143751</v>
      </c>
      <c r="CB2" s="223">
        <f>ROUND(data!C247,0)</f>
        <v>1982</v>
      </c>
      <c r="CC2" s="223">
        <f>ROUND(data!C249,0)</f>
        <v>17934</v>
      </c>
      <c r="CD2" s="223">
        <f>ROUND(data!C250,0)</f>
        <v>632893</v>
      </c>
      <c r="CE2" s="223">
        <f>ROUND(data!C254+data!C255,0)</f>
        <v>-7333</v>
      </c>
      <c r="CF2" s="223">
        <f>data!D237</f>
        <v>1190702.88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211</v>
      </c>
      <c r="B2" s="16" t="str">
        <f>RIGHT(data!C96,4)</f>
        <v>2022</v>
      </c>
      <c r="C2" s="16" t="s">
        <v>1169</v>
      </c>
      <c r="D2" s="222">
        <f>ROUND(data!C127,0)</f>
        <v>66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205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10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10</v>
      </c>
      <c r="X2" s="222">
        <f>ROUND(data!C145,0)</f>
        <v>0</v>
      </c>
      <c r="Y2" s="222">
        <f>ROUND(data!B154,0)</f>
        <v>51</v>
      </c>
      <c r="Z2" s="222">
        <f>ROUND(data!B155,0)</f>
        <v>166</v>
      </c>
      <c r="AA2" s="222">
        <f>ROUND(data!B156,0)</f>
        <v>10731</v>
      </c>
      <c r="AB2" s="222">
        <f>ROUND(data!B157,0)</f>
        <v>627885</v>
      </c>
      <c r="AC2" s="222">
        <f>ROUND(data!B158,0)</f>
        <v>24240221</v>
      </c>
      <c r="AD2" s="222">
        <f>ROUND(data!C154,0)</f>
        <v>8</v>
      </c>
      <c r="AE2" s="222">
        <f>ROUND(data!C155,0)</f>
        <v>25</v>
      </c>
      <c r="AF2" s="222">
        <f>ROUND(data!C156,0)</f>
        <v>2646</v>
      </c>
      <c r="AG2" s="222">
        <f>ROUND(data!C157,0)</f>
        <v>175137</v>
      </c>
      <c r="AH2" s="222">
        <f>ROUND(data!C158,0)</f>
        <v>5239081</v>
      </c>
      <c r="AI2" s="222">
        <f>ROUND(data!D154,0)</f>
        <v>7</v>
      </c>
      <c r="AJ2" s="222">
        <f>ROUND(data!D155,0)</f>
        <v>14</v>
      </c>
      <c r="AK2" s="222">
        <f>ROUND(data!D156,0)</f>
        <v>7601</v>
      </c>
      <c r="AL2" s="222">
        <f>ROUND(data!D157,0)</f>
        <v>100112</v>
      </c>
      <c r="AM2" s="222">
        <f>ROUND(data!D158,0)</f>
        <v>11889625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4849889</v>
      </c>
      <c r="BS2" s="222">
        <f>ROUND(data!C173,0)</f>
        <v>2628105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211</v>
      </c>
      <c r="B2" s="224" t="str">
        <f>RIGHT(data!C96,4)</f>
        <v>2022</v>
      </c>
      <c r="C2" s="16" t="s">
        <v>1169</v>
      </c>
      <c r="D2" s="222">
        <f>ROUND(data!C266,0)</f>
        <v>0</v>
      </c>
      <c r="E2" s="222">
        <f>ROUND(data!C267,0)</f>
        <v>0</v>
      </c>
      <c r="F2" s="222">
        <f>ROUND(data!C268,0)</f>
        <v>5596489</v>
      </c>
      <c r="G2" s="222">
        <f>ROUND(data!C269,0)</f>
        <v>1990595</v>
      </c>
      <c r="H2" s="222">
        <f>ROUND(data!C270,0)</f>
        <v>127740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1615035</v>
      </c>
      <c r="S2" s="222">
        <f>ROUND(data!C285,0)</f>
        <v>11864175</v>
      </c>
      <c r="T2" s="222">
        <f>ROUND(data!C286,0)</f>
        <v>0</v>
      </c>
      <c r="U2" s="222">
        <f>ROUND(data!C287,0)</f>
        <v>11136961</v>
      </c>
      <c r="V2" s="222">
        <f>ROUND(data!C288,0)</f>
        <v>6579918</v>
      </c>
      <c r="W2" s="222">
        <f>ROUND(data!C289,0)</f>
        <v>0</v>
      </c>
      <c r="X2" s="222">
        <f>ROUND(data!C290,0)</f>
        <v>0</v>
      </c>
      <c r="Y2" s="222">
        <f>ROUND(data!C291,0)</f>
        <v>0</v>
      </c>
      <c r="Z2" s="222">
        <f>ROUND(data!C292,0)</f>
        <v>13046213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0</v>
      </c>
      <c r="AK2" s="222">
        <f>ROUND(data!C316,0)</f>
        <v>0</v>
      </c>
      <c r="AL2" s="222">
        <f>ROUND(data!C317,0)</f>
        <v>0</v>
      </c>
      <c r="AM2" s="222">
        <f>ROUND(data!C318,0)</f>
        <v>777357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21106153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73.63</v>
      </c>
      <c r="BL2" s="222">
        <f>ROUND(data!C358,0)</f>
        <v>903134</v>
      </c>
      <c r="BM2" s="222">
        <f>ROUND(data!C359,0)</f>
        <v>41368926</v>
      </c>
      <c r="BN2" s="222">
        <f>ROUND(data!C363,0)</f>
        <v>17233142</v>
      </c>
      <c r="BO2" s="222">
        <f>ROUND(data!C364,0)</f>
        <v>650827</v>
      </c>
      <c r="BP2" s="222">
        <f>ROUND(data!C365,0)</f>
        <v>-7333</v>
      </c>
      <c r="BQ2" s="222">
        <f>ROUND(data!D381,0)</f>
        <v>1198619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1198619</v>
      </c>
      <c r="CC2" s="222">
        <f>ROUND(data!C382,0)</f>
        <v>0</v>
      </c>
      <c r="CD2" s="222">
        <f>ROUND(data!C389,0)</f>
        <v>11545566</v>
      </c>
      <c r="CE2" s="222">
        <f>ROUND(data!C390,0)</f>
        <v>2366054</v>
      </c>
      <c r="CF2" s="222">
        <f>ROUND(data!C391,0)</f>
        <v>259776</v>
      </c>
      <c r="CG2" s="222">
        <f>ROUND(data!C392,0)</f>
        <v>3698539</v>
      </c>
      <c r="CH2" s="222">
        <f>ROUND(data!C393,0)</f>
        <v>256883</v>
      </c>
      <c r="CI2" s="222">
        <f>ROUND(data!C394,0)</f>
        <v>4238748</v>
      </c>
      <c r="CJ2" s="222">
        <f>ROUND(data!C395,0)</f>
        <v>1980508</v>
      </c>
      <c r="CK2" s="222">
        <f>ROUND(data!C396,0)</f>
        <v>138903</v>
      </c>
      <c r="CL2" s="222">
        <f>ROUND(data!C397,0)</f>
        <v>209382</v>
      </c>
      <c r="CM2" s="222">
        <f>ROUND(data!C398,0)</f>
        <v>178653</v>
      </c>
      <c r="CN2" s="222">
        <f>ROUND(data!C399,0)</f>
        <v>8358</v>
      </c>
      <c r="CO2" s="222">
        <f>ROUND(data!C362,0)</f>
        <v>1190703</v>
      </c>
      <c r="CP2" s="222">
        <f>ROUND(data!D415,0)</f>
        <v>405763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405763</v>
      </c>
      <c r="DE2" s="65">
        <f>ROUND(data!C419,0)</f>
        <v>0</v>
      </c>
      <c r="DF2" s="222">
        <f>ROUND(data!D420,0)</f>
        <v>-44360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211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211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211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205</v>
      </c>
      <c r="F4" s="212">
        <f>ROUND(data!E60,2)</f>
        <v>3.4</v>
      </c>
      <c r="G4" s="222">
        <f>ROUND(data!E61,0)</f>
        <v>720180</v>
      </c>
      <c r="H4" s="222">
        <f>ROUND(data!E62,0)</f>
        <v>69954</v>
      </c>
      <c r="I4" s="222">
        <f>ROUND(data!E63,0)</f>
        <v>0</v>
      </c>
      <c r="J4" s="222">
        <f>ROUND(data!E64,0)</f>
        <v>46204</v>
      </c>
      <c r="K4" s="222">
        <f>ROUND(data!E65,0)</f>
        <v>0</v>
      </c>
      <c r="L4" s="222">
        <f>ROUND(data!E66,0)</f>
        <v>460</v>
      </c>
      <c r="M4" s="66">
        <f>ROUND(data!E67,0)</f>
        <v>182326</v>
      </c>
      <c r="N4" s="222">
        <f>ROUND(data!E68,0)</f>
        <v>0</v>
      </c>
      <c r="O4" s="222">
        <f>ROUND(data!E69,0)</f>
        <v>527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527</v>
      </c>
      <c r="AD4" s="222">
        <f>ROUND(data!E84,0)</f>
        <v>0</v>
      </c>
      <c r="AE4" s="222">
        <f>ROUND(data!E89,0)</f>
        <v>972910</v>
      </c>
      <c r="AF4" s="222">
        <f>ROUND(data!E87,0)</f>
        <v>608260</v>
      </c>
      <c r="AG4" s="222">
        <f>IF(data!E90&gt;0,ROUND(data!E90,0),0)</f>
        <v>4996</v>
      </c>
      <c r="AH4" s="222">
        <f>IF(data!E91&gt;0,ROUND(data!E91,0),0)</f>
        <v>0</v>
      </c>
      <c r="AI4" s="222">
        <f>IF(data!E92&gt;0,ROUND(data!E92,0),0)</f>
        <v>2020</v>
      </c>
      <c r="AJ4" s="222">
        <f>IF(data!E93&gt;0,ROUND(data!E93,0),0)</f>
        <v>4053</v>
      </c>
      <c r="AK4" s="212">
        <f>IF(data!E94&gt;0,ROUND(data!E94,2),0)</f>
        <v>2.2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211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211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211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211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211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211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211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211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211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211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211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15381</v>
      </c>
      <c r="F15" s="212">
        <f>ROUND(data!P60,2)</f>
        <v>3.62</v>
      </c>
      <c r="G15" s="222">
        <f>ROUND(data!P61,0)</f>
        <v>427383</v>
      </c>
      <c r="H15" s="222">
        <f>ROUND(data!P62,0)</f>
        <v>79706</v>
      </c>
      <c r="I15" s="222">
        <f>ROUND(data!P63,0)</f>
        <v>56167</v>
      </c>
      <c r="J15" s="222">
        <f>ROUND(data!P64,0)</f>
        <v>172143</v>
      </c>
      <c r="K15" s="222">
        <f>ROUND(data!P65,0)</f>
        <v>0</v>
      </c>
      <c r="L15" s="222">
        <f>ROUND(data!P66,0)</f>
        <v>768</v>
      </c>
      <c r="M15" s="66">
        <f>ROUND(data!P67,0)</f>
        <v>159475</v>
      </c>
      <c r="N15" s="222">
        <f>ROUND(data!P68,0)</f>
        <v>0</v>
      </c>
      <c r="O15" s="222">
        <f>ROUND(data!P69,0)</f>
        <v>42564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42564</v>
      </c>
      <c r="AD15" s="222">
        <f>ROUND(data!P84,0)</f>
        <v>0</v>
      </c>
      <c r="AE15" s="222">
        <f>ROUND(data!P89,0)</f>
        <v>1744394</v>
      </c>
      <c r="AF15" s="222">
        <f>ROUND(data!P87,0)</f>
        <v>0</v>
      </c>
      <c r="AG15" s="222">
        <f>IF(data!P90&gt;0,ROUND(data!P90,0),0)</f>
        <v>4123</v>
      </c>
      <c r="AH15" s="222">
        <f>IF(data!P91&gt;0,ROUND(data!P91,0),0)</f>
        <v>0</v>
      </c>
      <c r="AI15" s="222">
        <f>IF(data!P92&gt;0,ROUND(data!P92,0),0)</f>
        <v>1667</v>
      </c>
      <c r="AJ15" s="222">
        <f>IF(data!P93&gt;0,ROUND(data!P93,0),0)</f>
        <v>3517</v>
      </c>
      <c r="AK15" s="212">
        <f>IF(data!P94&gt;0,ROUND(data!P94,2),0)</f>
        <v>3.08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211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211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211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211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1.98</v>
      </c>
      <c r="G19" s="222">
        <f>ROUND(data!T61,0)</f>
        <v>256437</v>
      </c>
      <c r="H19" s="222">
        <f>ROUND(data!T62,0)</f>
        <v>67742</v>
      </c>
      <c r="I19" s="222">
        <f>ROUND(data!T63,0)</f>
        <v>0</v>
      </c>
      <c r="J19" s="222">
        <f>ROUND(data!T64,0)</f>
        <v>23223</v>
      </c>
      <c r="K19" s="222">
        <f>ROUND(data!T65,0)</f>
        <v>0</v>
      </c>
      <c r="L19" s="222">
        <f>ROUND(data!T66,0)</f>
        <v>82</v>
      </c>
      <c r="M19" s="66">
        <f>ROUND(data!T67,0)</f>
        <v>12574</v>
      </c>
      <c r="N19" s="222">
        <f>ROUND(data!T68,0)</f>
        <v>0</v>
      </c>
      <c r="O19" s="222">
        <f>ROUND(data!T69,0)</f>
        <v>11746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11746</v>
      </c>
      <c r="AD19" s="222">
        <f>ROUND(data!T84,0)</f>
        <v>0</v>
      </c>
      <c r="AE19" s="222">
        <f>ROUND(data!T89,0)</f>
        <v>748156</v>
      </c>
      <c r="AF19" s="222">
        <f>ROUND(data!T87,0)</f>
        <v>0</v>
      </c>
      <c r="AG19" s="222">
        <f>IF(data!T90&gt;0,ROUND(data!T90,0),0)</f>
        <v>335</v>
      </c>
      <c r="AH19" s="222">
        <f>IF(data!T91&gt;0,ROUND(data!T91,0),0)</f>
        <v>0</v>
      </c>
      <c r="AI19" s="222">
        <f>IF(data!T92&gt;0,ROUND(data!T92,0),0)</f>
        <v>135</v>
      </c>
      <c r="AJ19" s="222">
        <f>IF(data!T93&gt;0,ROUND(data!T93,0),0)</f>
        <v>0</v>
      </c>
      <c r="AK19" s="212">
        <f>IF(data!T94&gt;0,ROUND(data!T94,2),0)</f>
        <v>1.15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211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52409</v>
      </c>
      <c r="F20" s="212">
        <f>ROUND(data!U60,2)</f>
        <v>6.32</v>
      </c>
      <c r="G20" s="222">
        <f>ROUND(data!U61,0)</f>
        <v>598734</v>
      </c>
      <c r="H20" s="222">
        <f>ROUND(data!U62,0)</f>
        <v>129638</v>
      </c>
      <c r="I20" s="222">
        <f>ROUND(data!U63,0)</f>
        <v>0</v>
      </c>
      <c r="J20" s="222">
        <f>ROUND(data!U64,0)</f>
        <v>117804</v>
      </c>
      <c r="K20" s="222">
        <f>ROUND(data!U65,0)</f>
        <v>0</v>
      </c>
      <c r="L20" s="222">
        <f>ROUND(data!U66,0)</f>
        <v>482749</v>
      </c>
      <c r="M20" s="66">
        <f>ROUND(data!U67,0)</f>
        <v>19868</v>
      </c>
      <c r="N20" s="222">
        <f>ROUND(data!U68,0)</f>
        <v>0</v>
      </c>
      <c r="O20" s="222">
        <f>ROUND(data!U69,0)</f>
        <v>22605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22605</v>
      </c>
      <c r="AD20" s="222">
        <f>ROUND(data!U84,0)</f>
        <v>0</v>
      </c>
      <c r="AE20" s="222">
        <f>ROUND(data!U89,0)</f>
        <v>5227628</v>
      </c>
      <c r="AF20" s="222">
        <f>ROUND(data!U87,0)</f>
        <v>80002</v>
      </c>
      <c r="AG20" s="222">
        <f>IF(data!U90&gt;0,ROUND(data!U90,0),0)</f>
        <v>559</v>
      </c>
      <c r="AH20" s="222">
        <f>IF(data!U91&gt;0,ROUND(data!U91,0),0)</f>
        <v>0</v>
      </c>
      <c r="AI20" s="222">
        <f>IF(data!U92&gt;0,ROUND(data!U92,0),0)</f>
        <v>226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211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211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273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1322</v>
      </c>
      <c r="K22" s="222">
        <f>ROUND(data!W65,0)</f>
        <v>0</v>
      </c>
      <c r="L22" s="222">
        <f>ROUND(data!W66,0)</f>
        <v>90898</v>
      </c>
      <c r="M22" s="66">
        <f>ROUND(data!W67,0)</f>
        <v>113749</v>
      </c>
      <c r="N22" s="222">
        <f>ROUND(data!W68,0)</f>
        <v>0</v>
      </c>
      <c r="O22" s="222">
        <f>ROUND(data!W69,0)</f>
        <v>106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106</v>
      </c>
      <c r="AD22" s="222">
        <f>ROUND(data!W84,0)</f>
        <v>0</v>
      </c>
      <c r="AE22" s="222">
        <f>ROUND(data!W89,0)</f>
        <v>1017269</v>
      </c>
      <c r="AF22" s="222">
        <f>ROUND(data!W87,0)</f>
        <v>5235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211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211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11347</v>
      </c>
      <c r="F24" s="212">
        <f>ROUND(data!Y60,2)</f>
        <v>5.43</v>
      </c>
      <c r="G24" s="222">
        <f>ROUND(data!Y61,0)</f>
        <v>579106</v>
      </c>
      <c r="H24" s="222">
        <f>ROUND(data!Y62,0)</f>
        <v>164769</v>
      </c>
      <c r="I24" s="222">
        <f>ROUND(data!Y63,0)</f>
        <v>0</v>
      </c>
      <c r="J24" s="222">
        <f>ROUND(data!Y64,0)</f>
        <v>25849</v>
      </c>
      <c r="K24" s="222">
        <f>ROUND(data!Y65,0)</f>
        <v>0</v>
      </c>
      <c r="L24" s="222">
        <f>ROUND(data!Y66,0)</f>
        <v>8951</v>
      </c>
      <c r="M24" s="66">
        <f>ROUND(data!Y67,0)</f>
        <v>143110</v>
      </c>
      <c r="N24" s="222">
        <f>ROUND(data!Y68,0)</f>
        <v>0</v>
      </c>
      <c r="O24" s="222">
        <f>ROUND(data!Y69,0)</f>
        <v>38649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38649</v>
      </c>
      <c r="AD24" s="222">
        <f>ROUND(data!Y84,0)</f>
        <v>0</v>
      </c>
      <c r="AE24" s="222">
        <f>ROUND(data!Y89,0)</f>
        <v>12754967</v>
      </c>
      <c r="AF24" s="222">
        <f>ROUND(data!Y87,0)</f>
        <v>56655</v>
      </c>
      <c r="AG24" s="222">
        <f>IF(data!Y90&gt;0,ROUND(data!Y90,0),0)</f>
        <v>1695</v>
      </c>
      <c r="AH24" s="222">
        <f>IF(data!Y91&gt;0,ROUND(data!Y91,0),0)</f>
        <v>0</v>
      </c>
      <c r="AI24" s="222">
        <f>IF(data!Y92&gt;0,ROUND(data!Y92,0),0)</f>
        <v>552</v>
      </c>
      <c r="AJ24" s="222">
        <f>IF(data!Y93&gt;0,ROUND(data!Y93,0),0)</f>
        <v>7341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211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211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211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2.62</v>
      </c>
      <c r="G27" s="222">
        <f>ROUND(data!AB61,0)</f>
        <v>470435</v>
      </c>
      <c r="H27" s="222">
        <f>ROUND(data!AB62,0)</f>
        <v>63397</v>
      </c>
      <c r="I27" s="222">
        <f>ROUND(data!AB63,0)</f>
        <v>0</v>
      </c>
      <c r="J27" s="222">
        <f>ROUND(data!AB64,0)</f>
        <v>2833198</v>
      </c>
      <c r="K27" s="222">
        <f>ROUND(data!AB65,0)</f>
        <v>0</v>
      </c>
      <c r="L27" s="222">
        <f>ROUND(data!AB66,0)</f>
        <v>41664</v>
      </c>
      <c r="M27" s="66">
        <f>ROUND(data!AB67,0)</f>
        <v>17761</v>
      </c>
      <c r="N27" s="222">
        <f>ROUND(data!AB68,0)</f>
        <v>69273</v>
      </c>
      <c r="O27" s="222">
        <f>ROUND(data!AB69,0)</f>
        <v>87727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87727</v>
      </c>
      <c r="AD27" s="222">
        <f>ROUND(data!AB84,0)</f>
        <v>0</v>
      </c>
      <c r="AE27" s="222">
        <f>ROUND(data!AB89,0)</f>
        <v>7099170</v>
      </c>
      <c r="AF27" s="222">
        <f>ROUND(data!AB87,0)</f>
        <v>76323</v>
      </c>
      <c r="AG27" s="222">
        <f>IF(data!AB90&gt;0,ROUND(data!AB90,0),0)</f>
        <v>497</v>
      </c>
      <c r="AH27" s="222">
        <f>IF(data!AB91&gt;0,ROUND(data!AB91,0),0)</f>
        <v>0</v>
      </c>
      <c r="AI27" s="222">
        <f>IF(data!AB92&gt;0,ROUND(data!AB92,0),0)</f>
        <v>135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211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211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211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6748</v>
      </c>
      <c r="F30" s="212">
        <f>ROUND(data!AE60,2)</f>
        <v>2.31</v>
      </c>
      <c r="G30" s="222">
        <f>ROUND(data!AE61,0)</f>
        <v>209675</v>
      </c>
      <c r="H30" s="222">
        <f>ROUND(data!AE62,0)</f>
        <v>58140</v>
      </c>
      <c r="I30" s="222">
        <f>ROUND(data!AE63,0)</f>
        <v>0</v>
      </c>
      <c r="J30" s="222">
        <f>ROUND(data!AE64,0)</f>
        <v>9590</v>
      </c>
      <c r="K30" s="222">
        <f>ROUND(data!AE65,0)</f>
        <v>0</v>
      </c>
      <c r="L30" s="222">
        <f>ROUND(data!AE66,0)</f>
        <v>0</v>
      </c>
      <c r="M30" s="66">
        <f>ROUND(data!AE67,0)</f>
        <v>1594</v>
      </c>
      <c r="N30" s="222">
        <f>ROUND(data!AE68,0)</f>
        <v>0</v>
      </c>
      <c r="O30" s="222">
        <f>ROUND(data!AE69,0)</f>
        <v>4054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4054</v>
      </c>
      <c r="AD30" s="222">
        <f>ROUND(data!AE84,0)</f>
        <v>0</v>
      </c>
      <c r="AE30" s="222">
        <f>ROUND(data!AE89,0)</f>
        <v>792533</v>
      </c>
      <c r="AF30" s="222">
        <f>ROUND(data!AE87,0)</f>
        <v>9951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1112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211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211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4414</v>
      </c>
      <c r="F32" s="212">
        <f>ROUND(data!AG60,2)</f>
        <v>20.91</v>
      </c>
      <c r="G32" s="222">
        <f>ROUND(data!AG61,0)</f>
        <v>4468617</v>
      </c>
      <c r="H32" s="222">
        <f>ROUND(data!AG62,0)</f>
        <v>799591</v>
      </c>
      <c r="I32" s="222">
        <f>ROUND(data!AG63,0)</f>
        <v>56875</v>
      </c>
      <c r="J32" s="222">
        <f>ROUND(data!AG64,0)</f>
        <v>138172</v>
      </c>
      <c r="K32" s="222">
        <f>ROUND(data!AG65,0)</f>
        <v>0</v>
      </c>
      <c r="L32" s="222">
        <f>ROUND(data!AG66,0)</f>
        <v>3376</v>
      </c>
      <c r="M32" s="66">
        <f>ROUND(data!AG67,0)</f>
        <v>125931</v>
      </c>
      <c r="N32" s="222">
        <f>ROUND(data!AG68,0)</f>
        <v>0</v>
      </c>
      <c r="O32" s="222">
        <f>ROUND(data!AG69,0)</f>
        <v>62256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62256</v>
      </c>
      <c r="AD32" s="222">
        <f>ROUND(data!AG84,0)</f>
        <v>31015</v>
      </c>
      <c r="AE32" s="222">
        <f>ROUND(data!AG89,0)</f>
        <v>7346387</v>
      </c>
      <c r="AF32" s="222">
        <f>ROUND(data!AG87,0)</f>
        <v>67299</v>
      </c>
      <c r="AG32" s="222">
        <f>IF(data!AG90&gt;0,ROUND(data!AG90,0),0)</f>
        <v>4061</v>
      </c>
      <c r="AH32" s="222">
        <f>IF(data!AG91&gt;0,ROUND(data!AG91,0),0)</f>
        <v>0</v>
      </c>
      <c r="AI32" s="222">
        <f>IF(data!AG92&gt;0,ROUND(data!AG92,0),0)</f>
        <v>1642</v>
      </c>
      <c r="AJ32" s="222">
        <f>IF(data!AG93&gt;0,ROUND(data!AG93,0),0)</f>
        <v>17494</v>
      </c>
      <c r="AK32" s="212">
        <f>IF(data!AG94&gt;0,ROUND(data!AG94,2),0)</f>
        <v>9.19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211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211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211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14501</v>
      </c>
      <c r="F35" s="212">
        <f>ROUND(data!AJ60,2)</f>
        <v>16.96</v>
      </c>
      <c r="G35" s="222">
        <f>ROUND(data!AJ61,0)</f>
        <v>2565472</v>
      </c>
      <c r="H35" s="222">
        <f>ROUND(data!AJ62,0)</f>
        <v>594671</v>
      </c>
      <c r="I35" s="222">
        <f>ROUND(data!AJ63,0)</f>
        <v>87680</v>
      </c>
      <c r="J35" s="222">
        <f>ROUND(data!AJ64,0)</f>
        <v>100889</v>
      </c>
      <c r="K35" s="222">
        <f>ROUND(data!AJ65,0)</f>
        <v>70</v>
      </c>
      <c r="L35" s="222">
        <f>ROUND(data!AJ66,0)</f>
        <v>5067</v>
      </c>
      <c r="M35" s="66">
        <f>ROUND(data!AJ67,0)</f>
        <v>122436</v>
      </c>
      <c r="N35" s="222">
        <f>ROUND(data!AJ68,0)</f>
        <v>767</v>
      </c>
      <c r="O35" s="222">
        <f>ROUND(data!AJ69,0)</f>
        <v>82640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82640</v>
      </c>
      <c r="AD35" s="222">
        <f>ROUND(data!AJ84,0)</f>
        <v>55941</v>
      </c>
      <c r="AE35" s="222">
        <f>ROUND(data!AJ89,0)</f>
        <v>4540737</v>
      </c>
      <c r="AF35" s="222">
        <f>ROUND(data!AJ87,0)</f>
        <v>-591</v>
      </c>
      <c r="AG35" s="222">
        <f>IF(data!AJ90&gt;0,ROUND(data!AJ90,0),0)</f>
        <v>3990</v>
      </c>
      <c r="AH35" s="222">
        <f>IF(data!AJ91&gt;0,ROUND(data!AJ91,0),0)</f>
        <v>0</v>
      </c>
      <c r="AI35" s="222">
        <f>IF(data!AJ92&gt;0,ROUND(data!AJ92,0),0)</f>
        <v>1559</v>
      </c>
      <c r="AJ35" s="222">
        <f>IF(data!AJ93&gt;0,ROUND(data!AJ93,0),0)</f>
        <v>833</v>
      </c>
      <c r="AK35" s="212">
        <f>IF(data!AJ94&gt;0,ROUND(data!AJ94,2),0)</f>
        <v>8.5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211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211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211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211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211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211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0.22</v>
      </c>
      <c r="G41" s="222">
        <f>ROUND(data!AP61,0)</f>
        <v>36988</v>
      </c>
      <c r="H41" s="222">
        <f>ROUND(data!AP62,0)</f>
        <v>7098</v>
      </c>
      <c r="I41" s="222">
        <f>ROUND(data!AP63,0)</f>
        <v>0</v>
      </c>
      <c r="J41" s="222">
        <f>ROUND(data!AP64,0)</f>
        <v>2899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6399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6399</v>
      </c>
      <c r="AD41" s="222">
        <f>ROUND(data!AP84,0)</f>
        <v>0</v>
      </c>
      <c r="AE41" s="222">
        <f>ROUND(data!AP89,0)</f>
        <v>27909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211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211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211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211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211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211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-97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211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211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211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211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211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211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211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211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211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31664</v>
      </c>
      <c r="F56" s="212">
        <f>ROUND(data!BE60,2)</f>
        <v>1.1</v>
      </c>
      <c r="G56" s="222">
        <f>ROUND(data!BE61,0)</f>
        <v>116294</v>
      </c>
      <c r="H56" s="222">
        <f>ROUND(data!BE62,0)</f>
        <v>32902</v>
      </c>
      <c r="I56" s="222">
        <f>ROUND(data!BE63,0)</f>
        <v>0</v>
      </c>
      <c r="J56" s="222">
        <f>ROUND(data!BE64,0)</f>
        <v>105900</v>
      </c>
      <c r="K56" s="222">
        <f>ROUND(data!BE65,0)</f>
        <v>225752</v>
      </c>
      <c r="L56" s="222">
        <f>ROUND(data!BE66,0)</f>
        <v>641504</v>
      </c>
      <c r="M56" s="66">
        <f>ROUND(data!BE67,0)</f>
        <v>67184</v>
      </c>
      <c r="N56" s="222">
        <f>ROUND(data!BE68,0)</f>
        <v>50655</v>
      </c>
      <c r="O56" s="222">
        <f>ROUND(data!BE69,0)</f>
        <v>2466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2466</v>
      </c>
      <c r="AD56" s="222">
        <f>ROUND(data!BE84,0)</f>
        <v>6477</v>
      </c>
      <c r="AE56" s="222"/>
      <c r="AF56" s="222"/>
      <c r="AG56" s="222">
        <f>IF(data!BE90&gt;0,ROUND(data!BE90,0),0)</f>
        <v>1958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211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4.13</v>
      </c>
      <c r="G57" s="222">
        <f>ROUND(data!BF61,0)</f>
        <v>228763</v>
      </c>
      <c r="H57" s="222">
        <f>ROUND(data!BF62,0)</f>
        <v>87155</v>
      </c>
      <c r="I57" s="222">
        <f>ROUND(data!BF63,0)</f>
        <v>0</v>
      </c>
      <c r="J57" s="222">
        <f>ROUND(data!BF64,0)</f>
        <v>21945</v>
      </c>
      <c r="K57" s="222">
        <f>ROUND(data!BF65,0)</f>
        <v>24074</v>
      </c>
      <c r="L57" s="222">
        <f>ROUND(data!BF66,0)</f>
        <v>8013</v>
      </c>
      <c r="M57" s="66">
        <f>ROUND(data!BF67,0)</f>
        <v>14241</v>
      </c>
      <c r="N57" s="222">
        <f>ROUND(data!BF68,0)</f>
        <v>0</v>
      </c>
      <c r="O57" s="222">
        <f>ROUND(data!BF69,0)</f>
        <v>400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400</v>
      </c>
      <c r="AD57" s="222">
        <f>ROUND(data!BF84,0)</f>
        <v>0</v>
      </c>
      <c r="AE57" s="222"/>
      <c r="AF57" s="222"/>
      <c r="AG57" s="222">
        <f>IF(data!BF90&gt;0,ROUND(data!BF90,0),0)</f>
        <v>342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211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8024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211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211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89</v>
      </c>
      <c r="K60" s="222">
        <f>ROUND(data!BI65,0)</f>
        <v>6967</v>
      </c>
      <c r="L60" s="222">
        <f>ROUND(data!BI66,0)</f>
        <v>4651</v>
      </c>
      <c r="M60" s="66">
        <f>ROUND(data!BI67,0)</f>
        <v>90</v>
      </c>
      <c r="N60" s="222">
        <f>ROUND(data!BI68,0)</f>
        <v>0</v>
      </c>
      <c r="O60" s="222">
        <f>ROUND(data!BI69,0)</f>
        <v>1400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1400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211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211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211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211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211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4.23</v>
      </c>
      <c r="G65" s="222">
        <f>ROUND(data!BN61,0)</f>
        <v>821661</v>
      </c>
      <c r="H65" s="222">
        <f>ROUND(data!BN62,0)</f>
        <v>200167</v>
      </c>
      <c r="I65" s="222">
        <f>ROUND(data!BN63,0)</f>
        <v>59054</v>
      </c>
      <c r="J65" s="222">
        <f>ROUND(data!BN64,0)</f>
        <v>29744</v>
      </c>
      <c r="K65" s="222">
        <f>ROUND(data!BN65,0)</f>
        <v>20</v>
      </c>
      <c r="L65" s="222">
        <f>ROUND(data!BN66,0)</f>
        <v>2937696</v>
      </c>
      <c r="M65" s="66">
        <f>ROUND(data!BN67,0)</f>
        <v>992144</v>
      </c>
      <c r="N65" s="222">
        <f>ROUND(data!BN68,0)</f>
        <v>1815</v>
      </c>
      <c r="O65" s="222">
        <f>ROUND(data!BN69,0)</f>
        <v>36912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36912</v>
      </c>
      <c r="AD65" s="222">
        <f>ROUND(data!BN84,0)</f>
        <v>11500</v>
      </c>
      <c r="AE65" s="222"/>
      <c r="AF65" s="222"/>
      <c r="AG65" s="222">
        <f>IF(data!BN90&gt;0,ROUND(data!BN90,0),0)</f>
        <v>9108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211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211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211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211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0.07</v>
      </c>
      <c r="G69" s="222">
        <f>ROUND(data!BR61,0)</f>
        <v>10812</v>
      </c>
      <c r="H69" s="222">
        <f>ROUND(data!BR62,0)</f>
        <v>2369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211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211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0.1</v>
      </c>
      <c r="G71" s="222">
        <f>ROUND(data!BT61,0)</f>
        <v>7750</v>
      </c>
      <c r="H71" s="222">
        <f>ROUND(data!BT62,0)</f>
        <v>1321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19</v>
      </c>
      <c r="M71" s="66">
        <f>ROUND(data!BT67,0)</f>
        <v>0</v>
      </c>
      <c r="N71" s="222">
        <f>ROUND(data!BT68,0)</f>
        <v>0</v>
      </c>
      <c r="O71" s="222">
        <f>ROUND(data!BT69,0)</f>
        <v>5311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5311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211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211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211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0.22</v>
      </c>
      <c r="G74" s="222">
        <f>ROUND(data!BW61,0)</f>
        <v>27259</v>
      </c>
      <c r="H74" s="222">
        <f>ROUND(data!BW62,0)</f>
        <v>4966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211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69864</v>
      </c>
      <c r="K75" s="222">
        <f>ROUND(data!BX65,0)</f>
        <v>0</v>
      </c>
      <c r="L75" s="222">
        <f>ROUND(data!BX66,0)</f>
        <v>12851</v>
      </c>
      <c r="M75" s="66">
        <f>ROUND(data!BX67,0)</f>
        <v>0</v>
      </c>
      <c r="N75" s="222">
        <f>ROUND(data!BX68,0)</f>
        <v>16392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211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211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211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211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211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2565</v>
      </c>
      <c r="I80" s="222">
        <f>ROUND(data!CC63,0)</f>
        <v>0</v>
      </c>
      <c r="J80" s="222">
        <f>ROUND(data!CC64,0)</f>
        <v>-297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10373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PeaceHealth Peace Island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H-211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1117 Spring Street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Friday Harbor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211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ref="F15:F59" t="shared" si="0">IF(B15=0,"",IF(D15=0,"",B15/D15))</f>
      </c>
      <c r="G15" s="238" t="str">
        <f ref="G15:G29" t="shared" si="1">IF(C15=0,"",IF(E15=0,"",C15/E15))</f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1019651.97</v>
      </c>
      <c r="D17" s="275">
        <f>'Prior Year'!E60</f>
        <v>0</v>
      </c>
      <c r="E17" s="1">
        <f>data!E59</f>
        <v>205</v>
      </c>
      <c r="F17" s="238" t="str">
        <f t="shared" si="0"/>
      </c>
      <c r="G17" s="238">
        <f t="shared" si="1"/>
        <v>4973.9120487804876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938205.69</v>
      </c>
      <c r="D28" s="275">
        <f>'Prior Year'!P60</f>
        <v>0</v>
      </c>
      <c r="E28" s="1">
        <f>data!P59</f>
        <v>15381</v>
      </c>
      <c r="F28" s="238" t="str">
        <f t="shared" si="0"/>
      </c>
      <c r="G28" s="238">
        <f t="shared" si="1"/>
        <v>60.997704310512965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</c>
      <c r="G29" s="238" t="str">
        <f t="shared" si="1"/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0</v>
      </c>
      <c r="D31" s="275" t="s">
        <v>317</v>
      </c>
      <c r="E31" s="4" t="s">
        <v>317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371804.69999999995</v>
      </c>
      <c r="D32" s="275" t="s">
        <v>317</v>
      </c>
      <c r="E32" s="4" t="s">
        <v>317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1371398.52</v>
      </c>
      <c r="D33" s="275">
        <f>'Prior Year'!U60</f>
        <v>0</v>
      </c>
      <c r="E33" s="1">
        <f>data!U59</f>
        <v>52409</v>
      </c>
      <c r="F33" s="238" t="str">
        <f t="shared" si="0"/>
      </c>
      <c r="G33" s="238">
        <f ref="G33:G69" t="shared" si="5">IF(C33=0,"",IF(E33=0,"",C33/E33))</f>
        <v>26.167233108817189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206074.12000000002</v>
      </c>
      <c r="D35" s="275">
        <f>'Prior Year'!W60</f>
        <v>0</v>
      </c>
      <c r="E35" s="1">
        <f>data!W59</f>
        <v>273</v>
      </c>
      <c r="F35" s="238" t="str">
        <f t="shared" si="0"/>
      </c>
      <c r="G35" s="238">
        <f t="shared" si="5"/>
        <v>754.85025641025652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</c>
      <c r="G36" s="238" t="str">
        <f t="shared" si="5"/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960433.37999999989</v>
      </c>
      <c r="D37" s="275">
        <f>'Prior Year'!Y60</f>
        <v>0</v>
      </c>
      <c r="E37" s="1">
        <f>data!Y59</f>
        <v>11347</v>
      </c>
      <c r="F37" s="238" t="str">
        <f t="shared" si="0"/>
      </c>
      <c r="G37" s="238">
        <f t="shared" si="5"/>
        <v>84.642053406186648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</c>
      <c r="G39" s="238" t="str">
        <f t="shared" si="5"/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3583455.87</v>
      </c>
      <c r="D40" s="275" t="s">
        <v>317</v>
      </c>
      <c r="E40" s="4" t="s">
        <v>317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</c>
      <c r="G41" s="238" t="str">
        <f t="shared" si="5"/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283053.22999999992</v>
      </c>
      <c r="D43" s="275">
        <f>'Prior Year'!AE60</f>
        <v>0</v>
      </c>
      <c r="E43" s="1">
        <f>data!AE59</f>
        <v>6748</v>
      </c>
      <c r="F43" s="238" t="str">
        <f t="shared" si="0"/>
      </c>
      <c r="G43" s="238">
        <f t="shared" si="5"/>
        <v>41.946240367516289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5623801.72</v>
      </c>
      <c r="D45" s="275">
        <f>'Prior Year'!AG60</f>
        <v>0</v>
      </c>
      <c r="E45" s="1">
        <f>data!AG59</f>
        <v>4414</v>
      </c>
      <c r="F45" s="238" t="str">
        <f t="shared" si="0"/>
      </c>
      <c r="G45" s="238">
        <f t="shared" si="5"/>
        <v>1274.0828545536926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3503750.2</v>
      </c>
      <c r="D48" s="275">
        <f>'Prior Year'!AJ60</f>
        <v>0</v>
      </c>
      <c r="E48" s="1">
        <f>data!AJ59</f>
        <v>14501</v>
      </c>
      <c r="F48" s="238" t="str">
        <f t="shared" si="0"/>
      </c>
      <c r="G48" s="238">
        <f t="shared" si="5"/>
        <v>241.62128129094546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53383.969999999994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-97</v>
      </c>
      <c r="D60" s="275" t="s">
        <v>317</v>
      </c>
      <c r="E60" s="4" t="s">
        <v>317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317</v>
      </c>
      <c r="E61" s="4" t="s">
        <v>317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317</v>
      </c>
      <c r="E62" s="4" t="s">
        <v>317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0</v>
      </c>
      <c r="D63" s="275">
        <f>'Prior Year'!AY60</f>
        <v>0</v>
      </c>
      <c r="E63" s="1">
        <f>data!AY59</f>
        <v>0</v>
      </c>
      <c r="F63" s="238" t="str">
        <f>IF(B63=0,"",IF(D63=0,"",B63/D63))</f>
      </c>
      <c r="G63" s="238" t="str">
        <f t="shared" si="5"/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317</v>
      </c>
      <c r="E66" s="4" t="s">
        <v>317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317</v>
      </c>
      <c r="E67" s="4" t="s">
        <v>317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0</v>
      </c>
      <c r="D68" s="275" t="s">
        <v>317</v>
      </c>
      <c r="E68" s="4" t="s">
        <v>317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1236179.4799999998</v>
      </c>
      <c r="D69" s="275">
        <f>'Prior Year'!BE60</f>
        <v>0</v>
      </c>
      <c r="E69" s="1">
        <f>data!BE59</f>
        <v>31664</v>
      </c>
      <c r="F69" s="238" t="str">
        <f>IF(B69=0,"",IF(D69=0,"",B69/D69))</f>
      </c>
      <c r="G69" s="238">
        <f t="shared" si="5"/>
        <v>39.040534360788271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384591.35000000003</v>
      </c>
      <c r="D70" s="275" t="s">
        <v>317</v>
      </c>
      <c r="E70" s="4" t="s">
        <v>317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8024</v>
      </c>
      <c r="D71" s="275" t="s">
        <v>317</v>
      </c>
      <c r="E71" s="4" t="s">
        <v>317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0</v>
      </c>
      <c r="D72" s="275" t="s">
        <v>317</v>
      </c>
      <c r="E72" s="4" t="s">
        <v>317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13197.15</v>
      </c>
      <c r="D73" s="275" t="s">
        <v>317</v>
      </c>
      <c r="E73" s="4" t="s">
        <v>317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317</v>
      </c>
      <c r="E74" s="4" t="s">
        <v>317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0</v>
      </c>
      <c r="D75" s="275" t="s">
        <v>317</v>
      </c>
      <c r="E75" s="4" t="s">
        <v>317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0</v>
      </c>
      <c r="D76" s="275" t="s">
        <v>317</v>
      </c>
      <c r="E76" s="4" t="s">
        <v>317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317</v>
      </c>
      <c r="E77" s="4" t="s">
        <v>317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5067714.2</v>
      </c>
      <c r="D78" s="275" t="s">
        <v>317</v>
      </c>
      <c r="E78" s="4" t="s">
        <v>317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0</v>
      </c>
      <c r="D79" s="275" t="s">
        <v>317</v>
      </c>
      <c r="E79" s="4" t="s">
        <v>317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317</v>
      </c>
      <c r="E80" s="4" t="s">
        <v>317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317</v>
      </c>
      <c r="E81" s="4" t="s">
        <v>317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13180.83</v>
      </c>
      <c r="D82" s="275" t="s">
        <v>317</v>
      </c>
      <c r="E82" s="4" t="s">
        <v>317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0</v>
      </c>
      <c r="D83" s="275" t="s">
        <v>317</v>
      </c>
      <c r="E83" s="4" t="s">
        <v>317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14401.15</v>
      </c>
      <c r="D84" s="275" t="s">
        <v>317</v>
      </c>
      <c r="E84" s="4" t="s">
        <v>317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317</v>
      </c>
      <c r="E85" s="4" t="s">
        <v>317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0</v>
      </c>
      <c r="D86" s="275" t="s">
        <v>317</v>
      </c>
      <c r="E86" s="4" t="s">
        <v>317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32224.99</v>
      </c>
      <c r="D87" s="275" t="s">
        <v>317</v>
      </c>
      <c r="E87" s="4" t="s">
        <v>317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99107.66</v>
      </c>
      <c r="D88" s="275" t="s">
        <v>317</v>
      </c>
      <c r="E88" s="4" t="s">
        <v>317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0</v>
      </c>
      <c r="D89" s="275" t="s">
        <v>317</v>
      </c>
      <c r="E89" s="4" t="s">
        <v>317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0</v>
      </c>
      <c r="D90" s="275" t="s">
        <v>317</v>
      </c>
      <c r="E90" s="4" t="s">
        <v>317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0</v>
      </c>
      <c r="D91" s="275" t="s">
        <v>317</v>
      </c>
      <c r="E91" s="4" t="s">
        <v>317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0</v>
      </c>
      <c r="D92" s="275" t="s">
        <v>317</v>
      </c>
      <c r="E92" s="4" t="s">
        <v>317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-8104.8899999999994</v>
      </c>
      <c r="D93" s="275" t="s">
        <v>317</v>
      </c>
      <c r="E93" s="4" t="s">
        <v>317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-686919.39999999991</v>
      </c>
      <c r="D94" s="275" t="s">
        <v>317</v>
      </c>
      <c r="E94" s="4" t="s">
        <v>317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1" t="s">
        <v>816</v>
      </c>
    </row>
    <row r="3">
      <c r="A3" s="11" t="s">
        <v>817</v>
      </c>
    </row>
    <row r="4">
      <c r="A4" s="329" t="s">
        <v>818</v>
      </c>
    </row>
    <row r="5">
      <c r="A5" s="330" t="s">
        <v>819</v>
      </c>
    </row>
    <row r="6">
      <c r="A6" s="328"/>
    </row>
    <row r="7">
      <c r="A7" s="329" t="s">
        <v>820</v>
      </c>
    </row>
    <row r="8">
      <c r="A8" s="330" t="s">
        <v>821</v>
      </c>
    </row>
    <row r="11">
      <c r="A11" s="13" t="s">
        <v>822</v>
      </c>
      <c r="D11" s="276">
        <f>data!C380</f>
        <v>1198619.3599999999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405762.61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6/30/2022</v>
      </c>
      <c r="C4" s="78"/>
      <c r="D4" s="79"/>
      <c r="E4" s="80"/>
      <c r="F4" s="78" t="str">
        <f>"License Number:  "&amp;"H-"&amp;FIXED(data!C97,0)</f>
        <v>License Number:  H-211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PeaceHealth Peace Island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98250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San Juan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Charles Prosper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Krista Touros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360-378-2141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360-378-1788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66</v>
      </c>
      <c r="G23" s="81">
        <f>data!D127</f>
        <v>205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0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10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0</v>
      </c>
      <c r="E34" s="78" t="s">
        <v>352</v>
      </c>
      <c r="F34" s="81"/>
      <c r="G34" s="81">
        <f>data!E143</f>
        <v>10</v>
      </c>
    </row>
    <row r="35" ht="20.1" customHeight="1">
      <c r="A35" s="77"/>
      <c r="B35" s="97" t="s">
        <v>851</v>
      </c>
      <c r="C35" s="81"/>
      <c r="D35" s="81">
        <f>data!C137</f>
        <v>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10</v>
      </c>
    </row>
    <row r="37" ht="20.1" customHeight="1">
      <c r="A37" s="77"/>
      <c r="E37" s="78" t="s">
        <v>354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PeaceHealth Peace Island Medical Center</v>
      </c>
      <c r="G2" s="4" t="s">
        <v>856</v>
      </c>
    </row>
    <row r="3" ht="20.1" customHeight="1">
      <c r="G3" s="4" t="str">
        <f>"FYE: "&amp;data!C96</f>
        <v>FYE: 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364</v>
      </c>
      <c r="F5" s="88"/>
      <c r="G5" s="88"/>
    </row>
    <row r="6" ht="20.1" customHeight="1">
      <c r="A6" s="140" t="s">
        <v>859</v>
      </c>
      <c r="B6" s="93" t="s">
        <v>337</v>
      </c>
      <c r="C6" s="93" t="s">
        <v>860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51</v>
      </c>
      <c r="C7" s="141">
        <f>data!B155</f>
        <v>166</v>
      </c>
      <c r="D7" s="141">
        <f>data!B156</f>
        <v>10731</v>
      </c>
      <c r="E7" s="141">
        <f>data!B157</f>
        <v>627885.26</v>
      </c>
      <c r="F7" s="141">
        <f>data!B158</f>
        <v>24240220.869999997</v>
      </c>
      <c r="G7" s="141">
        <f>data!B157+data!B158</f>
        <v>24868106.13</v>
      </c>
    </row>
    <row r="8" ht="20.1" customHeight="1">
      <c r="A8" s="77" t="s">
        <v>359</v>
      </c>
      <c r="B8" s="141">
        <f>data!C154</f>
        <v>8</v>
      </c>
      <c r="C8" s="141">
        <f>data!C155</f>
        <v>25</v>
      </c>
      <c r="D8" s="141">
        <f>data!C156</f>
        <v>2646</v>
      </c>
      <c r="E8" s="141">
        <f>data!C157</f>
        <v>175136.80000000002</v>
      </c>
      <c r="F8" s="141">
        <f>data!C158</f>
        <v>5239080.8</v>
      </c>
      <c r="G8" s="141">
        <f>data!C157+data!C158</f>
        <v>5414217.6</v>
      </c>
    </row>
    <row r="9" ht="20.1" customHeight="1">
      <c r="A9" s="77" t="s">
        <v>861</v>
      </c>
      <c r="B9" s="141">
        <f>data!D154</f>
        <v>7</v>
      </c>
      <c r="C9" s="141">
        <f>data!D155</f>
        <v>14</v>
      </c>
      <c r="D9" s="141">
        <f>data!D156</f>
        <v>7601</v>
      </c>
      <c r="E9" s="141">
        <f>data!D157</f>
        <v>100111.79999999999</v>
      </c>
      <c r="F9" s="141">
        <f>data!D158</f>
        <v>11889624.709999997</v>
      </c>
      <c r="G9" s="141">
        <f>data!D157+data!D158</f>
        <v>11989736.509999998</v>
      </c>
    </row>
    <row r="10" ht="20.1" customHeight="1">
      <c r="A10" s="92" t="s">
        <v>230</v>
      </c>
      <c r="B10" s="141">
        <f>data!E154</f>
        <v>66</v>
      </c>
      <c r="C10" s="141">
        <f>data!E155</f>
        <v>205</v>
      </c>
      <c r="D10" s="141">
        <f>data!E156</f>
        <v>20978</v>
      </c>
      <c r="E10" s="141">
        <f>data!E157</f>
        <v>903133.8600000001</v>
      </c>
      <c r="F10" s="141">
        <f>data!E158</f>
        <v>41368926.379999995</v>
      </c>
      <c r="G10" s="141">
        <f>E10+F10</f>
        <v>42272060.239999995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859</v>
      </c>
      <c r="B15" s="93" t="s">
        <v>337</v>
      </c>
      <c r="C15" s="93" t="s">
        <v>860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859</v>
      </c>
      <c r="B24" s="93" t="s">
        <v>337</v>
      </c>
      <c r="C24" s="93" t="s">
        <v>860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4849889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2628105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PeaceHealth Peace Island Medical Center</v>
      </c>
      <c r="B3" s="83"/>
      <c r="C3" s="156" t="str">
        <f>"FYE: "&amp;data!C96</f>
        <v>FYE: 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868</v>
      </c>
      <c r="C6" s="77">
        <f>data!C181</f>
        <v>620977.24</v>
      </c>
    </row>
    <row r="7" ht="20.1" customHeight="1">
      <c r="A7" s="158">
        <v>3</v>
      </c>
      <c r="B7" s="97" t="s">
        <v>370</v>
      </c>
      <c r="C7" s="77">
        <f>data!C182</f>
        <v>12124.19</v>
      </c>
    </row>
    <row r="8" ht="20.1" customHeight="1">
      <c r="A8" s="158">
        <v>4</v>
      </c>
      <c r="B8" s="78" t="s">
        <v>371</v>
      </c>
      <c r="C8" s="77">
        <f>data!C183</f>
        <v>51013.55</v>
      </c>
    </row>
    <row r="9" ht="20.1" customHeight="1">
      <c r="A9" s="158">
        <v>5</v>
      </c>
      <c r="B9" s="78" t="s">
        <v>372</v>
      </c>
      <c r="C9" s="77">
        <f>data!C184</f>
        <v>976216.29</v>
      </c>
    </row>
    <row r="10" ht="20.1" customHeight="1">
      <c r="A10" s="158">
        <v>6</v>
      </c>
      <c r="B10" s="78" t="s">
        <v>373</v>
      </c>
      <c r="C10" s="77">
        <f>data!C185</f>
        <v>7847.32</v>
      </c>
    </row>
    <row r="11" ht="20.1" customHeight="1">
      <c r="A11" s="158">
        <v>7</v>
      </c>
      <c r="B11" s="78" t="s">
        <v>374</v>
      </c>
      <c r="C11" s="77">
        <f>data!C186</f>
        <v>595977.59</v>
      </c>
    </row>
    <row r="12" ht="20.1" customHeight="1">
      <c r="A12" s="158">
        <v>8</v>
      </c>
      <c r="B12" s="78" t="s">
        <v>375</v>
      </c>
      <c r="C12" s="77">
        <f>data!C187</f>
        <v>84782.27</v>
      </c>
    </row>
    <row r="13" ht="20.1" customHeight="1">
      <c r="A13" s="158">
        <v>9</v>
      </c>
      <c r="B13" s="78" t="s">
        <v>375</v>
      </c>
      <c r="C13" s="77">
        <f>data!C188</f>
        <v>17115.39</v>
      </c>
    </row>
    <row r="14" ht="20.1" customHeight="1">
      <c r="A14" s="158">
        <v>10</v>
      </c>
      <c r="B14" s="78" t="s">
        <v>869</v>
      </c>
      <c r="C14" s="77">
        <f>data!D189</f>
        <v>2366053.8400000003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870</v>
      </c>
      <c r="C18" s="77">
        <f>data!C191</f>
        <v>3386.74999999996</v>
      </c>
    </row>
    <row r="19" ht="20.1" customHeight="1">
      <c r="A19" s="77">
        <v>13</v>
      </c>
      <c r="B19" s="78" t="s">
        <v>871</v>
      </c>
      <c r="C19" s="77">
        <f>data!C192</f>
        <v>135516.09</v>
      </c>
    </row>
    <row r="20" ht="20.1" customHeight="1">
      <c r="A20" s="77">
        <v>14</v>
      </c>
      <c r="B20" s="78" t="s">
        <v>872</v>
      </c>
      <c r="C20" s="77">
        <f>data!D193</f>
        <v>138902.83999999997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147762.22</v>
      </c>
    </row>
    <row r="26" ht="20.1" customHeight="1">
      <c r="A26" s="77">
        <v>18</v>
      </c>
      <c r="B26" s="78" t="s">
        <v>381</v>
      </c>
      <c r="C26" s="77">
        <f>data!C196</f>
        <v>61619.98</v>
      </c>
    </row>
    <row r="27" ht="20.1" customHeight="1">
      <c r="A27" s="77">
        <v>19</v>
      </c>
      <c r="B27" s="78" t="s">
        <v>875</v>
      </c>
      <c r="C27" s="77">
        <f>data!D197</f>
        <v>209382.2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383</v>
      </c>
      <c r="C31" s="77">
        <f>data!C199</f>
        <v>38455.34</v>
      </c>
    </row>
    <row r="32" ht="20.1" customHeight="1">
      <c r="A32" s="77">
        <v>22</v>
      </c>
      <c r="B32" s="78" t="s">
        <v>877</v>
      </c>
      <c r="C32" s="77">
        <f>data!C200</f>
        <v>140197.87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178653.21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8357.85</v>
      </c>
    </row>
    <row r="40" ht="20.1" customHeight="1">
      <c r="A40" s="77">
        <v>28</v>
      </c>
      <c r="B40" s="78" t="s">
        <v>880</v>
      </c>
      <c r="C40" s="77">
        <f>data!D206</f>
        <v>8357.85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PeaceHealth Peace Island Medical Center</v>
      </c>
      <c r="F3" s="156" t="str">
        <f>"FYE: "&amp;data!C96</f>
        <v>FYE: 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391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394</v>
      </c>
      <c r="C7" s="81">
        <f>data!B211</f>
        <v>0</v>
      </c>
      <c r="D7" s="81">
        <f>data!C225</f>
        <v>44476.51</v>
      </c>
      <c r="E7" s="81">
        <f>data!D225</f>
        <v>0</v>
      </c>
      <c r="F7" s="81">
        <f>data!E211</f>
        <v>0</v>
      </c>
    </row>
    <row r="8" ht="20.1" customHeight="1">
      <c r="A8" s="77">
        <v>2</v>
      </c>
      <c r="B8" s="81" t="s">
        <v>395</v>
      </c>
      <c r="C8" s="81">
        <f>data!B212</f>
        <v>1615035.4200000002</v>
      </c>
      <c r="D8" s="81">
        <f>data!C226</f>
        <v>300536.98</v>
      </c>
      <c r="E8" s="81">
        <f>data!D226</f>
        <v>0</v>
      </c>
      <c r="F8" s="81">
        <f>data!E212</f>
        <v>1615035.4200000002</v>
      </c>
    </row>
    <row r="9" ht="20.1" customHeight="1">
      <c r="A9" s="77">
        <v>3</v>
      </c>
      <c r="B9" s="81" t="s">
        <v>396</v>
      </c>
      <c r="C9" s="81">
        <f>data!B213</f>
        <v>11330143.069999997</v>
      </c>
      <c r="D9" s="81">
        <f>data!C227</f>
        <v>0</v>
      </c>
      <c r="E9" s="81">
        <f>data!D227</f>
        <v>0</v>
      </c>
      <c r="F9" s="81">
        <f>data!E213</f>
        <v>11864175.309999997</v>
      </c>
    </row>
    <row r="10" ht="20.1" customHeight="1">
      <c r="A10" s="77">
        <v>4</v>
      </c>
      <c r="B10" s="81" t="s">
        <v>886</v>
      </c>
      <c r="C10" s="81">
        <f>data!B214</f>
        <v>0</v>
      </c>
      <c r="D10" s="81">
        <f>data!C228</f>
        <v>404710.78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887</v>
      </c>
      <c r="C11" s="81">
        <f>data!B215</f>
        <v>11136961.030000007</v>
      </c>
      <c r="D11" s="81">
        <f>data!C229</f>
        <v>363495.29</v>
      </c>
      <c r="E11" s="81">
        <f>data!D229</f>
        <v>0</v>
      </c>
      <c r="F11" s="81">
        <f>data!E215</f>
        <v>11136961.030000007</v>
      </c>
    </row>
    <row r="12" ht="20.1" customHeight="1">
      <c r="A12" s="77">
        <v>6</v>
      </c>
      <c r="B12" s="81" t="s">
        <v>888</v>
      </c>
      <c r="C12" s="81">
        <f>data!B216</f>
        <v>6344087.950000003</v>
      </c>
      <c r="D12" s="81">
        <f>data!C230</f>
        <v>0</v>
      </c>
      <c r="E12" s="81">
        <f>data!D230</f>
        <v>0</v>
      </c>
      <c r="F12" s="81">
        <f>data!E216</f>
        <v>6579917.5900000026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ht="20.1" customHeight="1">
      <c r="A15" s="77">
        <v>9</v>
      </c>
      <c r="B15" s="81" t="s">
        <v>890</v>
      </c>
      <c r="C15" s="81">
        <f>data!B219</f>
        <v>13611.76</v>
      </c>
      <c r="D15" s="81">
        <f>data!C233</f>
        <v>1113219.56</v>
      </c>
      <c r="E15" s="81">
        <f>data!D233</f>
        <v>0</v>
      </c>
      <c r="F15" s="81">
        <f>data!E219</f>
        <v>0</v>
      </c>
    </row>
    <row r="16" ht="20.1" customHeight="1">
      <c r="A16" s="77">
        <v>10</v>
      </c>
      <c r="B16" s="81" t="s">
        <v>615</v>
      </c>
      <c r="C16" s="81">
        <f>data!B220</f>
        <v>30439839.230000008</v>
      </c>
      <c r="D16" s="81">
        <f>data!C234</f>
        <v>0</v>
      </c>
      <c r="E16" s="81">
        <f>data!D234</f>
        <v>0</v>
      </c>
      <c r="F16" s="81">
        <f>data!E220</f>
        <v>31196089.350000009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1110310.2800000003</v>
      </c>
      <c r="D24" s="81">
        <f>data!C225</f>
        <v>44476.51</v>
      </c>
      <c r="E24" s="81">
        <f>data!D225</f>
        <v>0</v>
      </c>
      <c r="F24" s="81">
        <f>data!E225</f>
        <v>1154786.7900000003</v>
      </c>
    </row>
    <row r="25" ht="20.1" customHeight="1">
      <c r="A25" s="77">
        <v>13</v>
      </c>
      <c r="B25" s="81" t="s">
        <v>396</v>
      </c>
      <c r="C25" s="81">
        <f>data!B226</f>
        <v>2610676.28</v>
      </c>
      <c r="D25" s="81">
        <f>data!C226</f>
        <v>300536.98</v>
      </c>
      <c r="E25" s="81">
        <f>data!D226</f>
        <v>0</v>
      </c>
      <c r="F25" s="81">
        <f>data!E226</f>
        <v>2911213.26</v>
      </c>
    </row>
    <row r="26" ht="20.1" customHeight="1">
      <c r="A26" s="77">
        <v>14</v>
      </c>
      <c r="B26" s="81" t="s">
        <v>886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ht="20.1" customHeight="1">
      <c r="A27" s="77">
        <v>15</v>
      </c>
      <c r="B27" s="81" t="s">
        <v>887</v>
      </c>
      <c r="C27" s="81">
        <f>data!B228</f>
        <v>3231283.4899999993</v>
      </c>
      <c r="D27" s="81">
        <f>data!C228</f>
        <v>404710.78</v>
      </c>
      <c r="E27" s="81">
        <f>data!D228</f>
        <v>0</v>
      </c>
      <c r="F27" s="81">
        <f>data!E228</f>
        <v>3635994.2699999996</v>
      </c>
    </row>
    <row r="28" ht="20.1" customHeight="1">
      <c r="A28" s="77">
        <v>16</v>
      </c>
      <c r="B28" s="81" t="s">
        <v>888</v>
      </c>
      <c r="C28" s="81">
        <f>data!B229</f>
        <v>4980723.1899999995</v>
      </c>
      <c r="D28" s="81">
        <f>data!C229</f>
        <v>363495.29</v>
      </c>
      <c r="E28" s="81">
        <f>data!D229</f>
        <v>0</v>
      </c>
      <c r="F28" s="81">
        <f>data!E229</f>
        <v>5344218.4799999995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11932993.239999998</v>
      </c>
      <c r="D32" s="81">
        <f>data!C233</f>
        <v>1113219.56</v>
      </c>
      <c r="E32" s="81">
        <f>data!D233</f>
        <v>0</v>
      </c>
      <c r="F32" s="81">
        <f>data!E233</f>
        <v>13046212.799999999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PeaceHealth Peace Island Medical Center</v>
      </c>
      <c r="B2" s="83"/>
      <c r="C2" s="83"/>
      <c r="D2" s="156" t="str">
        <f>"FYE: "&amp;data!C96</f>
        <v>FYE: 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1190702.88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10521357.21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4560927.7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123225.44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274501.61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1609379.33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143751.06</v>
      </c>
    </row>
    <row r="13" ht="20.1" customHeight="1">
      <c r="A13" s="77">
        <v>9</v>
      </c>
      <c r="B13" s="81"/>
      <c r="C13" s="81" t="s">
        <v>897</v>
      </c>
      <c r="D13" s="81">
        <f>data!D245</f>
        <v>17233142.349999998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1982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17934.38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632892.77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650827.15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-7332.97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-7332.97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2022-12-29T23:58:55Z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